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clarivate-my.sharepoint.com/personal/hazal_yilmaz_clarivate_com/Documents/Desktop/"/>
    </mc:Choice>
  </mc:AlternateContent>
  <xr:revisionPtr revIDLastSave="0" documentId="8_{E9D5D858-744C-47AF-9ADC-686D5EC51022}" xr6:coauthVersionLast="47" xr6:coauthVersionMax="47" xr10:uidLastSave="{00000000-0000-0000-0000-000000000000}"/>
  <bookViews>
    <workbookView xWindow="-110" yWindow="-110" windowWidth="19420" windowHeight="10420"/>
  </bookViews>
  <sheets>
    <sheet name="20230123_3028880_ulakbimtr" sheetId="1" r:id="rId1"/>
  </sheets>
  <calcPr calcId="0"/>
</workbook>
</file>

<file path=xl/calcChain.xml><?xml version="1.0" encoding="utf-8"?>
<calcChain xmlns="http://schemas.openxmlformats.org/spreadsheetml/2006/main">
  <c r="C2" i="1" l="1"/>
  <c r="D2" i="1"/>
  <c r="C3" i="1"/>
  <c r="D3" i="1"/>
  <c r="C4" i="1"/>
  <c r="D4" i="1"/>
  <c r="C5" i="1"/>
  <c r="D5" i="1"/>
  <c r="C6" i="1"/>
  <c r="D6" i="1"/>
  <c r="C7" i="1"/>
  <c r="D7" i="1"/>
  <c r="C8" i="1"/>
  <c r="D8" i="1"/>
  <c r="C9" i="1"/>
  <c r="D9" i="1"/>
  <c r="C10" i="1"/>
  <c r="D10" i="1"/>
  <c r="C11" i="1"/>
  <c r="D11" i="1"/>
  <c r="C12" i="1"/>
  <c r="D12" i="1"/>
  <c r="C13" i="1"/>
  <c r="D13" i="1"/>
  <c r="C14" i="1"/>
  <c r="D14" i="1"/>
  <c r="C15" i="1"/>
  <c r="D15" i="1"/>
  <c r="C16" i="1"/>
  <c r="D16" i="1"/>
  <c r="C17" i="1"/>
  <c r="D17" i="1"/>
  <c r="C18" i="1"/>
  <c r="D18" i="1"/>
  <c r="C19" i="1"/>
  <c r="D19" i="1"/>
  <c r="C20" i="1"/>
  <c r="D20" i="1"/>
  <c r="C21" i="1"/>
  <c r="D21" i="1"/>
  <c r="C22" i="1"/>
  <c r="D22" i="1"/>
  <c r="C23" i="1"/>
  <c r="D23" i="1"/>
  <c r="C24" i="1"/>
  <c r="D24" i="1"/>
  <c r="C25" i="1"/>
  <c r="D25" i="1"/>
  <c r="C26" i="1"/>
  <c r="D26" i="1"/>
  <c r="C27" i="1"/>
  <c r="D27" i="1"/>
  <c r="C28" i="1"/>
  <c r="D28" i="1"/>
  <c r="C29" i="1"/>
  <c r="D29" i="1"/>
  <c r="C30" i="1"/>
  <c r="D30" i="1"/>
  <c r="C31" i="1"/>
  <c r="D31" i="1"/>
  <c r="C32" i="1"/>
  <c r="D32" i="1"/>
  <c r="C33" i="1"/>
  <c r="D33" i="1"/>
  <c r="C34" i="1"/>
  <c r="D34" i="1"/>
  <c r="C35" i="1"/>
  <c r="D35" i="1"/>
  <c r="C36" i="1"/>
  <c r="D36" i="1"/>
  <c r="C37" i="1"/>
  <c r="D37" i="1"/>
  <c r="C38" i="1"/>
  <c r="D38" i="1"/>
  <c r="C39" i="1"/>
  <c r="D39" i="1"/>
  <c r="C40" i="1"/>
  <c r="D40" i="1"/>
  <c r="C41" i="1"/>
  <c r="D41" i="1"/>
  <c r="C42" i="1"/>
  <c r="D42" i="1"/>
  <c r="C43" i="1"/>
  <c r="D43" i="1"/>
  <c r="C44" i="1"/>
  <c r="D44" i="1"/>
  <c r="C45" i="1"/>
  <c r="D45" i="1"/>
  <c r="C46" i="1"/>
  <c r="D46" i="1"/>
  <c r="C47" i="1"/>
  <c r="D47" i="1"/>
  <c r="C48" i="1"/>
  <c r="D48" i="1"/>
  <c r="C49" i="1"/>
  <c r="D49" i="1"/>
  <c r="C50" i="1"/>
  <c r="D50" i="1"/>
  <c r="C51" i="1"/>
  <c r="D51" i="1"/>
  <c r="C52" i="1"/>
  <c r="D52" i="1"/>
  <c r="C53" i="1"/>
  <c r="D53" i="1"/>
  <c r="C54" i="1"/>
  <c r="D54" i="1"/>
  <c r="C55" i="1"/>
  <c r="D55" i="1"/>
  <c r="C56" i="1"/>
  <c r="D56" i="1"/>
  <c r="C57" i="1"/>
  <c r="D57" i="1"/>
  <c r="C58" i="1"/>
  <c r="D58" i="1"/>
  <c r="C59" i="1"/>
  <c r="D59" i="1"/>
  <c r="C60" i="1"/>
  <c r="D60" i="1"/>
  <c r="C61" i="1"/>
  <c r="D61" i="1"/>
  <c r="C62" i="1"/>
  <c r="D62" i="1"/>
  <c r="C63" i="1"/>
  <c r="D63" i="1"/>
  <c r="C64" i="1"/>
  <c r="D64" i="1"/>
  <c r="C65" i="1"/>
  <c r="D65" i="1"/>
  <c r="C66" i="1"/>
  <c r="D66" i="1"/>
  <c r="C67" i="1"/>
  <c r="D67" i="1"/>
  <c r="C68" i="1"/>
  <c r="D68" i="1"/>
  <c r="C69" i="1"/>
  <c r="D69" i="1"/>
  <c r="C70" i="1"/>
  <c r="D70" i="1"/>
  <c r="C71" i="1"/>
  <c r="D71" i="1"/>
  <c r="C72" i="1"/>
  <c r="D72" i="1"/>
  <c r="C73" i="1"/>
  <c r="D73" i="1"/>
  <c r="C74" i="1"/>
  <c r="D74" i="1"/>
  <c r="C75" i="1"/>
  <c r="D75" i="1"/>
  <c r="C76" i="1"/>
  <c r="D76" i="1"/>
  <c r="C77" i="1"/>
  <c r="D77" i="1"/>
  <c r="C78" i="1"/>
  <c r="D78" i="1"/>
  <c r="C79" i="1"/>
  <c r="D79" i="1"/>
  <c r="C80" i="1"/>
  <c r="D80" i="1"/>
  <c r="C81" i="1"/>
  <c r="D81" i="1"/>
  <c r="C82" i="1"/>
  <c r="D82" i="1"/>
  <c r="C83" i="1"/>
  <c r="D83" i="1"/>
  <c r="C84" i="1"/>
  <c r="D84" i="1"/>
  <c r="C85" i="1"/>
  <c r="D85" i="1"/>
  <c r="C86" i="1"/>
  <c r="D86" i="1"/>
  <c r="C87" i="1"/>
  <c r="D87" i="1"/>
  <c r="C88" i="1"/>
  <c r="D88" i="1"/>
  <c r="C89" i="1"/>
  <c r="D89" i="1"/>
  <c r="C90" i="1"/>
  <c r="D90" i="1"/>
  <c r="C91" i="1"/>
  <c r="D91" i="1"/>
  <c r="C92" i="1"/>
  <c r="D92" i="1"/>
  <c r="C93" i="1"/>
  <c r="D93" i="1"/>
  <c r="C94" i="1"/>
  <c r="D94" i="1"/>
  <c r="C95" i="1"/>
  <c r="D95" i="1"/>
  <c r="C96" i="1"/>
  <c r="D96" i="1"/>
  <c r="C97" i="1"/>
  <c r="D97" i="1"/>
  <c r="C98" i="1"/>
  <c r="D98" i="1"/>
  <c r="C99" i="1"/>
  <c r="D99" i="1"/>
  <c r="C100" i="1"/>
  <c r="D100" i="1"/>
  <c r="C101" i="1"/>
  <c r="D101" i="1"/>
  <c r="C102" i="1"/>
  <c r="D102" i="1"/>
  <c r="C103" i="1"/>
  <c r="D103" i="1"/>
  <c r="C104" i="1"/>
  <c r="D104" i="1"/>
  <c r="C105" i="1"/>
  <c r="D105" i="1"/>
  <c r="C106" i="1"/>
  <c r="D106" i="1"/>
  <c r="C107" i="1"/>
  <c r="D107" i="1"/>
  <c r="C108" i="1"/>
  <c r="D108" i="1"/>
  <c r="C109" i="1"/>
  <c r="D109" i="1"/>
  <c r="C110" i="1"/>
  <c r="D110" i="1"/>
  <c r="C111" i="1"/>
  <c r="D111" i="1"/>
  <c r="C112" i="1"/>
  <c r="D112" i="1"/>
  <c r="C113" i="1"/>
  <c r="D113" i="1"/>
  <c r="C114" i="1"/>
  <c r="D114" i="1"/>
  <c r="C115" i="1"/>
  <c r="D115" i="1"/>
  <c r="C116" i="1"/>
  <c r="D116" i="1"/>
  <c r="C117" i="1"/>
  <c r="D117" i="1"/>
  <c r="C118" i="1"/>
  <c r="D118" i="1"/>
  <c r="C119" i="1"/>
  <c r="D119" i="1"/>
  <c r="C120" i="1"/>
  <c r="D120" i="1"/>
  <c r="C121" i="1"/>
  <c r="D121" i="1"/>
  <c r="C122" i="1"/>
  <c r="D122" i="1"/>
  <c r="C123" i="1"/>
  <c r="D123" i="1"/>
  <c r="C124" i="1"/>
  <c r="D124" i="1"/>
  <c r="C125" i="1"/>
  <c r="D125" i="1"/>
  <c r="C126" i="1"/>
  <c r="D126" i="1"/>
  <c r="C127" i="1"/>
  <c r="D127" i="1"/>
  <c r="C128" i="1"/>
  <c r="D128" i="1"/>
  <c r="C129" i="1"/>
  <c r="D129" i="1"/>
  <c r="C130" i="1"/>
  <c r="D130" i="1"/>
  <c r="C131" i="1"/>
  <c r="D131" i="1"/>
  <c r="C132" i="1"/>
  <c r="D132" i="1"/>
  <c r="C133" i="1"/>
  <c r="D133" i="1"/>
  <c r="C134" i="1"/>
  <c r="D134" i="1"/>
  <c r="C135" i="1"/>
  <c r="D135" i="1"/>
  <c r="C136" i="1"/>
  <c r="D136" i="1"/>
  <c r="C137" i="1"/>
  <c r="D137" i="1"/>
  <c r="C138" i="1"/>
  <c r="D138" i="1"/>
  <c r="C139" i="1"/>
  <c r="D139" i="1"/>
  <c r="C140" i="1"/>
  <c r="D140" i="1"/>
  <c r="C141" i="1"/>
  <c r="D141" i="1"/>
  <c r="C142" i="1"/>
  <c r="D142" i="1"/>
  <c r="C143" i="1"/>
  <c r="D143" i="1"/>
  <c r="C144" i="1"/>
  <c r="D144" i="1"/>
  <c r="C145" i="1"/>
  <c r="D145" i="1"/>
  <c r="C146" i="1"/>
  <c r="D146" i="1"/>
  <c r="C147" i="1"/>
  <c r="D147" i="1"/>
  <c r="C148" i="1"/>
  <c r="D148" i="1"/>
  <c r="C149" i="1"/>
  <c r="D149" i="1"/>
  <c r="C150" i="1"/>
  <c r="D150" i="1"/>
  <c r="C151" i="1"/>
  <c r="D151" i="1"/>
  <c r="C152" i="1"/>
  <c r="D152" i="1"/>
  <c r="C153" i="1"/>
  <c r="D153" i="1"/>
  <c r="C154" i="1"/>
  <c r="D154" i="1"/>
  <c r="C155" i="1"/>
  <c r="D155" i="1"/>
  <c r="C156" i="1"/>
  <c r="D156" i="1"/>
  <c r="C157" i="1"/>
  <c r="D157" i="1"/>
  <c r="C158" i="1"/>
  <c r="D158" i="1"/>
  <c r="C159" i="1"/>
  <c r="D159" i="1"/>
  <c r="C160" i="1"/>
  <c r="D160" i="1"/>
  <c r="C161" i="1"/>
  <c r="D161" i="1"/>
  <c r="C162" i="1"/>
  <c r="D162" i="1"/>
  <c r="C163" i="1"/>
  <c r="D163" i="1"/>
  <c r="C164" i="1"/>
  <c r="D164" i="1"/>
  <c r="C165" i="1"/>
  <c r="D165" i="1"/>
  <c r="C166" i="1"/>
  <c r="D166" i="1"/>
  <c r="C167" i="1"/>
  <c r="D167" i="1"/>
  <c r="C168" i="1"/>
  <c r="D168" i="1"/>
  <c r="C169" i="1"/>
  <c r="D169" i="1"/>
  <c r="C170" i="1"/>
  <c r="D170" i="1"/>
  <c r="C171" i="1"/>
  <c r="D171" i="1"/>
  <c r="C172" i="1"/>
  <c r="D172" i="1"/>
  <c r="C173" i="1"/>
  <c r="D173" i="1"/>
  <c r="C174" i="1"/>
  <c r="D174" i="1"/>
  <c r="C175" i="1"/>
  <c r="D175" i="1"/>
  <c r="C176" i="1"/>
  <c r="D176" i="1"/>
  <c r="C177" i="1"/>
  <c r="D177" i="1"/>
  <c r="C178" i="1"/>
  <c r="D178" i="1"/>
  <c r="C179" i="1"/>
  <c r="D179" i="1"/>
  <c r="C180" i="1"/>
  <c r="D180" i="1"/>
  <c r="C181" i="1"/>
  <c r="D181" i="1"/>
  <c r="C182" i="1"/>
  <c r="D182" i="1"/>
  <c r="C183" i="1"/>
  <c r="D183" i="1"/>
  <c r="C184" i="1"/>
  <c r="D184" i="1"/>
  <c r="C185" i="1"/>
  <c r="D185" i="1"/>
  <c r="C186" i="1"/>
  <c r="D186" i="1"/>
  <c r="C187" i="1"/>
  <c r="D187" i="1"/>
  <c r="C188" i="1"/>
  <c r="D188" i="1"/>
  <c r="C189" i="1"/>
  <c r="D189" i="1"/>
  <c r="C190" i="1"/>
  <c r="D190" i="1"/>
  <c r="C191" i="1"/>
  <c r="D191" i="1"/>
  <c r="C192" i="1"/>
  <c r="D192" i="1"/>
  <c r="C193" i="1"/>
  <c r="D193" i="1"/>
  <c r="C194" i="1"/>
  <c r="D194" i="1"/>
  <c r="C195" i="1"/>
  <c r="D195" i="1"/>
  <c r="C196" i="1"/>
  <c r="D196" i="1"/>
  <c r="C197" i="1"/>
  <c r="D197" i="1"/>
  <c r="C198" i="1"/>
  <c r="D198" i="1"/>
  <c r="C199" i="1"/>
  <c r="D199" i="1"/>
  <c r="C200" i="1"/>
  <c r="D200" i="1"/>
  <c r="C201" i="1"/>
  <c r="D201" i="1"/>
  <c r="C202" i="1"/>
  <c r="D202" i="1"/>
  <c r="C203" i="1"/>
  <c r="D203" i="1"/>
  <c r="C204" i="1"/>
  <c r="D204" i="1"/>
  <c r="C205" i="1"/>
  <c r="D205" i="1"/>
  <c r="C206" i="1"/>
  <c r="D206" i="1"/>
  <c r="C207" i="1"/>
  <c r="D207" i="1"/>
  <c r="C208" i="1"/>
  <c r="D208" i="1"/>
  <c r="C209" i="1"/>
  <c r="D209" i="1"/>
  <c r="C210" i="1"/>
  <c r="D210" i="1"/>
  <c r="C211" i="1"/>
  <c r="D211" i="1"/>
  <c r="C212" i="1"/>
  <c r="D212" i="1"/>
  <c r="C213" i="1"/>
  <c r="D213" i="1"/>
  <c r="C214" i="1"/>
  <c r="D214" i="1"/>
  <c r="C215" i="1"/>
  <c r="D215" i="1"/>
  <c r="C216" i="1"/>
  <c r="D216" i="1"/>
  <c r="C217" i="1"/>
  <c r="D217" i="1"/>
  <c r="C218" i="1"/>
  <c r="D218" i="1"/>
  <c r="C219" i="1"/>
  <c r="D219" i="1"/>
  <c r="C220" i="1"/>
  <c r="D220" i="1"/>
  <c r="C221" i="1"/>
  <c r="D221" i="1"/>
  <c r="C222" i="1"/>
  <c r="D222" i="1"/>
  <c r="C223" i="1"/>
  <c r="D223" i="1"/>
  <c r="C224" i="1"/>
  <c r="D224" i="1"/>
  <c r="C225" i="1"/>
  <c r="D225" i="1"/>
  <c r="C226" i="1"/>
  <c r="D226" i="1"/>
  <c r="C227" i="1"/>
  <c r="D227" i="1"/>
  <c r="C228" i="1"/>
  <c r="D228" i="1"/>
  <c r="C229" i="1"/>
  <c r="D229" i="1"/>
  <c r="C230" i="1"/>
  <c r="D230" i="1"/>
  <c r="C231" i="1"/>
  <c r="D231" i="1"/>
  <c r="C232" i="1"/>
  <c r="D232" i="1"/>
  <c r="C233" i="1"/>
  <c r="D233" i="1"/>
  <c r="C234" i="1"/>
  <c r="D234" i="1"/>
  <c r="C235" i="1"/>
  <c r="D235" i="1"/>
  <c r="C236" i="1"/>
  <c r="D236" i="1"/>
  <c r="C237" i="1"/>
  <c r="D237" i="1"/>
  <c r="C238" i="1"/>
  <c r="D238" i="1"/>
  <c r="C239" i="1"/>
  <c r="D239" i="1"/>
  <c r="C240" i="1"/>
  <c r="D240" i="1"/>
  <c r="C241" i="1"/>
  <c r="D241" i="1"/>
  <c r="C242" i="1"/>
  <c r="D242" i="1"/>
  <c r="C243" i="1"/>
  <c r="D243" i="1"/>
  <c r="C244" i="1"/>
  <c r="D244" i="1"/>
  <c r="C245" i="1"/>
  <c r="D245" i="1"/>
  <c r="C246" i="1"/>
  <c r="D246" i="1"/>
  <c r="C247" i="1"/>
  <c r="D247" i="1"/>
  <c r="C248" i="1"/>
  <c r="D248" i="1"/>
  <c r="C249" i="1"/>
  <c r="D249" i="1"/>
  <c r="C250" i="1"/>
  <c r="D250" i="1"/>
  <c r="C251" i="1"/>
  <c r="D251" i="1"/>
  <c r="C252" i="1"/>
  <c r="D252" i="1"/>
  <c r="C253" i="1"/>
  <c r="D253" i="1"/>
  <c r="C254" i="1"/>
  <c r="D254" i="1"/>
  <c r="C255" i="1"/>
  <c r="D255" i="1"/>
  <c r="C256" i="1"/>
  <c r="D256" i="1"/>
  <c r="C257" i="1"/>
  <c r="D257" i="1"/>
  <c r="C258" i="1"/>
  <c r="D258" i="1"/>
  <c r="C259" i="1"/>
  <c r="D259" i="1"/>
  <c r="C260" i="1"/>
  <c r="D260" i="1"/>
  <c r="C261" i="1"/>
  <c r="D261" i="1"/>
  <c r="C262" i="1"/>
  <c r="D262" i="1"/>
  <c r="C263" i="1"/>
  <c r="D263" i="1"/>
  <c r="C264" i="1"/>
  <c r="D264" i="1"/>
  <c r="C265" i="1"/>
  <c r="D265" i="1"/>
  <c r="C266" i="1"/>
  <c r="D266" i="1"/>
  <c r="C267" i="1"/>
  <c r="D267" i="1"/>
  <c r="C268" i="1"/>
  <c r="D268" i="1"/>
  <c r="C269" i="1"/>
  <c r="D269" i="1"/>
  <c r="C270" i="1"/>
  <c r="D270" i="1"/>
  <c r="C271" i="1"/>
  <c r="D271" i="1"/>
  <c r="C272" i="1"/>
  <c r="D272" i="1"/>
  <c r="C273" i="1"/>
  <c r="D273" i="1"/>
  <c r="C274" i="1"/>
  <c r="D274" i="1"/>
  <c r="C275" i="1"/>
  <c r="D275" i="1"/>
  <c r="C276" i="1"/>
  <c r="D276" i="1"/>
  <c r="C277" i="1"/>
  <c r="D277" i="1"/>
  <c r="C278" i="1"/>
  <c r="D278" i="1"/>
  <c r="C279" i="1"/>
  <c r="D279" i="1"/>
  <c r="C280" i="1"/>
  <c r="D280" i="1"/>
  <c r="C281" i="1"/>
  <c r="D281" i="1"/>
  <c r="C282" i="1"/>
  <c r="D282" i="1"/>
  <c r="C283" i="1"/>
  <c r="D283" i="1"/>
  <c r="C284" i="1"/>
  <c r="D284" i="1"/>
  <c r="C285" i="1"/>
  <c r="D285" i="1"/>
  <c r="C286" i="1"/>
  <c r="D286" i="1"/>
  <c r="C287" i="1"/>
  <c r="D287" i="1"/>
  <c r="C288" i="1"/>
  <c r="D288" i="1"/>
  <c r="C289" i="1"/>
  <c r="D289" i="1"/>
  <c r="C290" i="1"/>
  <c r="D290" i="1"/>
  <c r="C291" i="1"/>
  <c r="D291" i="1"/>
  <c r="C292" i="1"/>
  <c r="D292" i="1"/>
  <c r="C293" i="1"/>
  <c r="D293" i="1"/>
  <c r="C294" i="1"/>
  <c r="D294" i="1"/>
  <c r="C295" i="1"/>
  <c r="D295" i="1"/>
  <c r="C296" i="1"/>
  <c r="D296" i="1"/>
  <c r="C297" i="1"/>
  <c r="D297" i="1"/>
  <c r="C298" i="1"/>
  <c r="D298" i="1"/>
  <c r="C299" i="1"/>
  <c r="D299" i="1"/>
  <c r="C300" i="1"/>
  <c r="D300" i="1"/>
  <c r="C301" i="1"/>
  <c r="D301" i="1"/>
  <c r="C302" i="1"/>
  <c r="D302" i="1"/>
  <c r="C303" i="1"/>
  <c r="D303" i="1"/>
  <c r="C304" i="1"/>
  <c r="D304" i="1"/>
  <c r="C305" i="1"/>
  <c r="D305" i="1"/>
  <c r="C306" i="1"/>
  <c r="D306" i="1"/>
  <c r="C307" i="1"/>
  <c r="D307" i="1"/>
  <c r="C308" i="1"/>
  <c r="D308" i="1"/>
  <c r="C309" i="1"/>
  <c r="D309" i="1"/>
  <c r="C310" i="1"/>
  <c r="D310" i="1"/>
  <c r="C311" i="1"/>
  <c r="D311" i="1"/>
  <c r="C312" i="1"/>
  <c r="D312" i="1"/>
  <c r="C313" i="1"/>
  <c r="D313" i="1"/>
  <c r="C314" i="1"/>
  <c r="D314" i="1"/>
  <c r="C315" i="1"/>
  <c r="D315" i="1"/>
  <c r="C316" i="1"/>
  <c r="D316" i="1"/>
  <c r="C317" i="1"/>
  <c r="D317" i="1"/>
  <c r="C318" i="1"/>
  <c r="D318" i="1"/>
  <c r="C319" i="1"/>
  <c r="D319" i="1"/>
  <c r="C320" i="1"/>
  <c r="D320" i="1"/>
  <c r="C321" i="1"/>
  <c r="D321" i="1"/>
  <c r="C322" i="1"/>
  <c r="D322" i="1"/>
  <c r="C323" i="1"/>
  <c r="D323" i="1"/>
  <c r="C324" i="1"/>
  <c r="D324" i="1"/>
  <c r="C325" i="1"/>
  <c r="D325" i="1"/>
  <c r="C326" i="1"/>
  <c r="D326" i="1"/>
  <c r="C327" i="1"/>
  <c r="D327" i="1"/>
  <c r="C328" i="1"/>
  <c r="D328" i="1"/>
  <c r="C329" i="1"/>
  <c r="D329" i="1"/>
  <c r="C330" i="1"/>
  <c r="D330" i="1"/>
  <c r="C331" i="1"/>
  <c r="D331" i="1"/>
  <c r="C332" i="1"/>
  <c r="D332" i="1"/>
  <c r="C333" i="1"/>
  <c r="D333" i="1"/>
  <c r="C334" i="1"/>
  <c r="D334" i="1"/>
  <c r="C335" i="1"/>
  <c r="D335" i="1"/>
  <c r="C336" i="1"/>
  <c r="D336" i="1"/>
  <c r="C337" i="1"/>
  <c r="D337" i="1"/>
  <c r="C338" i="1"/>
  <c r="D338" i="1"/>
  <c r="C339" i="1"/>
  <c r="D339" i="1"/>
  <c r="C340" i="1"/>
  <c r="D340" i="1"/>
  <c r="C341" i="1"/>
  <c r="D341" i="1"/>
  <c r="C342" i="1"/>
  <c r="D342" i="1"/>
  <c r="C343" i="1"/>
  <c r="D343" i="1"/>
  <c r="C344" i="1"/>
  <c r="D344" i="1"/>
  <c r="C345" i="1"/>
  <c r="D345" i="1"/>
  <c r="C346" i="1"/>
  <c r="D346" i="1"/>
  <c r="C347" i="1"/>
  <c r="D347" i="1"/>
  <c r="C348" i="1"/>
  <c r="D348" i="1"/>
  <c r="C349" i="1"/>
  <c r="D349" i="1"/>
  <c r="C350" i="1"/>
  <c r="D350" i="1"/>
  <c r="C351" i="1"/>
  <c r="D351" i="1"/>
  <c r="C352" i="1"/>
  <c r="D352" i="1"/>
  <c r="C353" i="1"/>
  <c r="D353" i="1"/>
  <c r="C354" i="1"/>
  <c r="D354" i="1"/>
  <c r="C355" i="1"/>
  <c r="D355" i="1"/>
  <c r="C356" i="1"/>
  <c r="D356" i="1"/>
  <c r="C357" i="1"/>
  <c r="D357" i="1"/>
  <c r="C358" i="1"/>
  <c r="D358" i="1"/>
  <c r="C359" i="1"/>
  <c r="D359" i="1"/>
  <c r="C360" i="1"/>
  <c r="D360" i="1"/>
  <c r="C361" i="1"/>
  <c r="D361" i="1"/>
  <c r="C362" i="1"/>
  <c r="D362" i="1"/>
  <c r="C363" i="1"/>
  <c r="D363" i="1"/>
  <c r="C364" i="1"/>
  <c r="D364" i="1"/>
  <c r="C365" i="1"/>
  <c r="D365" i="1"/>
  <c r="C366" i="1"/>
  <c r="D366" i="1"/>
  <c r="C367" i="1"/>
  <c r="D367" i="1"/>
  <c r="C368" i="1"/>
  <c r="D368" i="1"/>
  <c r="C369" i="1"/>
  <c r="D369" i="1"/>
  <c r="C370" i="1"/>
  <c r="D370" i="1"/>
  <c r="C371" i="1"/>
  <c r="D371" i="1"/>
  <c r="C372" i="1"/>
  <c r="D372" i="1"/>
  <c r="C373" i="1"/>
  <c r="D373" i="1"/>
  <c r="C374" i="1"/>
  <c r="D374" i="1"/>
  <c r="C375" i="1"/>
  <c r="D375" i="1"/>
  <c r="C376" i="1"/>
  <c r="D376" i="1"/>
  <c r="C377" i="1"/>
  <c r="D377" i="1"/>
  <c r="C378" i="1"/>
  <c r="D378" i="1"/>
  <c r="C379" i="1"/>
  <c r="D379" i="1"/>
  <c r="C380" i="1"/>
  <c r="D380" i="1"/>
  <c r="C381" i="1"/>
  <c r="D381" i="1"/>
  <c r="C382" i="1"/>
  <c r="D382" i="1"/>
  <c r="C383" i="1"/>
  <c r="D383" i="1"/>
  <c r="C384" i="1"/>
  <c r="D384" i="1"/>
  <c r="C385" i="1"/>
  <c r="D385" i="1"/>
  <c r="C386" i="1"/>
  <c r="D386" i="1"/>
  <c r="C387" i="1"/>
  <c r="D387" i="1"/>
  <c r="C388" i="1"/>
  <c r="D388" i="1"/>
  <c r="C389" i="1"/>
  <c r="D389" i="1"/>
  <c r="C390" i="1"/>
  <c r="D390" i="1"/>
  <c r="C391" i="1"/>
  <c r="D391" i="1"/>
  <c r="C392" i="1"/>
  <c r="D392" i="1"/>
  <c r="C393" i="1"/>
  <c r="D393" i="1"/>
  <c r="C394" i="1"/>
  <c r="D394" i="1"/>
  <c r="C395" i="1"/>
  <c r="D395" i="1"/>
  <c r="C396" i="1"/>
  <c r="D396" i="1"/>
  <c r="C397" i="1"/>
  <c r="D397" i="1"/>
  <c r="C398" i="1"/>
  <c r="D398" i="1"/>
  <c r="C399" i="1"/>
  <c r="D399" i="1"/>
  <c r="C400" i="1"/>
  <c r="D400" i="1"/>
  <c r="C401" i="1"/>
  <c r="D401" i="1"/>
  <c r="C402" i="1"/>
  <c r="D402" i="1"/>
  <c r="C403" i="1"/>
  <c r="D403" i="1"/>
  <c r="C404" i="1"/>
  <c r="D404" i="1"/>
  <c r="C405" i="1"/>
  <c r="D405" i="1"/>
  <c r="C406" i="1"/>
  <c r="D406" i="1"/>
  <c r="C407" i="1"/>
  <c r="D407" i="1"/>
  <c r="C408" i="1"/>
  <c r="D408" i="1"/>
  <c r="C409" i="1"/>
  <c r="D409" i="1"/>
  <c r="C410" i="1"/>
  <c r="D410" i="1"/>
  <c r="C411" i="1"/>
  <c r="D411" i="1"/>
  <c r="C412" i="1"/>
  <c r="D412" i="1"/>
  <c r="C413" i="1"/>
  <c r="D413" i="1"/>
  <c r="C414" i="1"/>
  <c r="D414" i="1"/>
  <c r="C415" i="1"/>
  <c r="D415" i="1"/>
  <c r="C416" i="1"/>
  <c r="D416" i="1"/>
  <c r="C417" i="1"/>
  <c r="D417" i="1"/>
  <c r="C418" i="1"/>
  <c r="D418" i="1"/>
  <c r="C419" i="1"/>
  <c r="D419" i="1"/>
  <c r="C420" i="1"/>
  <c r="D420" i="1"/>
  <c r="C421" i="1"/>
  <c r="D421" i="1"/>
  <c r="C422" i="1"/>
  <c r="D422" i="1"/>
  <c r="C423" i="1"/>
  <c r="D423" i="1"/>
  <c r="C424" i="1"/>
  <c r="D424" i="1"/>
  <c r="C425" i="1"/>
  <c r="D425" i="1"/>
  <c r="C426" i="1"/>
  <c r="D426" i="1"/>
  <c r="C427" i="1"/>
  <c r="D427" i="1"/>
  <c r="C428" i="1"/>
  <c r="D428" i="1"/>
  <c r="C429" i="1"/>
  <c r="D429" i="1"/>
  <c r="C430" i="1"/>
  <c r="D430" i="1"/>
  <c r="C431" i="1"/>
  <c r="D431" i="1"/>
  <c r="C432" i="1"/>
  <c r="D432" i="1"/>
  <c r="C433" i="1"/>
  <c r="D433" i="1"/>
  <c r="C434" i="1"/>
  <c r="D434" i="1"/>
  <c r="C435" i="1"/>
  <c r="D435" i="1"/>
  <c r="C436" i="1"/>
  <c r="D436" i="1"/>
  <c r="C437" i="1"/>
  <c r="D437" i="1"/>
  <c r="C438" i="1"/>
  <c r="D438" i="1"/>
  <c r="C439" i="1"/>
  <c r="D439" i="1"/>
  <c r="C440" i="1"/>
  <c r="D440" i="1"/>
  <c r="C441" i="1"/>
  <c r="D441" i="1"/>
  <c r="C442" i="1"/>
  <c r="D442" i="1"/>
  <c r="C443" i="1"/>
  <c r="D443" i="1"/>
  <c r="C444" i="1"/>
  <c r="D444" i="1"/>
  <c r="C445" i="1"/>
  <c r="D445" i="1"/>
  <c r="C446" i="1"/>
  <c r="D446" i="1"/>
  <c r="C447" i="1"/>
  <c r="D447" i="1"/>
  <c r="C448" i="1"/>
  <c r="D448" i="1"/>
  <c r="C449" i="1"/>
  <c r="D449" i="1"/>
  <c r="C450" i="1"/>
  <c r="D450" i="1"/>
  <c r="C451" i="1"/>
  <c r="D451" i="1"/>
  <c r="C452" i="1"/>
  <c r="D452" i="1"/>
  <c r="C453" i="1"/>
  <c r="D453" i="1"/>
  <c r="C454" i="1"/>
  <c r="D454" i="1"/>
  <c r="C455" i="1"/>
  <c r="D455" i="1"/>
  <c r="C456" i="1"/>
  <c r="D456" i="1"/>
  <c r="C457" i="1"/>
  <c r="D457" i="1"/>
  <c r="C458" i="1"/>
  <c r="D458" i="1"/>
  <c r="C459" i="1"/>
  <c r="D459" i="1"/>
  <c r="C460" i="1"/>
  <c r="D460" i="1"/>
  <c r="C461" i="1"/>
  <c r="D461" i="1"/>
  <c r="C462" i="1"/>
  <c r="D462" i="1"/>
  <c r="C463" i="1"/>
  <c r="D463" i="1"/>
  <c r="C464" i="1"/>
  <c r="D464" i="1"/>
  <c r="C465" i="1"/>
  <c r="D465" i="1"/>
  <c r="C466" i="1"/>
  <c r="D466" i="1"/>
  <c r="C467" i="1"/>
  <c r="D467" i="1"/>
  <c r="C468" i="1"/>
  <c r="D468" i="1"/>
  <c r="C469" i="1"/>
  <c r="D469" i="1"/>
  <c r="C470" i="1"/>
  <c r="D470" i="1"/>
  <c r="C471" i="1"/>
  <c r="D471" i="1"/>
  <c r="C472" i="1"/>
  <c r="D472" i="1"/>
  <c r="C473" i="1"/>
  <c r="D473" i="1"/>
  <c r="C474" i="1"/>
  <c r="D474" i="1"/>
  <c r="C475" i="1"/>
  <c r="D475" i="1"/>
  <c r="C476" i="1"/>
  <c r="D476" i="1"/>
  <c r="C477" i="1"/>
  <c r="D477" i="1"/>
  <c r="C478" i="1"/>
  <c r="D478" i="1"/>
  <c r="C479" i="1"/>
  <c r="D479" i="1"/>
  <c r="C480" i="1"/>
  <c r="D480" i="1"/>
  <c r="C481" i="1"/>
  <c r="D481" i="1"/>
  <c r="C482" i="1"/>
  <c r="D482" i="1"/>
  <c r="C483" i="1"/>
  <c r="D483" i="1"/>
  <c r="C484" i="1"/>
  <c r="D484" i="1"/>
  <c r="C485" i="1"/>
  <c r="D485" i="1"/>
  <c r="C486" i="1"/>
  <c r="D486" i="1"/>
  <c r="C487" i="1"/>
  <c r="D487" i="1"/>
  <c r="C488" i="1"/>
  <c r="D488" i="1"/>
  <c r="C489" i="1"/>
  <c r="D489" i="1"/>
  <c r="C490" i="1"/>
  <c r="D490" i="1"/>
  <c r="C491" i="1"/>
  <c r="D491" i="1"/>
  <c r="C492" i="1"/>
  <c r="D492" i="1"/>
  <c r="C493" i="1"/>
  <c r="D493" i="1"/>
  <c r="C494" i="1"/>
  <c r="D494" i="1"/>
  <c r="C495" i="1"/>
  <c r="D495" i="1"/>
  <c r="C496" i="1"/>
  <c r="D496" i="1"/>
  <c r="C497" i="1"/>
  <c r="D497" i="1"/>
  <c r="C498" i="1"/>
  <c r="D498" i="1"/>
  <c r="C499" i="1"/>
  <c r="D499" i="1"/>
  <c r="C500" i="1"/>
  <c r="D500" i="1"/>
  <c r="C501" i="1"/>
  <c r="D501" i="1"/>
  <c r="C502" i="1"/>
  <c r="D502" i="1"/>
  <c r="C503" i="1"/>
  <c r="D503" i="1"/>
  <c r="C504" i="1"/>
  <c r="D504" i="1"/>
  <c r="C505" i="1"/>
  <c r="D505" i="1"/>
  <c r="C506" i="1"/>
  <c r="D506" i="1"/>
  <c r="C507" i="1"/>
  <c r="D507" i="1"/>
  <c r="C508" i="1"/>
  <c r="D508" i="1"/>
  <c r="C509" i="1"/>
  <c r="D509" i="1"/>
  <c r="C510" i="1"/>
  <c r="D510" i="1"/>
  <c r="C511" i="1"/>
  <c r="D511" i="1"/>
  <c r="C512" i="1"/>
  <c r="D512" i="1"/>
  <c r="C513" i="1"/>
  <c r="D513" i="1"/>
  <c r="C514" i="1"/>
  <c r="D514" i="1"/>
  <c r="C515" i="1"/>
  <c r="D515" i="1"/>
  <c r="C516" i="1"/>
  <c r="D516" i="1"/>
  <c r="C517" i="1"/>
  <c r="D517" i="1"/>
  <c r="C518" i="1"/>
  <c r="D518" i="1"/>
  <c r="C519" i="1"/>
  <c r="D519" i="1"/>
  <c r="C520" i="1"/>
  <c r="D520" i="1"/>
  <c r="C521" i="1"/>
  <c r="D521" i="1"/>
  <c r="C522" i="1"/>
  <c r="D522" i="1"/>
  <c r="C523" i="1"/>
  <c r="D523" i="1"/>
  <c r="C524" i="1"/>
  <c r="D524" i="1"/>
  <c r="C525" i="1"/>
  <c r="D525" i="1"/>
  <c r="C526" i="1"/>
  <c r="D526" i="1"/>
  <c r="C527" i="1"/>
  <c r="D527" i="1"/>
  <c r="C528" i="1"/>
  <c r="D528" i="1"/>
  <c r="C529" i="1"/>
  <c r="D529" i="1"/>
  <c r="C530" i="1"/>
  <c r="D530" i="1"/>
  <c r="C531" i="1"/>
  <c r="D531" i="1"/>
  <c r="C532" i="1"/>
  <c r="D532" i="1"/>
  <c r="C533" i="1"/>
  <c r="D533" i="1"/>
  <c r="C534" i="1"/>
  <c r="D534" i="1"/>
  <c r="C535" i="1"/>
  <c r="D535" i="1"/>
  <c r="C536" i="1"/>
  <c r="D536" i="1"/>
  <c r="C537" i="1"/>
  <c r="D537" i="1"/>
  <c r="C538" i="1"/>
  <c r="D538" i="1"/>
  <c r="C539" i="1"/>
  <c r="D539" i="1"/>
  <c r="C540" i="1"/>
  <c r="D540" i="1"/>
  <c r="C541" i="1"/>
  <c r="D541" i="1"/>
  <c r="C542" i="1"/>
  <c r="D542" i="1"/>
  <c r="C543" i="1"/>
  <c r="D543" i="1"/>
  <c r="C544" i="1"/>
  <c r="D544" i="1"/>
  <c r="C545" i="1"/>
  <c r="D545" i="1"/>
  <c r="C546" i="1"/>
  <c r="D546" i="1"/>
  <c r="C547" i="1"/>
  <c r="D547" i="1"/>
  <c r="C548" i="1"/>
  <c r="D548" i="1"/>
  <c r="C549" i="1"/>
  <c r="D549" i="1"/>
  <c r="C550" i="1"/>
  <c r="D550" i="1"/>
  <c r="C551" i="1"/>
  <c r="D551" i="1"/>
  <c r="C552" i="1"/>
  <c r="D552" i="1"/>
  <c r="C553" i="1"/>
  <c r="D553" i="1"/>
  <c r="C554" i="1"/>
  <c r="D554" i="1"/>
  <c r="C555" i="1"/>
  <c r="D555" i="1"/>
  <c r="C556" i="1"/>
  <c r="D556" i="1"/>
  <c r="C557" i="1"/>
  <c r="D557" i="1"/>
  <c r="C558" i="1"/>
  <c r="D558" i="1"/>
  <c r="C559" i="1"/>
  <c r="D559" i="1"/>
  <c r="C560" i="1"/>
  <c r="D560" i="1"/>
  <c r="C561" i="1"/>
  <c r="D561" i="1"/>
  <c r="C562" i="1"/>
  <c r="D562" i="1"/>
  <c r="C563" i="1"/>
  <c r="D563" i="1"/>
  <c r="C564" i="1"/>
  <c r="D564" i="1"/>
  <c r="C565" i="1"/>
  <c r="D565" i="1"/>
  <c r="C566" i="1"/>
  <c r="D566" i="1"/>
  <c r="C567" i="1"/>
  <c r="D567" i="1"/>
  <c r="C568" i="1"/>
  <c r="D568" i="1"/>
  <c r="C569" i="1"/>
  <c r="D569" i="1"/>
  <c r="C570" i="1"/>
  <c r="D570" i="1"/>
  <c r="C571" i="1"/>
  <c r="D571" i="1"/>
  <c r="C572" i="1"/>
  <c r="D572" i="1"/>
  <c r="C573" i="1"/>
  <c r="D573" i="1"/>
  <c r="C574" i="1"/>
  <c r="D574" i="1"/>
  <c r="C575" i="1"/>
  <c r="D575" i="1"/>
  <c r="C576" i="1"/>
  <c r="D576" i="1"/>
  <c r="C577" i="1"/>
  <c r="D577" i="1"/>
  <c r="C578" i="1"/>
  <c r="D578" i="1"/>
  <c r="C579" i="1"/>
  <c r="D579" i="1"/>
  <c r="C580" i="1"/>
  <c r="D580" i="1"/>
  <c r="C581" i="1"/>
  <c r="D581" i="1"/>
  <c r="C582" i="1"/>
  <c r="D582" i="1"/>
  <c r="C583" i="1"/>
  <c r="D583" i="1"/>
  <c r="C584" i="1"/>
  <c r="D584" i="1"/>
  <c r="C585" i="1"/>
  <c r="D585" i="1"/>
  <c r="C586" i="1"/>
  <c r="D586" i="1"/>
  <c r="C587" i="1"/>
  <c r="D587" i="1"/>
  <c r="C588" i="1"/>
  <c r="D588" i="1"/>
  <c r="C589" i="1"/>
  <c r="D589" i="1"/>
  <c r="C590" i="1"/>
  <c r="D590" i="1"/>
  <c r="C591" i="1"/>
  <c r="D591" i="1"/>
  <c r="C592" i="1"/>
  <c r="D592" i="1"/>
  <c r="C593" i="1"/>
  <c r="D593" i="1"/>
  <c r="C594" i="1"/>
  <c r="D594" i="1"/>
  <c r="C595" i="1"/>
  <c r="D595" i="1"/>
  <c r="C597" i="1"/>
  <c r="D597" i="1"/>
  <c r="C598" i="1"/>
  <c r="D598" i="1"/>
  <c r="C599" i="1"/>
  <c r="D599" i="1"/>
  <c r="C600" i="1"/>
  <c r="D600" i="1"/>
  <c r="C601" i="1"/>
  <c r="D601" i="1"/>
  <c r="C602" i="1"/>
  <c r="D602" i="1"/>
  <c r="C603" i="1"/>
  <c r="D603" i="1"/>
  <c r="C604" i="1"/>
  <c r="D604" i="1"/>
  <c r="C605" i="1"/>
  <c r="D605" i="1"/>
  <c r="C606" i="1"/>
  <c r="D606" i="1"/>
  <c r="C607" i="1"/>
  <c r="D607" i="1"/>
  <c r="C608" i="1"/>
  <c r="D608" i="1"/>
  <c r="C609" i="1"/>
  <c r="D609" i="1"/>
  <c r="C610" i="1"/>
  <c r="D610" i="1"/>
  <c r="C611" i="1"/>
  <c r="D611" i="1"/>
  <c r="C612" i="1"/>
  <c r="D612" i="1"/>
  <c r="C613" i="1"/>
  <c r="D613" i="1"/>
  <c r="C614" i="1"/>
  <c r="D614" i="1"/>
  <c r="C615" i="1"/>
  <c r="D615" i="1"/>
  <c r="C616" i="1"/>
  <c r="D616" i="1"/>
  <c r="C617" i="1"/>
  <c r="D617" i="1"/>
  <c r="C618" i="1"/>
  <c r="D618" i="1"/>
  <c r="C619" i="1"/>
  <c r="D619" i="1"/>
  <c r="C620" i="1"/>
  <c r="D620" i="1"/>
  <c r="C621" i="1"/>
  <c r="D621" i="1"/>
  <c r="C622" i="1"/>
  <c r="D622" i="1"/>
  <c r="C623" i="1"/>
  <c r="D623" i="1"/>
  <c r="C624" i="1"/>
  <c r="D624" i="1"/>
  <c r="C625" i="1"/>
  <c r="D625" i="1"/>
  <c r="C626" i="1"/>
  <c r="D626" i="1"/>
  <c r="C627" i="1"/>
  <c r="D627" i="1"/>
  <c r="C628" i="1"/>
  <c r="D628" i="1"/>
  <c r="C629" i="1"/>
  <c r="D629" i="1"/>
  <c r="C630" i="1"/>
  <c r="D630" i="1"/>
  <c r="C631" i="1"/>
  <c r="D631" i="1"/>
  <c r="C632" i="1"/>
  <c r="D632" i="1"/>
  <c r="C633" i="1"/>
  <c r="D633" i="1"/>
  <c r="C634" i="1"/>
  <c r="D634" i="1"/>
  <c r="C635" i="1"/>
  <c r="D635" i="1"/>
  <c r="C636" i="1"/>
  <c r="D636" i="1"/>
  <c r="C637" i="1"/>
  <c r="D637" i="1"/>
  <c r="C638" i="1"/>
  <c r="D638" i="1"/>
  <c r="C639" i="1"/>
  <c r="D639" i="1"/>
  <c r="C640" i="1"/>
  <c r="D640" i="1"/>
  <c r="C641" i="1"/>
  <c r="D641" i="1"/>
  <c r="C642" i="1"/>
  <c r="D642" i="1"/>
  <c r="C643" i="1"/>
  <c r="D643" i="1"/>
  <c r="C644" i="1"/>
  <c r="D644" i="1"/>
  <c r="C645" i="1"/>
  <c r="D645" i="1"/>
  <c r="C646" i="1"/>
  <c r="D646" i="1"/>
  <c r="C647" i="1"/>
  <c r="D647" i="1"/>
  <c r="C648" i="1"/>
  <c r="D648" i="1"/>
  <c r="C649" i="1"/>
  <c r="D649" i="1"/>
  <c r="C650" i="1"/>
  <c r="D650" i="1"/>
  <c r="C651" i="1"/>
  <c r="D651" i="1"/>
  <c r="C652" i="1"/>
  <c r="D652" i="1"/>
  <c r="C653" i="1"/>
  <c r="D653" i="1"/>
  <c r="C654" i="1"/>
  <c r="D654" i="1"/>
  <c r="C655" i="1"/>
  <c r="D655" i="1"/>
  <c r="C656" i="1"/>
  <c r="D656" i="1"/>
  <c r="C657" i="1"/>
  <c r="D657" i="1"/>
  <c r="C658" i="1"/>
  <c r="D658" i="1"/>
  <c r="C659" i="1"/>
  <c r="D659" i="1"/>
  <c r="C660" i="1"/>
  <c r="D660" i="1"/>
  <c r="C661" i="1"/>
  <c r="D661" i="1"/>
  <c r="C662" i="1"/>
  <c r="D662" i="1"/>
  <c r="C663" i="1"/>
  <c r="D663" i="1"/>
  <c r="C664" i="1"/>
  <c r="D664" i="1"/>
  <c r="C665" i="1"/>
  <c r="D665" i="1"/>
  <c r="C666" i="1"/>
  <c r="D666" i="1"/>
  <c r="C667" i="1"/>
  <c r="D667" i="1"/>
  <c r="C668" i="1"/>
  <c r="D668" i="1"/>
  <c r="C669" i="1"/>
  <c r="D669" i="1"/>
  <c r="C670" i="1"/>
  <c r="D670" i="1"/>
  <c r="C671" i="1"/>
  <c r="D671" i="1"/>
  <c r="C672" i="1"/>
  <c r="D672" i="1"/>
  <c r="C673" i="1"/>
  <c r="D673" i="1"/>
  <c r="C674" i="1"/>
  <c r="D674" i="1"/>
  <c r="C675" i="1"/>
  <c r="D675" i="1"/>
  <c r="C676" i="1"/>
  <c r="D676" i="1"/>
  <c r="C677" i="1"/>
  <c r="D677" i="1"/>
  <c r="C678" i="1"/>
  <c r="D678" i="1"/>
  <c r="C679" i="1"/>
  <c r="D679" i="1"/>
  <c r="C680" i="1"/>
  <c r="D680" i="1"/>
  <c r="C681" i="1"/>
  <c r="D681" i="1"/>
  <c r="C682" i="1"/>
  <c r="D682" i="1"/>
  <c r="C683" i="1"/>
  <c r="D683" i="1"/>
  <c r="C684" i="1"/>
  <c r="D684" i="1"/>
  <c r="C685" i="1"/>
  <c r="D685" i="1"/>
  <c r="C686" i="1"/>
  <c r="D686" i="1"/>
  <c r="C687" i="1"/>
  <c r="D687" i="1"/>
  <c r="C688" i="1"/>
  <c r="D688" i="1"/>
  <c r="C689" i="1"/>
  <c r="D689" i="1"/>
  <c r="C690" i="1"/>
  <c r="D690" i="1"/>
  <c r="C691" i="1"/>
  <c r="D691" i="1"/>
  <c r="C692" i="1"/>
  <c r="D692" i="1"/>
  <c r="C693" i="1"/>
  <c r="D693" i="1"/>
  <c r="C694" i="1"/>
  <c r="D694" i="1"/>
  <c r="C695" i="1"/>
  <c r="D695" i="1"/>
  <c r="C696" i="1"/>
  <c r="D696" i="1"/>
  <c r="C697" i="1"/>
  <c r="D697" i="1"/>
  <c r="C698" i="1"/>
  <c r="D698" i="1"/>
  <c r="C699" i="1"/>
  <c r="D699" i="1"/>
  <c r="C700" i="1"/>
  <c r="D700" i="1"/>
  <c r="C701" i="1"/>
  <c r="D701" i="1"/>
  <c r="C702" i="1"/>
  <c r="D702" i="1"/>
  <c r="C703" i="1"/>
  <c r="D703" i="1"/>
  <c r="C704" i="1"/>
  <c r="D704" i="1"/>
  <c r="C705" i="1"/>
  <c r="D705" i="1"/>
  <c r="C706" i="1"/>
  <c r="D706" i="1"/>
  <c r="C707" i="1"/>
  <c r="D707" i="1"/>
  <c r="C708" i="1"/>
  <c r="D708" i="1"/>
  <c r="C709" i="1"/>
  <c r="D709" i="1"/>
  <c r="C710" i="1"/>
  <c r="D710" i="1"/>
  <c r="C711" i="1"/>
  <c r="D711" i="1"/>
  <c r="C712" i="1"/>
  <c r="D712" i="1"/>
  <c r="C713" i="1"/>
  <c r="D713" i="1"/>
  <c r="C714" i="1"/>
  <c r="D714" i="1"/>
  <c r="C715" i="1"/>
  <c r="D715" i="1"/>
  <c r="C716" i="1"/>
  <c r="D716" i="1"/>
  <c r="C717" i="1"/>
  <c r="D717" i="1"/>
  <c r="C718" i="1"/>
  <c r="D718" i="1"/>
  <c r="C719" i="1"/>
  <c r="D719" i="1"/>
  <c r="C720" i="1"/>
  <c r="D720" i="1"/>
  <c r="C721" i="1"/>
  <c r="D721" i="1"/>
  <c r="C722" i="1"/>
  <c r="D722" i="1"/>
  <c r="C723" i="1"/>
  <c r="D723" i="1"/>
  <c r="C724" i="1"/>
  <c r="D724" i="1"/>
  <c r="C725" i="1"/>
  <c r="D725" i="1"/>
  <c r="C726" i="1"/>
  <c r="D726" i="1"/>
  <c r="C727" i="1"/>
  <c r="D727" i="1"/>
  <c r="C728" i="1"/>
  <c r="D728" i="1"/>
  <c r="C729" i="1"/>
  <c r="D729" i="1"/>
  <c r="C730" i="1"/>
  <c r="D730" i="1"/>
  <c r="C731" i="1"/>
  <c r="D731" i="1"/>
  <c r="C732" i="1"/>
  <c r="D732" i="1"/>
  <c r="C733" i="1"/>
  <c r="D733" i="1"/>
  <c r="C734" i="1"/>
  <c r="D734" i="1"/>
  <c r="C735" i="1"/>
  <c r="D735" i="1"/>
  <c r="C736" i="1"/>
  <c r="D736" i="1"/>
  <c r="C737" i="1"/>
  <c r="D737" i="1"/>
  <c r="C738" i="1"/>
  <c r="D738" i="1"/>
  <c r="C739" i="1"/>
  <c r="D739" i="1"/>
  <c r="C740" i="1"/>
  <c r="D740" i="1"/>
  <c r="C741" i="1"/>
  <c r="D741" i="1"/>
  <c r="C742" i="1"/>
  <c r="D742" i="1"/>
  <c r="C743" i="1"/>
  <c r="D743" i="1"/>
  <c r="C744" i="1"/>
  <c r="D744" i="1"/>
  <c r="C745" i="1"/>
  <c r="D745" i="1"/>
  <c r="C746" i="1"/>
  <c r="D746" i="1"/>
  <c r="C747" i="1"/>
  <c r="D747" i="1"/>
  <c r="C748" i="1"/>
  <c r="D748" i="1"/>
  <c r="C749" i="1"/>
  <c r="D749" i="1"/>
  <c r="C750" i="1"/>
  <c r="D750" i="1"/>
  <c r="C751" i="1"/>
  <c r="D751" i="1"/>
  <c r="C752" i="1"/>
  <c r="D752" i="1"/>
  <c r="C753" i="1"/>
  <c r="D753" i="1"/>
  <c r="C754" i="1"/>
  <c r="D754" i="1"/>
  <c r="C755" i="1"/>
  <c r="D755" i="1"/>
  <c r="C756" i="1"/>
  <c r="D756" i="1"/>
  <c r="C757" i="1"/>
  <c r="D757" i="1"/>
  <c r="C758" i="1"/>
  <c r="D758" i="1"/>
  <c r="C759" i="1"/>
  <c r="D759" i="1"/>
  <c r="C760" i="1"/>
  <c r="D760" i="1"/>
  <c r="C761" i="1"/>
  <c r="D761" i="1"/>
  <c r="C762" i="1"/>
  <c r="D762" i="1"/>
  <c r="C763" i="1"/>
  <c r="D763" i="1"/>
  <c r="C764" i="1"/>
  <c r="D764" i="1"/>
  <c r="C765" i="1"/>
  <c r="D765" i="1"/>
  <c r="C766" i="1"/>
  <c r="D766" i="1"/>
  <c r="C767" i="1"/>
  <c r="D767" i="1"/>
  <c r="C768" i="1"/>
  <c r="D768" i="1"/>
  <c r="C769" i="1"/>
  <c r="D769" i="1"/>
  <c r="C770" i="1"/>
  <c r="D770" i="1"/>
  <c r="C771" i="1"/>
  <c r="D771" i="1"/>
  <c r="C772" i="1"/>
  <c r="D772" i="1"/>
  <c r="C773" i="1"/>
  <c r="D773" i="1"/>
  <c r="C774" i="1"/>
  <c r="D774" i="1"/>
  <c r="C775" i="1"/>
  <c r="D775" i="1"/>
  <c r="C776" i="1"/>
  <c r="D776" i="1"/>
  <c r="C777" i="1"/>
  <c r="D777" i="1"/>
  <c r="C778" i="1"/>
  <c r="D778" i="1"/>
  <c r="C779" i="1"/>
  <c r="D779" i="1"/>
  <c r="C780" i="1"/>
  <c r="D780" i="1"/>
  <c r="C781" i="1"/>
  <c r="D781" i="1"/>
  <c r="C782" i="1"/>
  <c r="D782" i="1"/>
  <c r="C783" i="1"/>
  <c r="D783" i="1"/>
  <c r="C784" i="1"/>
  <c r="D784" i="1"/>
  <c r="C785" i="1"/>
  <c r="D785" i="1"/>
  <c r="C786" i="1"/>
  <c r="D786" i="1"/>
  <c r="C787" i="1"/>
  <c r="D787" i="1"/>
  <c r="C788" i="1"/>
  <c r="D788" i="1"/>
  <c r="C789" i="1"/>
  <c r="D789" i="1"/>
  <c r="C790" i="1"/>
  <c r="D790" i="1"/>
  <c r="C791" i="1"/>
  <c r="D791" i="1"/>
  <c r="C792" i="1"/>
  <c r="D792" i="1"/>
  <c r="C793" i="1"/>
  <c r="D793" i="1"/>
  <c r="C794" i="1"/>
  <c r="D794" i="1"/>
  <c r="C795" i="1"/>
  <c r="D795" i="1"/>
  <c r="C796" i="1"/>
  <c r="D796" i="1"/>
  <c r="C797" i="1"/>
  <c r="D797" i="1"/>
  <c r="C798" i="1"/>
  <c r="D798" i="1"/>
  <c r="C799" i="1"/>
  <c r="D799" i="1"/>
  <c r="C800" i="1"/>
  <c r="D800" i="1"/>
  <c r="C801" i="1"/>
  <c r="D801" i="1"/>
  <c r="C802" i="1"/>
  <c r="D802" i="1"/>
  <c r="C803" i="1"/>
  <c r="D803" i="1"/>
  <c r="C804" i="1"/>
  <c r="D804" i="1"/>
  <c r="C805" i="1"/>
  <c r="D805" i="1"/>
  <c r="C806" i="1"/>
  <c r="D806" i="1"/>
  <c r="C807" i="1"/>
  <c r="D807" i="1"/>
  <c r="C808" i="1"/>
  <c r="D808" i="1"/>
  <c r="C809" i="1"/>
  <c r="D809" i="1"/>
  <c r="C810" i="1"/>
  <c r="D810" i="1"/>
  <c r="C811" i="1"/>
  <c r="D811" i="1"/>
  <c r="C812" i="1"/>
  <c r="D812" i="1"/>
  <c r="C813" i="1"/>
  <c r="D813" i="1"/>
  <c r="C814" i="1"/>
  <c r="D814" i="1"/>
  <c r="C815" i="1"/>
  <c r="D815" i="1"/>
  <c r="C816" i="1"/>
  <c r="D816" i="1"/>
  <c r="C817" i="1"/>
  <c r="D817" i="1"/>
  <c r="C818" i="1"/>
  <c r="D818" i="1"/>
  <c r="C819" i="1"/>
  <c r="D819" i="1"/>
  <c r="C820" i="1"/>
  <c r="D820" i="1"/>
  <c r="C821" i="1"/>
  <c r="D821" i="1"/>
  <c r="C822" i="1"/>
  <c r="D822" i="1"/>
  <c r="C823" i="1"/>
  <c r="D823" i="1"/>
  <c r="C824" i="1"/>
  <c r="D824" i="1"/>
  <c r="C825" i="1"/>
  <c r="D825" i="1"/>
  <c r="C826" i="1"/>
  <c r="D826" i="1"/>
  <c r="C827" i="1"/>
  <c r="D827" i="1"/>
  <c r="C828" i="1"/>
  <c r="D828" i="1"/>
  <c r="C829" i="1"/>
  <c r="D829" i="1"/>
  <c r="C830" i="1"/>
  <c r="D830" i="1"/>
  <c r="C831" i="1"/>
  <c r="D831" i="1"/>
  <c r="C832" i="1"/>
  <c r="D832" i="1"/>
  <c r="C833" i="1"/>
  <c r="D833" i="1"/>
  <c r="C834" i="1"/>
  <c r="D834" i="1"/>
  <c r="C835" i="1"/>
  <c r="D835" i="1"/>
  <c r="C836" i="1"/>
  <c r="D836" i="1"/>
  <c r="C837" i="1"/>
  <c r="D837" i="1"/>
  <c r="C838" i="1"/>
  <c r="D838" i="1"/>
  <c r="C839" i="1"/>
  <c r="D839" i="1"/>
  <c r="C840" i="1"/>
  <c r="D840" i="1"/>
  <c r="C841" i="1"/>
  <c r="D841" i="1"/>
  <c r="C842" i="1"/>
  <c r="D842" i="1"/>
  <c r="C843" i="1"/>
  <c r="D843" i="1"/>
  <c r="C844" i="1"/>
  <c r="D844" i="1"/>
  <c r="C845" i="1"/>
  <c r="D845" i="1"/>
  <c r="C846" i="1"/>
  <c r="D846" i="1"/>
  <c r="C847" i="1"/>
  <c r="D847" i="1"/>
  <c r="C848" i="1"/>
  <c r="D848" i="1"/>
  <c r="C849" i="1"/>
  <c r="D849" i="1"/>
  <c r="C850" i="1"/>
  <c r="D850" i="1"/>
  <c r="C851" i="1"/>
  <c r="D851" i="1"/>
  <c r="C852" i="1"/>
  <c r="D852" i="1"/>
  <c r="C853" i="1"/>
  <c r="D853" i="1"/>
  <c r="C854" i="1"/>
  <c r="D854" i="1"/>
  <c r="C855" i="1"/>
  <c r="D855" i="1"/>
  <c r="C856" i="1"/>
  <c r="D856" i="1"/>
  <c r="C857" i="1"/>
  <c r="D857" i="1"/>
  <c r="C858" i="1"/>
  <c r="D858" i="1"/>
  <c r="C859" i="1"/>
  <c r="D859" i="1"/>
  <c r="C860" i="1"/>
  <c r="D860" i="1"/>
  <c r="C861" i="1"/>
  <c r="D861" i="1"/>
  <c r="C862" i="1"/>
  <c r="D862" i="1"/>
  <c r="C863" i="1"/>
  <c r="D863" i="1"/>
  <c r="C864" i="1"/>
  <c r="D864" i="1"/>
  <c r="C865" i="1"/>
  <c r="D865" i="1"/>
  <c r="C866" i="1"/>
  <c r="D866" i="1"/>
  <c r="C867" i="1"/>
  <c r="D867" i="1"/>
  <c r="C868" i="1"/>
  <c r="D868" i="1"/>
  <c r="C869" i="1"/>
  <c r="D869" i="1"/>
  <c r="C870" i="1"/>
  <c r="D870" i="1"/>
  <c r="C871" i="1"/>
  <c r="D871" i="1"/>
  <c r="C872" i="1"/>
  <c r="D872" i="1"/>
  <c r="C873" i="1"/>
  <c r="D873" i="1"/>
  <c r="C874" i="1"/>
  <c r="D874" i="1"/>
  <c r="C875" i="1"/>
  <c r="D875" i="1"/>
  <c r="C876" i="1"/>
  <c r="D876" i="1"/>
  <c r="C877" i="1"/>
  <c r="D877" i="1"/>
  <c r="C878" i="1"/>
  <c r="D878" i="1"/>
  <c r="C879" i="1"/>
  <c r="D879" i="1"/>
  <c r="C880" i="1"/>
  <c r="D880" i="1"/>
  <c r="C881" i="1"/>
  <c r="D881" i="1"/>
  <c r="C882" i="1"/>
  <c r="D882" i="1"/>
  <c r="C883" i="1"/>
  <c r="D883" i="1"/>
  <c r="C884" i="1"/>
  <c r="D884" i="1"/>
  <c r="C885" i="1"/>
  <c r="D885" i="1"/>
  <c r="C886" i="1"/>
  <c r="D886" i="1"/>
  <c r="C887" i="1"/>
  <c r="D887" i="1"/>
  <c r="C888" i="1"/>
  <c r="D888" i="1"/>
  <c r="C889" i="1"/>
  <c r="D889" i="1"/>
  <c r="C890" i="1"/>
  <c r="D890" i="1"/>
  <c r="C891" i="1"/>
  <c r="D891" i="1"/>
  <c r="C892" i="1"/>
  <c r="D892" i="1"/>
  <c r="C893" i="1"/>
  <c r="D893" i="1"/>
  <c r="C894" i="1"/>
  <c r="D894" i="1"/>
  <c r="C895" i="1"/>
  <c r="D895" i="1"/>
  <c r="C896" i="1"/>
  <c r="D896" i="1"/>
  <c r="C897" i="1"/>
  <c r="D897" i="1"/>
  <c r="C898" i="1"/>
  <c r="D898" i="1"/>
  <c r="C899" i="1"/>
  <c r="D899" i="1"/>
  <c r="C900" i="1"/>
  <c r="D900" i="1"/>
  <c r="C901" i="1"/>
  <c r="D901" i="1"/>
  <c r="C902" i="1"/>
  <c r="D902" i="1"/>
  <c r="C903" i="1"/>
  <c r="D903" i="1"/>
  <c r="C904" i="1"/>
  <c r="D904" i="1"/>
  <c r="C905" i="1"/>
  <c r="D905" i="1"/>
  <c r="C906" i="1"/>
  <c r="D906" i="1"/>
  <c r="C907" i="1"/>
  <c r="D907" i="1"/>
  <c r="C908" i="1"/>
  <c r="D908" i="1"/>
  <c r="C909" i="1"/>
  <c r="D909" i="1"/>
  <c r="C910" i="1"/>
  <c r="D910" i="1"/>
  <c r="C911" i="1"/>
  <c r="D911" i="1"/>
  <c r="C912" i="1"/>
  <c r="D912" i="1"/>
  <c r="C913" i="1"/>
  <c r="D913" i="1"/>
  <c r="C914" i="1"/>
  <c r="D914" i="1"/>
  <c r="C915" i="1"/>
  <c r="D915" i="1"/>
  <c r="C916" i="1"/>
  <c r="D916" i="1"/>
  <c r="C917" i="1"/>
  <c r="D917" i="1"/>
  <c r="C918" i="1"/>
  <c r="D918" i="1"/>
  <c r="C919" i="1"/>
  <c r="D919" i="1"/>
  <c r="C920" i="1"/>
  <c r="D920" i="1"/>
  <c r="C921" i="1"/>
  <c r="D921" i="1"/>
  <c r="C922" i="1"/>
  <c r="D922" i="1"/>
  <c r="C923" i="1"/>
  <c r="D923" i="1"/>
  <c r="C924" i="1"/>
  <c r="D924" i="1"/>
  <c r="C925" i="1"/>
  <c r="D925" i="1"/>
  <c r="C926" i="1"/>
  <c r="D926" i="1"/>
  <c r="C927" i="1"/>
  <c r="D927" i="1"/>
  <c r="C928" i="1"/>
  <c r="D928" i="1"/>
  <c r="C929" i="1"/>
  <c r="D929" i="1"/>
  <c r="C930" i="1"/>
  <c r="D930" i="1"/>
  <c r="C931" i="1"/>
  <c r="D931" i="1"/>
  <c r="C932" i="1"/>
  <c r="D932" i="1"/>
  <c r="C933" i="1"/>
  <c r="D933" i="1"/>
  <c r="C934" i="1"/>
  <c r="D934" i="1"/>
  <c r="C935" i="1"/>
  <c r="D935" i="1"/>
  <c r="C936" i="1"/>
  <c r="D936" i="1"/>
  <c r="C937" i="1"/>
  <c r="D937" i="1"/>
  <c r="C938" i="1"/>
  <c r="D938" i="1"/>
  <c r="C939" i="1"/>
  <c r="D939" i="1"/>
  <c r="C940" i="1"/>
  <c r="D940" i="1"/>
  <c r="C941" i="1"/>
  <c r="D941" i="1"/>
  <c r="C942" i="1"/>
  <c r="D942" i="1"/>
  <c r="C943" i="1"/>
  <c r="D943" i="1"/>
  <c r="C944" i="1"/>
  <c r="D944" i="1"/>
  <c r="C945" i="1"/>
  <c r="D945" i="1"/>
  <c r="C946" i="1"/>
  <c r="D946" i="1"/>
  <c r="C947" i="1"/>
  <c r="D947" i="1"/>
  <c r="C948" i="1"/>
  <c r="D948" i="1"/>
  <c r="C949" i="1"/>
  <c r="D949" i="1"/>
  <c r="C950" i="1"/>
  <c r="D950" i="1"/>
  <c r="C951" i="1"/>
  <c r="D951" i="1"/>
  <c r="C952" i="1"/>
  <c r="D952" i="1"/>
  <c r="C953" i="1"/>
  <c r="D953" i="1"/>
  <c r="C954" i="1"/>
  <c r="D954" i="1"/>
  <c r="C955" i="1"/>
  <c r="D955" i="1"/>
  <c r="C956" i="1"/>
  <c r="D956" i="1"/>
  <c r="C957" i="1"/>
  <c r="D957" i="1"/>
  <c r="C958" i="1"/>
  <c r="D958" i="1"/>
  <c r="C959" i="1"/>
  <c r="D959" i="1"/>
  <c r="C960" i="1"/>
  <c r="D960" i="1"/>
  <c r="C961" i="1"/>
  <c r="D961" i="1"/>
  <c r="C962" i="1"/>
  <c r="D962" i="1"/>
  <c r="C963" i="1"/>
  <c r="D963" i="1"/>
  <c r="C964" i="1"/>
  <c r="D964" i="1"/>
  <c r="C965" i="1"/>
  <c r="D965" i="1"/>
  <c r="C966" i="1"/>
  <c r="D966" i="1"/>
  <c r="C967" i="1"/>
  <c r="D967" i="1"/>
  <c r="C968" i="1"/>
  <c r="D968" i="1"/>
  <c r="C969" i="1"/>
  <c r="D969" i="1"/>
  <c r="C970" i="1"/>
  <c r="D970" i="1"/>
  <c r="C971" i="1"/>
  <c r="D971" i="1"/>
  <c r="C972" i="1"/>
  <c r="D972" i="1"/>
  <c r="C973" i="1"/>
  <c r="D973" i="1"/>
  <c r="C974" i="1"/>
  <c r="D974" i="1"/>
  <c r="C975" i="1"/>
  <c r="D975" i="1"/>
  <c r="C976" i="1"/>
  <c r="D976" i="1"/>
  <c r="C977" i="1"/>
  <c r="D977" i="1"/>
  <c r="C978" i="1"/>
  <c r="D978" i="1"/>
  <c r="C979" i="1"/>
  <c r="D979" i="1"/>
  <c r="C980" i="1"/>
  <c r="D980" i="1"/>
  <c r="C981" i="1"/>
  <c r="D981" i="1"/>
  <c r="C982" i="1"/>
  <c r="D982" i="1"/>
  <c r="C983" i="1"/>
  <c r="D983" i="1"/>
  <c r="C984" i="1"/>
  <c r="D984" i="1"/>
  <c r="C985" i="1"/>
  <c r="D985" i="1"/>
  <c r="C986" i="1"/>
  <c r="D986" i="1"/>
  <c r="C987" i="1"/>
  <c r="D987" i="1"/>
  <c r="C988" i="1"/>
  <c r="D988" i="1"/>
  <c r="C989" i="1"/>
  <c r="D989" i="1"/>
  <c r="C990" i="1"/>
  <c r="D990" i="1"/>
  <c r="C991" i="1"/>
  <c r="D991" i="1"/>
  <c r="C992" i="1"/>
  <c r="D992" i="1"/>
  <c r="C993" i="1"/>
  <c r="D993" i="1"/>
  <c r="C994" i="1"/>
  <c r="D994" i="1"/>
  <c r="C995" i="1"/>
  <c r="D995" i="1"/>
  <c r="C996" i="1"/>
  <c r="D996" i="1"/>
  <c r="C997" i="1"/>
  <c r="D997" i="1"/>
  <c r="C998" i="1"/>
  <c r="D998" i="1"/>
  <c r="C999" i="1"/>
  <c r="D999" i="1"/>
  <c r="C1000" i="1"/>
  <c r="D1000" i="1"/>
  <c r="C1001" i="1"/>
  <c r="D1001" i="1"/>
  <c r="C1002" i="1"/>
  <c r="D1002" i="1"/>
  <c r="C1003" i="1"/>
  <c r="D1003" i="1"/>
  <c r="C1004" i="1"/>
  <c r="D1004" i="1"/>
  <c r="C1005" i="1"/>
  <c r="D1005" i="1"/>
  <c r="C1006" i="1"/>
  <c r="D1006" i="1"/>
  <c r="C1007" i="1"/>
  <c r="D1007" i="1"/>
  <c r="C1008" i="1"/>
  <c r="D1008" i="1"/>
  <c r="C1009" i="1"/>
  <c r="D1009" i="1"/>
  <c r="C1010" i="1"/>
  <c r="D1010" i="1"/>
  <c r="C1011" i="1"/>
  <c r="D1011" i="1"/>
  <c r="C1012" i="1"/>
  <c r="D1012" i="1"/>
  <c r="C1013" i="1"/>
  <c r="D1013" i="1"/>
  <c r="C1014" i="1"/>
  <c r="D1014" i="1"/>
  <c r="C1015" i="1"/>
  <c r="D1015" i="1"/>
  <c r="C1016" i="1"/>
  <c r="D1016" i="1"/>
  <c r="C1017" i="1"/>
  <c r="D1017" i="1"/>
  <c r="C1018" i="1"/>
  <c r="D1018" i="1"/>
  <c r="C1019" i="1"/>
  <c r="D1019" i="1"/>
  <c r="C1020" i="1"/>
  <c r="D1020" i="1"/>
  <c r="C1021" i="1"/>
  <c r="D1021" i="1"/>
  <c r="C1022" i="1"/>
  <c r="D1022" i="1"/>
  <c r="C1023" i="1"/>
  <c r="D1023" i="1"/>
  <c r="C1024" i="1"/>
  <c r="D1024" i="1"/>
  <c r="C1025" i="1"/>
  <c r="D1025" i="1"/>
  <c r="C1026" i="1"/>
  <c r="D1026" i="1"/>
  <c r="C1027" i="1"/>
  <c r="D1027" i="1"/>
  <c r="C1028" i="1"/>
  <c r="D1028" i="1"/>
  <c r="C1029" i="1"/>
  <c r="D1029" i="1"/>
  <c r="C1030" i="1"/>
  <c r="D1030" i="1"/>
  <c r="C1031" i="1"/>
  <c r="D1031" i="1"/>
  <c r="C1032" i="1"/>
  <c r="D1032" i="1"/>
  <c r="C1033" i="1"/>
  <c r="D1033" i="1"/>
  <c r="C1034" i="1"/>
  <c r="D1034" i="1"/>
  <c r="C1035" i="1"/>
  <c r="D1035" i="1"/>
  <c r="C1036" i="1"/>
  <c r="D1036" i="1"/>
  <c r="C1037" i="1"/>
  <c r="D1037" i="1"/>
  <c r="C1038" i="1"/>
  <c r="D1038" i="1"/>
  <c r="C1039" i="1"/>
  <c r="D1039" i="1"/>
  <c r="C1040" i="1"/>
  <c r="D1040" i="1"/>
  <c r="C1041" i="1"/>
  <c r="D1041" i="1"/>
  <c r="C1042" i="1"/>
  <c r="D1042" i="1"/>
  <c r="C1043" i="1"/>
  <c r="D1043" i="1"/>
  <c r="C1044" i="1"/>
  <c r="D1044" i="1"/>
  <c r="C1045" i="1"/>
  <c r="D1045" i="1"/>
  <c r="C1046" i="1"/>
  <c r="D1046" i="1"/>
  <c r="C1047" i="1"/>
  <c r="D1047" i="1"/>
  <c r="C1048" i="1"/>
  <c r="D1048" i="1"/>
  <c r="C1049" i="1"/>
  <c r="D1049" i="1"/>
  <c r="C1050" i="1"/>
  <c r="D1050" i="1"/>
  <c r="C1051" i="1"/>
  <c r="D1051" i="1"/>
  <c r="C1052" i="1"/>
  <c r="D1052" i="1"/>
  <c r="C1053" i="1"/>
  <c r="D1053" i="1"/>
  <c r="C1054" i="1"/>
  <c r="D1054" i="1"/>
  <c r="C1055" i="1"/>
  <c r="D1055" i="1"/>
  <c r="C1056" i="1"/>
  <c r="D1056" i="1"/>
  <c r="C1057" i="1"/>
  <c r="D1057" i="1"/>
  <c r="C1058" i="1"/>
  <c r="D1058" i="1"/>
  <c r="C1059" i="1"/>
  <c r="D1059" i="1"/>
  <c r="C1060" i="1"/>
  <c r="D1060" i="1"/>
  <c r="C1061" i="1"/>
  <c r="D1061" i="1"/>
  <c r="C1062" i="1"/>
  <c r="D1062" i="1"/>
  <c r="C1063" i="1"/>
  <c r="D1063" i="1"/>
  <c r="C1064" i="1"/>
  <c r="D1064" i="1"/>
  <c r="C1065" i="1"/>
  <c r="D1065" i="1"/>
  <c r="C1066" i="1"/>
  <c r="D1066" i="1"/>
  <c r="C1067" i="1"/>
  <c r="D1067" i="1"/>
  <c r="C1068" i="1"/>
  <c r="D1068" i="1"/>
  <c r="C1069" i="1"/>
  <c r="D1069" i="1"/>
  <c r="C1070" i="1"/>
  <c r="D1070" i="1"/>
  <c r="C1071" i="1"/>
  <c r="D1071" i="1"/>
  <c r="C1072" i="1"/>
  <c r="D1072" i="1"/>
  <c r="C1073" i="1"/>
  <c r="D1073" i="1"/>
  <c r="C1074" i="1"/>
  <c r="D1074" i="1"/>
  <c r="C1075" i="1"/>
  <c r="D1075" i="1"/>
  <c r="C1076" i="1"/>
  <c r="D1076" i="1"/>
  <c r="C1077" i="1"/>
  <c r="D1077" i="1"/>
  <c r="C1078" i="1"/>
  <c r="D1078" i="1"/>
  <c r="C1079" i="1"/>
  <c r="D1079" i="1"/>
  <c r="C1080" i="1"/>
  <c r="D1080" i="1"/>
  <c r="C1081" i="1"/>
  <c r="D1081" i="1"/>
  <c r="C1082" i="1"/>
  <c r="D1082" i="1"/>
  <c r="C1083" i="1"/>
  <c r="D1083" i="1"/>
  <c r="C1084" i="1"/>
  <c r="D1084" i="1"/>
  <c r="C1085" i="1"/>
  <c r="D1085" i="1"/>
  <c r="C1086" i="1"/>
  <c r="D1086" i="1"/>
  <c r="C1087" i="1"/>
  <c r="D1087" i="1"/>
  <c r="C1088" i="1"/>
  <c r="D1088" i="1"/>
  <c r="C1089" i="1"/>
  <c r="D1089" i="1"/>
  <c r="C1090" i="1"/>
  <c r="D1090" i="1"/>
  <c r="C1091" i="1"/>
  <c r="D1091" i="1"/>
  <c r="C1092" i="1"/>
  <c r="D1092" i="1"/>
  <c r="C1093" i="1"/>
  <c r="D1093" i="1"/>
  <c r="C1094" i="1"/>
  <c r="D1094" i="1"/>
  <c r="C1095" i="1"/>
  <c r="D1095" i="1"/>
  <c r="C1096" i="1"/>
  <c r="D1096" i="1"/>
  <c r="C1097" i="1"/>
  <c r="D1097" i="1"/>
  <c r="C1098" i="1"/>
  <c r="D1098" i="1"/>
  <c r="C1099" i="1"/>
  <c r="D1099" i="1"/>
  <c r="C1100" i="1"/>
  <c r="D1100" i="1"/>
  <c r="C1101" i="1"/>
  <c r="D1101" i="1"/>
  <c r="C1102" i="1"/>
  <c r="D1102" i="1"/>
  <c r="C1103" i="1"/>
  <c r="D1103" i="1"/>
  <c r="C1104" i="1"/>
  <c r="D1104" i="1"/>
  <c r="C1105" i="1"/>
  <c r="D1105" i="1"/>
  <c r="C1106" i="1"/>
  <c r="D1106" i="1"/>
  <c r="C1107" i="1"/>
  <c r="D1107" i="1"/>
  <c r="C1108" i="1"/>
  <c r="D1108" i="1"/>
  <c r="C1109" i="1"/>
  <c r="D1109" i="1"/>
  <c r="C1110" i="1"/>
  <c r="D1110" i="1"/>
  <c r="C1111" i="1"/>
  <c r="D1111" i="1"/>
  <c r="C1112" i="1"/>
  <c r="D1112" i="1"/>
  <c r="C1113" i="1"/>
  <c r="D1113" i="1"/>
  <c r="C1114" i="1"/>
  <c r="D1114" i="1"/>
  <c r="C1115" i="1"/>
  <c r="D1115" i="1"/>
  <c r="C1116" i="1"/>
  <c r="D1116" i="1"/>
  <c r="C1117" i="1"/>
  <c r="D1117" i="1"/>
  <c r="C1118" i="1"/>
  <c r="D1118" i="1"/>
  <c r="C1119" i="1"/>
  <c r="D1119" i="1"/>
  <c r="C1120" i="1"/>
  <c r="D1120" i="1"/>
  <c r="C1121" i="1"/>
  <c r="D1121" i="1"/>
  <c r="C1122" i="1"/>
  <c r="D1122" i="1"/>
  <c r="C1123" i="1"/>
  <c r="D1123" i="1"/>
  <c r="C1124" i="1"/>
  <c r="D1124" i="1"/>
  <c r="C1125" i="1"/>
  <c r="D1125" i="1"/>
  <c r="C1126" i="1"/>
  <c r="D1126" i="1"/>
  <c r="C1127" i="1"/>
  <c r="D1127" i="1"/>
  <c r="C1128" i="1"/>
  <c r="D1128" i="1"/>
  <c r="C1129" i="1"/>
  <c r="D1129" i="1"/>
  <c r="C1130" i="1"/>
  <c r="D1130" i="1"/>
  <c r="C1131" i="1"/>
  <c r="D1131" i="1"/>
  <c r="C1132" i="1"/>
  <c r="D1132" i="1"/>
  <c r="C1133" i="1"/>
  <c r="D1133" i="1"/>
  <c r="C1134" i="1"/>
  <c r="D1134" i="1"/>
  <c r="C1135" i="1"/>
  <c r="D1135" i="1"/>
  <c r="C1136" i="1"/>
  <c r="D1136" i="1"/>
  <c r="C1137" i="1"/>
  <c r="D1137" i="1"/>
  <c r="C1138" i="1"/>
  <c r="D1138" i="1"/>
  <c r="C1139" i="1"/>
  <c r="D1139" i="1"/>
  <c r="C1140" i="1"/>
  <c r="D1140" i="1"/>
  <c r="C1141" i="1"/>
  <c r="D1141" i="1"/>
  <c r="C1142" i="1"/>
  <c r="D1142" i="1"/>
  <c r="C1143" i="1"/>
  <c r="D1143" i="1"/>
  <c r="C1144" i="1"/>
  <c r="D1144" i="1"/>
  <c r="C1145" i="1"/>
  <c r="D1145" i="1"/>
  <c r="C1146" i="1"/>
  <c r="D1146" i="1"/>
  <c r="C1147" i="1"/>
  <c r="D1147" i="1"/>
  <c r="C1148" i="1"/>
  <c r="D1148" i="1"/>
  <c r="C1149" i="1"/>
  <c r="D1149" i="1"/>
  <c r="C1150" i="1"/>
  <c r="D1150" i="1"/>
  <c r="C1151" i="1"/>
  <c r="D1151" i="1"/>
  <c r="C1152" i="1"/>
  <c r="D1152" i="1"/>
  <c r="C1153" i="1"/>
  <c r="D1153" i="1"/>
  <c r="C1154" i="1"/>
  <c r="D1154" i="1"/>
  <c r="C1155" i="1"/>
  <c r="D1155" i="1"/>
  <c r="C1156" i="1"/>
  <c r="D1156" i="1"/>
  <c r="C1157" i="1"/>
  <c r="D1157" i="1"/>
  <c r="C1158" i="1"/>
  <c r="D1158" i="1"/>
  <c r="C1159" i="1"/>
  <c r="D1159" i="1"/>
  <c r="C1160" i="1"/>
  <c r="D1160" i="1"/>
  <c r="C1161" i="1"/>
  <c r="D1161" i="1"/>
  <c r="C1162" i="1"/>
  <c r="D1162" i="1"/>
  <c r="C1163" i="1"/>
  <c r="D1163" i="1"/>
  <c r="C1164" i="1"/>
  <c r="D1164" i="1"/>
  <c r="C1165" i="1"/>
  <c r="D1165" i="1"/>
  <c r="C1166" i="1"/>
  <c r="D1166" i="1"/>
  <c r="C1167" i="1"/>
  <c r="D1167" i="1"/>
  <c r="C1168" i="1"/>
  <c r="D1168" i="1"/>
  <c r="C1169" i="1"/>
  <c r="D1169" i="1"/>
  <c r="C1170" i="1"/>
  <c r="D1170" i="1"/>
  <c r="C1171" i="1"/>
  <c r="D1171" i="1"/>
  <c r="C1172" i="1"/>
  <c r="D1172" i="1"/>
  <c r="C1173" i="1"/>
  <c r="D1173" i="1"/>
  <c r="C1174" i="1"/>
  <c r="D1174" i="1"/>
  <c r="C1175" i="1"/>
  <c r="D1175" i="1"/>
  <c r="C1176" i="1"/>
  <c r="D1176" i="1"/>
  <c r="C1177" i="1"/>
  <c r="D1177" i="1"/>
  <c r="C1178" i="1"/>
  <c r="D1178" i="1"/>
  <c r="C1179" i="1"/>
  <c r="D1179" i="1"/>
  <c r="C1180" i="1"/>
  <c r="D1180" i="1"/>
  <c r="C1181" i="1"/>
  <c r="D1181" i="1"/>
  <c r="C1182" i="1"/>
  <c r="D1182" i="1"/>
  <c r="C1183" i="1"/>
  <c r="D1183" i="1"/>
  <c r="C1184" i="1"/>
  <c r="D1184" i="1"/>
  <c r="C1185" i="1"/>
  <c r="D1185" i="1"/>
  <c r="C1186" i="1"/>
  <c r="D1186" i="1"/>
  <c r="C1187" i="1"/>
  <c r="D1187" i="1"/>
  <c r="C1188" i="1"/>
  <c r="D1188" i="1"/>
  <c r="C1189" i="1"/>
  <c r="D1189" i="1"/>
  <c r="C1190" i="1"/>
  <c r="D1190" i="1"/>
  <c r="C1191" i="1"/>
  <c r="D1191" i="1"/>
  <c r="C1192" i="1"/>
  <c r="D1192" i="1"/>
  <c r="C1193" i="1"/>
  <c r="D1193" i="1"/>
  <c r="C1194" i="1"/>
  <c r="D1194" i="1"/>
  <c r="C1195" i="1"/>
  <c r="D1195" i="1"/>
  <c r="C1196" i="1"/>
  <c r="D1196" i="1"/>
  <c r="C1197" i="1"/>
  <c r="D1197" i="1"/>
  <c r="C1198" i="1"/>
  <c r="D1198" i="1"/>
  <c r="C1199" i="1"/>
  <c r="D1199" i="1"/>
  <c r="C1200" i="1"/>
  <c r="D1200" i="1"/>
  <c r="C1201" i="1"/>
  <c r="D1201" i="1"/>
  <c r="C1202" i="1"/>
  <c r="D1202" i="1"/>
  <c r="C1203" i="1"/>
  <c r="D1203" i="1"/>
  <c r="C1204" i="1"/>
  <c r="D1204" i="1"/>
  <c r="C1205" i="1"/>
  <c r="D1205" i="1"/>
  <c r="C1206" i="1"/>
  <c r="D1206" i="1"/>
  <c r="C1207" i="1"/>
  <c r="D1207" i="1"/>
  <c r="C1208" i="1"/>
  <c r="D1208" i="1"/>
  <c r="C1209" i="1"/>
  <c r="D1209" i="1"/>
  <c r="C1210" i="1"/>
  <c r="D1210" i="1"/>
  <c r="C1211" i="1"/>
  <c r="D1211" i="1"/>
  <c r="C1212" i="1"/>
  <c r="D1212" i="1"/>
  <c r="C1213" i="1"/>
  <c r="D1213" i="1"/>
  <c r="C1214" i="1"/>
  <c r="D1214" i="1"/>
  <c r="C1215" i="1"/>
  <c r="D1215" i="1"/>
  <c r="C1216" i="1"/>
  <c r="D1216" i="1"/>
  <c r="C1217" i="1"/>
  <c r="D1217" i="1"/>
  <c r="C1218" i="1"/>
  <c r="D1218" i="1"/>
  <c r="C1219" i="1"/>
  <c r="D1219" i="1"/>
  <c r="C1220" i="1"/>
  <c r="D1220" i="1"/>
  <c r="C1221" i="1"/>
  <c r="D1221" i="1"/>
  <c r="C1222" i="1"/>
  <c r="D1222" i="1"/>
  <c r="C1223" i="1"/>
  <c r="D1223" i="1"/>
  <c r="C1224" i="1"/>
  <c r="D1224" i="1"/>
  <c r="C1225" i="1"/>
  <c r="D1225" i="1"/>
  <c r="C1226" i="1"/>
  <c r="D1226" i="1"/>
  <c r="C1227" i="1"/>
  <c r="D1227" i="1"/>
  <c r="C1228" i="1"/>
  <c r="D1228" i="1"/>
  <c r="C1229" i="1"/>
  <c r="D1229" i="1"/>
  <c r="C1230" i="1"/>
  <c r="D1230" i="1"/>
  <c r="C1231" i="1"/>
  <c r="D1231" i="1"/>
  <c r="C1232" i="1"/>
  <c r="D1232" i="1"/>
  <c r="C1233" i="1"/>
  <c r="D1233" i="1"/>
  <c r="C1234" i="1"/>
  <c r="D1234" i="1"/>
  <c r="C1235" i="1"/>
  <c r="D1235" i="1"/>
  <c r="C1236" i="1"/>
  <c r="D1236" i="1"/>
  <c r="C1237" i="1"/>
  <c r="D1237" i="1"/>
  <c r="C1238" i="1"/>
  <c r="D1238" i="1"/>
  <c r="C1239" i="1"/>
  <c r="D1239" i="1"/>
  <c r="C1240" i="1"/>
  <c r="D1240" i="1"/>
  <c r="C1241" i="1"/>
  <c r="D1241" i="1"/>
  <c r="C1242" i="1"/>
  <c r="D1242" i="1"/>
  <c r="C1243" i="1"/>
  <c r="D1243" i="1"/>
  <c r="C1244" i="1"/>
  <c r="D1244" i="1"/>
  <c r="C1245" i="1"/>
  <c r="D1245" i="1"/>
  <c r="C1246" i="1"/>
  <c r="D1246" i="1"/>
  <c r="C1247" i="1"/>
  <c r="D1247" i="1"/>
  <c r="C1248" i="1"/>
  <c r="D1248" i="1"/>
  <c r="C1249" i="1"/>
  <c r="D1249" i="1"/>
  <c r="C1250" i="1"/>
  <c r="D1250" i="1"/>
  <c r="C1251" i="1"/>
  <c r="D1251" i="1"/>
  <c r="C1252" i="1"/>
  <c r="D1252" i="1"/>
  <c r="C1253" i="1"/>
  <c r="D1253" i="1"/>
  <c r="C1254" i="1"/>
  <c r="D1254" i="1"/>
  <c r="C1255" i="1"/>
  <c r="D1255" i="1"/>
  <c r="C1256" i="1"/>
  <c r="D1256" i="1"/>
  <c r="C1257" i="1"/>
  <c r="D1257" i="1"/>
  <c r="C1258" i="1"/>
  <c r="D1258" i="1"/>
  <c r="C1259" i="1"/>
  <c r="D1259" i="1"/>
  <c r="C1260" i="1"/>
  <c r="D1260" i="1"/>
  <c r="C1261" i="1"/>
  <c r="D1261" i="1"/>
  <c r="C1262" i="1"/>
  <c r="D1262" i="1"/>
  <c r="C1263" i="1"/>
  <c r="D1263" i="1"/>
  <c r="C1264" i="1"/>
  <c r="D1264" i="1"/>
  <c r="C1265" i="1"/>
  <c r="D1265" i="1"/>
  <c r="C1266" i="1"/>
  <c r="D1266" i="1"/>
  <c r="C1267" i="1"/>
  <c r="D1267" i="1"/>
  <c r="C1268" i="1"/>
  <c r="D1268" i="1"/>
  <c r="C1269" i="1"/>
  <c r="D1269" i="1"/>
  <c r="C1270" i="1"/>
  <c r="D1270" i="1"/>
  <c r="C1271" i="1"/>
  <c r="D1271" i="1"/>
  <c r="C1272" i="1"/>
  <c r="D1272" i="1"/>
  <c r="C1273" i="1"/>
  <c r="D1273" i="1"/>
  <c r="C1274" i="1"/>
  <c r="D1274" i="1"/>
  <c r="C1275" i="1"/>
  <c r="D1275" i="1"/>
  <c r="C1276" i="1"/>
  <c r="D1276" i="1"/>
  <c r="C1277" i="1"/>
  <c r="D1277" i="1"/>
  <c r="C1278" i="1"/>
  <c r="D1278" i="1"/>
  <c r="C1279" i="1"/>
  <c r="D1279" i="1"/>
  <c r="C1280" i="1"/>
  <c r="D1280" i="1"/>
  <c r="C1281" i="1"/>
  <c r="D1281" i="1"/>
  <c r="C1282" i="1"/>
  <c r="D1282" i="1"/>
  <c r="C1283" i="1"/>
  <c r="D1283" i="1"/>
  <c r="C1284" i="1"/>
  <c r="D1284" i="1"/>
  <c r="C1285" i="1"/>
  <c r="D1285" i="1"/>
  <c r="C1286" i="1"/>
  <c r="D1286" i="1"/>
  <c r="C1287" i="1"/>
  <c r="D1287" i="1"/>
  <c r="C1288" i="1"/>
  <c r="D1288" i="1"/>
  <c r="C1289" i="1"/>
  <c r="D1289" i="1"/>
  <c r="C1290" i="1"/>
  <c r="D1290" i="1"/>
  <c r="C1291" i="1"/>
  <c r="D1291" i="1"/>
  <c r="C1292" i="1"/>
  <c r="D1292" i="1"/>
  <c r="C1293" i="1"/>
  <c r="D1293" i="1"/>
  <c r="C1294" i="1"/>
  <c r="D1294" i="1"/>
  <c r="C1295" i="1"/>
  <c r="D1295" i="1"/>
  <c r="C1296" i="1"/>
  <c r="D1296" i="1"/>
  <c r="C1297" i="1"/>
  <c r="D1297" i="1"/>
  <c r="C1298" i="1"/>
  <c r="D1298" i="1"/>
  <c r="C1299" i="1"/>
  <c r="D1299" i="1"/>
  <c r="C1300" i="1"/>
  <c r="D1300" i="1"/>
  <c r="C1301" i="1"/>
  <c r="D1301" i="1"/>
  <c r="C1302" i="1"/>
  <c r="D1302" i="1"/>
  <c r="C1303" i="1"/>
  <c r="D1303" i="1"/>
  <c r="C1304" i="1"/>
  <c r="D1304" i="1"/>
  <c r="C1305" i="1"/>
  <c r="D1305" i="1"/>
  <c r="C1306" i="1"/>
  <c r="D1306" i="1"/>
  <c r="C1307" i="1"/>
  <c r="D1307" i="1"/>
  <c r="C1308" i="1"/>
  <c r="D1308" i="1"/>
  <c r="C1309" i="1"/>
  <c r="D1309" i="1"/>
  <c r="C1310" i="1"/>
  <c r="D1310" i="1"/>
  <c r="C1311" i="1"/>
  <c r="D1311" i="1"/>
  <c r="C1312" i="1"/>
  <c r="D1312" i="1"/>
  <c r="C1313" i="1"/>
  <c r="D1313" i="1"/>
  <c r="C1314" i="1"/>
  <c r="D1314" i="1"/>
  <c r="C1315" i="1"/>
  <c r="D1315" i="1"/>
  <c r="C1316" i="1"/>
  <c r="D1316" i="1"/>
  <c r="C1317" i="1"/>
  <c r="D1317" i="1"/>
  <c r="C1318" i="1"/>
  <c r="D1318" i="1"/>
  <c r="C1319" i="1"/>
  <c r="D1319" i="1"/>
  <c r="C1320" i="1"/>
  <c r="D1320" i="1"/>
  <c r="C1321" i="1"/>
  <c r="D1321" i="1"/>
  <c r="C1322" i="1"/>
  <c r="D1322" i="1"/>
  <c r="C1323" i="1"/>
  <c r="D1323" i="1"/>
  <c r="C1324" i="1"/>
  <c r="D1324" i="1"/>
  <c r="C1325" i="1"/>
  <c r="D1325" i="1"/>
  <c r="C1326" i="1"/>
  <c r="D1326" i="1"/>
  <c r="C1327" i="1"/>
  <c r="D1327" i="1"/>
  <c r="C1328" i="1"/>
  <c r="D1328" i="1"/>
  <c r="C1329" i="1"/>
  <c r="D1329" i="1"/>
  <c r="C1330" i="1"/>
  <c r="D1330" i="1"/>
  <c r="C1331" i="1"/>
  <c r="D1331" i="1"/>
  <c r="C1332" i="1"/>
  <c r="D1332" i="1"/>
  <c r="C1333" i="1"/>
  <c r="D1333" i="1"/>
  <c r="C1334" i="1"/>
  <c r="D1334" i="1"/>
  <c r="C1335" i="1"/>
  <c r="D1335" i="1"/>
  <c r="C1336" i="1"/>
  <c r="D1336" i="1"/>
  <c r="C1337" i="1"/>
  <c r="D1337" i="1"/>
  <c r="C1338" i="1"/>
  <c r="D1338" i="1"/>
  <c r="C1339" i="1"/>
  <c r="D1339" i="1"/>
  <c r="C1340" i="1"/>
  <c r="D1340" i="1"/>
  <c r="C1341" i="1"/>
  <c r="D1341" i="1"/>
  <c r="C1342" i="1"/>
  <c r="D1342" i="1"/>
  <c r="C1343" i="1"/>
  <c r="D1343" i="1"/>
  <c r="C1344" i="1"/>
  <c r="D1344" i="1"/>
  <c r="C1345" i="1"/>
  <c r="D1345" i="1"/>
  <c r="C1346" i="1"/>
  <c r="D1346" i="1"/>
  <c r="C1347" i="1"/>
  <c r="D1347" i="1"/>
  <c r="C1348" i="1"/>
  <c r="D1348" i="1"/>
  <c r="C1349" i="1"/>
  <c r="D1349" i="1"/>
  <c r="C1350" i="1"/>
  <c r="D1350" i="1"/>
  <c r="C1351" i="1"/>
  <c r="D1351" i="1"/>
  <c r="C1352" i="1"/>
  <c r="D1352" i="1"/>
  <c r="C1353" i="1"/>
  <c r="D1353" i="1"/>
  <c r="C1354" i="1"/>
  <c r="D1354" i="1"/>
  <c r="C1355" i="1"/>
  <c r="D1355" i="1"/>
  <c r="C1356" i="1"/>
  <c r="D1356" i="1"/>
  <c r="C1357" i="1"/>
  <c r="D1357" i="1"/>
  <c r="C1358" i="1"/>
  <c r="D1358" i="1"/>
  <c r="C1359" i="1"/>
  <c r="D1359" i="1"/>
  <c r="C1360" i="1"/>
  <c r="D1360" i="1"/>
  <c r="C1361" i="1"/>
  <c r="D1361" i="1"/>
  <c r="C1362" i="1"/>
  <c r="D1362" i="1"/>
  <c r="C1363" i="1"/>
  <c r="D1363" i="1"/>
  <c r="C1364" i="1"/>
  <c r="D1364" i="1"/>
  <c r="C1365" i="1"/>
  <c r="D1365" i="1"/>
  <c r="C1366" i="1"/>
  <c r="D1366" i="1"/>
  <c r="C1367" i="1"/>
  <c r="D1367" i="1"/>
  <c r="C1368" i="1"/>
  <c r="D1368" i="1"/>
  <c r="C1369" i="1"/>
  <c r="D1369" i="1"/>
  <c r="C1370" i="1"/>
  <c r="D1370" i="1"/>
  <c r="C1371" i="1"/>
  <c r="D1371" i="1"/>
  <c r="C1372" i="1"/>
  <c r="D1372" i="1"/>
  <c r="C1373" i="1"/>
  <c r="D1373" i="1"/>
  <c r="C1374" i="1"/>
  <c r="D1374" i="1"/>
  <c r="C1375" i="1"/>
  <c r="D1375" i="1"/>
  <c r="C1376" i="1"/>
  <c r="D1376" i="1"/>
  <c r="C1377" i="1"/>
  <c r="D1377" i="1"/>
  <c r="C1378" i="1"/>
  <c r="D1378" i="1"/>
  <c r="C1379" i="1"/>
  <c r="D1379" i="1"/>
  <c r="C1380" i="1"/>
  <c r="D1380" i="1"/>
  <c r="C1381" i="1"/>
  <c r="D1381" i="1"/>
  <c r="C1382" i="1"/>
  <c r="D1382" i="1"/>
  <c r="C1383" i="1"/>
  <c r="D1383" i="1"/>
  <c r="C1384" i="1"/>
  <c r="D1384" i="1"/>
  <c r="C1385" i="1"/>
  <c r="D1385" i="1"/>
  <c r="C1386" i="1"/>
  <c r="D1386" i="1"/>
  <c r="C1387" i="1"/>
  <c r="D1387" i="1"/>
  <c r="C1388" i="1"/>
  <c r="D1388" i="1"/>
  <c r="C1389" i="1"/>
  <c r="D1389" i="1"/>
  <c r="C1390" i="1"/>
  <c r="D1390" i="1"/>
  <c r="C1391" i="1"/>
  <c r="D1391" i="1"/>
  <c r="C1392" i="1"/>
  <c r="D1392" i="1"/>
  <c r="C1393" i="1"/>
  <c r="D1393" i="1"/>
  <c r="C1394" i="1"/>
  <c r="D1394" i="1"/>
  <c r="C1395" i="1"/>
  <c r="D1395" i="1"/>
  <c r="C1396" i="1"/>
  <c r="D1396" i="1"/>
  <c r="C1397" i="1"/>
  <c r="D1397" i="1"/>
  <c r="C1398" i="1"/>
  <c r="D1398" i="1"/>
  <c r="C1399" i="1"/>
  <c r="D1399" i="1"/>
  <c r="C1400" i="1"/>
  <c r="D1400" i="1"/>
  <c r="C1401" i="1"/>
  <c r="D1401" i="1"/>
  <c r="C1402" i="1"/>
  <c r="D1402" i="1"/>
  <c r="C1403" i="1"/>
  <c r="D1403" i="1"/>
  <c r="C1404" i="1"/>
  <c r="D1404" i="1"/>
  <c r="C1405" i="1"/>
  <c r="D1405" i="1"/>
  <c r="C1406" i="1"/>
  <c r="D1406" i="1"/>
  <c r="C1407" i="1"/>
  <c r="D1407" i="1"/>
  <c r="C1408" i="1"/>
  <c r="D1408" i="1"/>
  <c r="C1409" i="1"/>
  <c r="D1409" i="1"/>
  <c r="C1410" i="1"/>
  <c r="D1410" i="1"/>
  <c r="C1411" i="1"/>
  <c r="D1411" i="1"/>
  <c r="C1412" i="1"/>
  <c r="D1412" i="1"/>
  <c r="C1413" i="1"/>
  <c r="D1413" i="1"/>
  <c r="C1414" i="1"/>
  <c r="D1414" i="1"/>
  <c r="C1415" i="1"/>
  <c r="D1415" i="1"/>
  <c r="C1416" i="1"/>
  <c r="D1416" i="1"/>
  <c r="C1417" i="1"/>
  <c r="D1417" i="1"/>
  <c r="C1418" i="1"/>
  <c r="D1418" i="1"/>
  <c r="C1419" i="1"/>
  <c r="D1419" i="1"/>
  <c r="C1420" i="1"/>
  <c r="D1420" i="1"/>
  <c r="C1421" i="1"/>
  <c r="D1421" i="1"/>
  <c r="C1422" i="1"/>
  <c r="D1422" i="1"/>
  <c r="C1423" i="1"/>
  <c r="D1423" i="1"/>
  <c r="C1424" i="1"/>
  <c r="D1424" i="1"/>
  <c r="C1425" i="1"/>
  <c r="D1425" i="1"/>
  <c r="C1426" i="1"/>
  <c r="D1426" i="1"/>
  <c r="C1427" i="1"/>
  <c r="D1427" i="1"/>
  <c r="C1428" i="1"/>
  <c r="D1428" i="1"/>
  <c r="C1429" i="1"/>
  <c r="D1429" i="1"/>
  <c r="C1430" i="1"/>
  <c r="D1430" i="1"/>
  <c r="C1431" i="1"/>
  <c r="D1431" i="1"/>
  <c r="C1432" i="1"/>
  <c r="D1432" i="1"/>
  <c r="C1433" i="1"/>
  <c r="D1433" i="1"/>
  <c r="C1434" i="1"/>
  <c r="D1434" i="1"/>
  <c r="C1435" i="1"/>
  <c r="D1435" i="1"/>
  <c r="C1436" i="1"/>
  <c r="D1436" i="1"/>
  <c r="C1437" i="1"/>
  <c r="D1437" i="1"/>
  <c r="C1438" i="1"/>
  <c r="D1438" i="1"/>
  <c r="C1439" i="1"/>
  <c r="D1439" i="1"/>
  <c r="C1440" i="1"/>
  <c r="D1440" i="1"/>
  <c r="C1441" i="1"/>
  <c r="D1441" i="1"/>
  <c r="C1442" i="1"/>
  <c r="D1442" i="1"/>
  <c r="C1443" i="1"/>
  <c r="D1443" i="1"/>
  <c r="C1444" i="1"/>
  <c r="D1444" i="1"/>
  <c r="C1445" i="1"/>
  <c r="D1445" i="1"/>
  <c r="C1446" i="1"/>
  <c r="D1446" i="1"/>
  <c r="C1447" i="1"/>
  <c r="D1447" i="1"/>
  <c r="C1448" i="1"/>
  <c r="D1448" i="1"/>
  <c r="C1449" i="1"/>
  <c r="D1449" i="1"/>
  <c r="C1450" i="1"/>
  <c r="D1450" i="1"/>
  <c r="C1451" i="1"/>
  <c r="D1451" i="1"/>
  <c r="C1452" i="1"/>
  <c r="D1452" i="1"/>
  <c r="C1453" i="1"/>
  <c r="D1453" i="1"/>
  <c r="C1454" i="1"/>
  <c r="D1454" i="1"/>
  <c r="C1455" i="1"/>
  <c r="D1455" i="1"/>
  <c r="C1456" i="1"/>
  <c r="D1456" i="1"/>
  <c r="C1457" i="1"/>
  <c r="D1457" i="1"/>
  <c r="C1458" i="1"/>
  <c r="D1458" i="1"/>
  <c r="C1459" i="1"/>
  <c r="D1459" i="1"/>
  <c r="C1460" i="1"/>
  <c r="D1460" i="1"/>
  <c r="C1461" i="1"/>
  <c r="D1461" i="1"/>
  <c r="C1462" i="1"/>
  <c r="D1462" i="1"/>
  <c r="C1463" i="1"/>
  <c r="D1463" i="1"/>
  <c r="C1464" i="1"/>
  <c r="D1464" i="1"/>
  <c r="C1465" i="1"/>
  <c r="D1465" i="1"/>
  <c r="C1466" i="1"/>
  <c r="D1466" i="1"/>
  <c r="C1467" i="1"/>
  <c r="D1467" i="1"/>
  <c r="C1468" i="1"/>
  <c r="D1468" i="1"/>
  <c r="C1469" i="1"/>
  <c r="D1469" i="1"/>
  <c r="C1470" i="1"/>
  <c r="D1470" i="1"/>
  <c r="C1471" i="1"/>
  <c r="D1471" i="1"/>
  <c r="C1472" i="1"/>
  <c r="D1472" i="1"/>
  <c r="C1473" i="1"/>
  <c r="D1473" i="1"/>
  <c r="C1474" i="1"/>
  <c r="D1474" i="1"/>
  <c r="C1475" i="1"/>
  <c r="D1475" i="1"/>
  <c r="C1476" i="1"/>
  <c r="D1476" i="1"/>
  <c r="C1477" i="1"/>
  <c r="D1477" i="1"/>
  <c r="C1478" i="1"/>
  <c r="D1478" i="1"/>
  <c r="C1479" i="1"/>
  <c r="D1479" i="1"/>
  <c r="C1480" i="1"/>
  <c r="D1480" i="1"/>
  <c r="C1481" i="1"/>
  <c r="D1481" i="1"/>
  <c r="C1482" i="1"/>
  <c r="D1482" i="1"/>
  <c r="C1483" i="1"/>
  <c r="D1483" i="1"/>
  <c r="C1484" i="1"/>
  <c r="D1484" i="1"/>
  <c r="C1485" i="1"/>
  <c r="D1485" i="1"/>
  <c r="C1486" i="1"/>
  <c r="D1486" i="1"/>
  <c r="C1487" i="1"/>
  <c r="D1487" i="1"/>
  <c r="C1488" i="1"/>
  <c r="D1488" i="1"/>
  <c r="C1489" i="1"/>
  <c r="D1489" i="1"/>
  <c r="C1490" i="1"/>
  <c r="D1490" i="1"/>
  <c r="C1491" i="1"/>
  <c r="D1491" i="1"/>
  <c r="C1492" i="1"/>
  <c r="D1492" i="1"/>
  <c r="C1493" i="1"/>
  <c r="D1493" i="1"/>
  <c r="C1494" i="1"/>
  <c r="D1494" i="1"/>
  <c r="C1495" i="1"/>
  <c r="D1495" i="1"/>
  <c r="C1496" i="1"/>
  <c r="D1496" i="1"/>
  <c r="C1497" i="1"/>
  <c r="D1497" i="1"/>
  <c r="C1498" i="1"/>
  <c r="D1498" i="1"/>
  <c r="C1499" i="1"/>
  <c r="D1499" i="1"/>
  <c r="C1500" i="1"/>
  <c r="D1500" i="1"/>
  <c r="C1501" i="1"/>
  <c r="D1501" i="1"/>
  <c r="C1502" i="1"/>
  <c r="D1502" i="1"/>
  <c r="C1503" i="1"/>
  <c r="D1503" i="1"/>
  <c r="C1504" i="1"/>
  <c r="D1504" i="1"/>
  <c r="C1505" i="1"/>
  <c r="D1505" i="1"/>
  <c r="C1506" i="1"/>
  <c r="D1506" i="1"/>
  <c r="C1507" i="1"/>
  <c r="D1507" i="1"/>
  <c r="C1508" i="1"/>
  <c r="D1508" i="1"/>
  <c r="C1509" i="1"/>
  <c r="D1509" i="1"/>
  <c r="C1510" i="1"/>
  <c r="D1510" i="1"/>
  <c r="C1511" i="1"/>
  <c r="D1511" i="1"/>
  <c r="C1512" i="1"/>
  <c r="D1512" i="1"/>
  <c r="C1513" i="1"/>
  <c r="D1513" i="1"/>
  <c r="C1514" i="1"/>
  <c r="D1514" i="1"/>
  <c r="C1515" i="1"/>
  <c r="D1515" i="1"/>
  <c r="C1516" i="1"/>
  <c r="D1516" i="1"/>
  <c r="C1517" i="1"/>
  <c r="D1517" i="1"/>
  <c r="C1518" i="1"/>
  <c r="D1518" i="1"/>
  <c r="C1519" i="1"/>
  <c r="D1519" i="1"/>
  <c r="C1520" i="1"/>
  <c r="D1520" i="1"/>
  <c r="C1521" i="1"/>
  <c r="D1521" i="1"/>
  <c r="C1522" i="1"/>
  <c r="D1522" i="1"/>
  <c r="C1523" i="1"/>
  <c r="D1523" i="1"/>
  <c r="C1524" i="1"/>
  <c r="D1524" i="1"/>
  <c r="C1525" i="1"/>
  <c r="D1525" i="1"/>
  <c r="C1526" i="1"/>
  <c r="D1526" i="1"/>
  <c r="C1527" i="1"/>
  <c r="D1527" i="1"/>
  <c r="C1528" i="1"/>
  <c r="D1528" i="1"/>
  <c r="C1529" i="1"/>
  <c r="D1529" i="1"/>
  <c r="C1530" i="1"/>
  <c r="D1530" i="1"/>
  <c r="C1531" i="1"/>
  <c r="D1531" i="1"/>
  <c r="C1532" i="1"/>
  <c r="D1532" i="1"/>
  <c r="C1533" i="1"/>
  <c r="D1533" i="1"/>
  <c r="C1534" i="1"/>
  <c r="D1534" i="1"/>
  <c r="C1535" i="1"/>
  <c r="D1535" i="1"/>
  <c r="C1536" i="1"/>
  <c r="D1536" i="1"/>
  <c r="C1537" i="1"/>
  <c r="D1537" i="1"/>
  <c r="C1538" i="1"/>
  <c r="D1538" i="1"/>
  <c r="C1539" i="1"/>
  <c r="D1539" i="1"/>
  <c r="C1540" i="1"/>
  <c r="D1540" i="1"/>
  <c r="C1541" i="1"/>
  <c r="D1541" i="1"/>
  <c r="C1542" i="1"/>
  <c r="D1542" i="1"/>
  <c r="C1543" i="1"/>
  <c r="D1543" i="1"/>
  <c r="C1544" i="1"/>
  <c r="D1544" i="1"/>
  <c r="C1545" i="1"/>
  <c r="D1545" i="1"/>
  <c r="C1546" i="1"/>
  <c r="D1546" i="1"/>
  <c r="C1547" i="1"/>
  <c r="D1547" i="1"/>
  <c r="C1548" i="1"/>
  <c r="D1548" i="1"/>
  <c r="C1549" i="1"/>
  <c r="D1549" i="1"/>
  <c r="C1550" i="1"/>
  <c r="D1550" i="1"/>
  <c r="C1551" i="1"/>
  <c r="D1551" i="1"/>
  <c r="C1552" i="1"/>
  <c r="D1552" i="1"/>
  <c r="C1553" i="1"/>
  <c r="D1553" i="1"/>
  <c r="C1554" i="1"/>
  <c r="D1554" i="1"/>
  <c r="C1555" i="1"/>
  <c r="D1555" i="1"/>
  <c r="C1556" i="1"/>
  <c r="D1556" i="1"/>
  <c r="C1557" i="1"/>
  <c r="D1557" i="1"/>
  <c r="C1558" i="1"/>
  <c r="D1558" i="1"/>
  <c r="C1559" i="1"/>
  <c r="D1559" i="1"/>
  <c r="C1560" i="1"/>
  <c r="D1560" i="1"/>
  <c r="C1561" i="1"/>
  <c r="D1561" i="1"/>
  <c r="C1562" i="1"/>
  <c r="D1562" i="1"/>
  <c r="C1563" i="1"/>
  <c r="D1563" i="1"/>
  <c r="C1564" i="1"/>
  <c r="D1564" i="1"/>
  <c r="C1565" i="1"/>
  <c r="D1565" i="1"/>
  <c r="C1566" i="1"/>
  <c r="D1566" i="1"/>
  <c r="C1567" i="1"/>
  <c r="D1567" i="1"/>
  <c r="C1568" i="1"/>
  <c r="D1568" i="1"/>
  <c r="C1569" i="1"/>
  <c r="D1569" i="1"/>
  <c r="C1570" i="1"/>
  <c r="D1570" i="1"/>
  <c r="C1571" i="1"/>
  <c r="D1571" i="1"/>
  <c r="C1572" i="1"/>
  <c r="D1572" i="1"/>
  <c r="C1573" i="1"/>
  <c r="D1573" i="1"/>
  <c r="C1574" i="1"/>
  <c r="D1574" i="1"/>
  <c r="C1575" i="1"/>
  <c r="D1575" i="1"/>
  <c r="C1576" i="1"/>
  <c r="D1576" i="1"/>
  <c r="C1577" i="1"/>
  <c r="D1577" i="1"/>
  <c r="C1578" i="1"/>
  <c r="D1578" i="1"/>
  <c r="C1579" i="1"/>
  <c r="D1579" i="1"/>
  <c r="C1580" i="1"/>
  <c r="D1580" i="1"/>
  <c r="C1581" i="1"/>
  <c r="D1581" i="1"/>
  <c r="C1582" i="1"/>
  <c r="D1582" i="1"/>
  <c r="C1583" i="1"/>
  <c r="D1583" i="1"/>
  <c r="C1584" i="1"/>
  <c r="D1584" i="1"/>
  <c r="C1585" i="1"/>
  <c r="D1585" i="1"/>
  <c r="C1586" i="1"/>
  <c r="D1586" i="1"/>
  <c r="C1587" i="1"/>
  <c r="D1587" i="1"/>
  <c r="C1588" i="1"/>
  <c r="D1588" i="1"/>
  <c r="C1589" i="1"/>
  <c r="D1589" i="1"/>
  <c r="C1590" i="1"/>
  <c r="D1590" i="1"/>
  <c r="C1591" i="1"/>
  <c r="D1591" i="1"/>
  <c r="C1592" i="1"/>
  <c r="D1592" i="1"/>
  <c r="C1593" i="1"/>
  <c r="D1593" i="1"/>
  <c r="C1594" i="1"/>
  <c r="D1594" i="1"/>
  <c r="C1595" i="1"/>
  <c r="D1595" i="1"/>
  <c r="C1596" i="1"/>
  <c r="D1596" i="1"/>
  <c r="C1597" i="1"/>
  <c r="D1597" i="1"/>
  <c r="C1598" i="1"/>
  <c r="D1598" i="1"/>
  <c r="C1599" i="1"/>
  <c r="D1599" i="1"/>
  <c r="C1600" i="1"/>
  <c r="D1600" i="1"/>
  <c r="C1602" i="1"/>
  <c r="D1602" i="1"/>
  <c r="C1603" i="1"/>
  <c r="D1603" i="1"/>
  <c r="C1604" i="1"/>
  <c r="D1604" i="1"/>
  <c r="C1605" i="1"/>
  <c r="D1605" i="1"/>
  <c r="C1606" i="1"/>
  <c r="D1606" i="1"/>
  <c r="C1607" i="1"/>
  <c r="D1607" i="1"/>
  <c r="C1608" i="1"/>
  <c r="D1608" i="1"/>
  <c r="C1609" i="1"/>
  <c r="D1609" i="1"/>
  <c r="C1610" i="1"/>
  <c r="D1610" i="1"/>
  <c r="C1611" i="1"/>
  <c r="D1611" i="1"/>
  <c r="C1612" i="1"/>
  <c r="D1612" i="1"/>
  <c r="C1613" i="1"/>
  <c r="D1613" i="1"/>
  <c r="C1614" i="1"/>
  <c r="D1614" i="1"/>
  <c r="C1615" i="1"/>
  <c r="D1615" i="1"/>
  <c r="C1616" i="1"/>
  <c r="D1616" i="1"/>
  <c r="C1617" i="1"/>
  <c r="D1617" i="1"/>
  <c r="C1618" i="1"/>
  <c r="D1618" i="1"/>
  <c r="C1619" i="1"/>
  <c r="D1619" i="1"/>
  <c r="C1620" i="1"/>
  <c r="D1620" i="1"/>
  <c r="C1621" i="1"/>
  <c r="D1621" i="1"/>
  <c r="C1622" i="1"/>
  <c r="D1622" i="1"/>
  <c r="C1623" i="1"/>
  <c r="D1623" i="1"/>
  <c r="C1624" i="1"/>
  <c r="D1624" i="1"/>
  <c r="C1625" i="1"/>
  <c r="D1625" i="1"/>
  <c r="C1626" i="1"/>
  <c r="D1626" i="1"/>
  <c r="C1627" i="1"/>
  <c r="D1627" i="1"/>
  <c r="C1628" i="1"/>
  <c r="D1628" i="1"/>
  <c r="C1629" i="1"/>
  <c r="D1629" i="1"/>
  <c r="C1630" i="1"/>
  <c r="D1630" i="1"/>
  <c r="C1631" i="1"/>
  <c r="D1631" i="1"/>
  <c r="C1632" i="1"/>
  <c r="D1632" i="1"/>
  <c r="C1633" i="1"/>
  <c r="D1633" i="1"/>
  <c r="C1634" i="1"/>
  <c r="D1634" i="1"/>
  <c r="C1635" i="1"/>
  <c r="D1635" i="1"/>
  <c r="C1636" i="1"/>
  <c r="D1636" i="1"/>
  <c r="C1637" i="1"/>
  <c r="D1637" i="1"/>
  <c r="C1638" i="1"/>
  <c r="D1638" i="1"/>
  <c r="C1639" i="1"/>
  <c r="D1639" i="1"/>
  <c r="C1640" i="1"/>
  <c r="D1640" i="1"/>
  <c r="C1641" i="1"/>
  <c r="D1641" i="1"/>
  <c r="C1642" i="1"/>
  <c r="D1642" i="1"/>
  <c r="C1643" i="1"/>
  <c r="D1643" i="1"/>
  <c r="C1644" i="1"/>
  <c r="D1644" i="1"/>
  <c r="C1645" i="1"/>
  <c r="D1645" i="1"/>
  <c r="C1646" i="1"/>
  <c r="D1646" i="1"/>
  <c r="C1647" i="1"/>
  <c r="D1647" i="1"/>
  <c r="C1648" i="1"/>
  <c r="D1648" i="1"/>
  <c r="C1649" i="1"/>
  <c r="D1649" i="1"/>
  <c r="C1650" i="1"/>
  <c r="D1650" i="1"/>
  <c r="C1651" i="1"/>
  <c r="D1651" i="1"/>
  <c r="C1652" i="1"/>
  <c r="D1652" i="1"/>
  <c r="C1653" i="1"/>
  <c r="D1653" i="1"/>
  <c r="C1654" i="1"/>
  <c r="D1654" i="1"/>
  <c r="C1655" i="1"/>
  <c r="D1655" i="1"/>
  <c r="C1656" i="1"/>
  <c r="D1656" i="1"/>
  <c r="C1657" i="1"/>
  <c r="D1657" i="1"/>
  <c r="C1658" i="1"/>
  <c r="D1658" i="1"/>
  <c r="C1659" i="1"/>
  <c r="D1659" i="1"/>
  <c r="C1660" i="1"/>
  <c r="D1660" i="1"/>
  <c r="C1661" i="1"/>
  <c r="D1661" i="1"/>
  <c r="C1662" i="1"/>
  <c r="D1662" i="1"/>
  <c r="C1663" i="1"/>
  <c r="D1663" i="1"/>
  <c r="C1664" i="1"/>
  <c r="D1664" i="1"/>
  <c r="C1665" i="1"/>
  <c r="D1665" i="1"/>
  <c r="C1666" i="1"/>
  <c r="D1666" i="1"/>
  <c r="C1667" i="1"/>
  <c r="D1667" i="1"/>
  <c r="C1668" i="1"/>
  <c r="D1668" i="1"/>
  <c r="C1669" i="1"/>
  <c r="D1669" i="1"/>
  <c r="C1670" i="1"/>
  <c r="D1670" i="1"/>
  <c r="C1671" i="1"/>
  <c r="D1671" i="1"/>
  <c r="C1672" i="1"/>
  <c r="D1672" i="1"/>
  <c r="C1673" i="1"/>
  <c r="D1673" i="1"/>
  <c r="C1674" i="1"/>
  <c r="D1674" i="1"/>
  <c r="C1675" i="1"/>
  <c r="D1675" i="1"/>
  <c r="C1676" i="1"/>
  <c r="D1676" i="1"/>
  <c r="C1677" i="1"/>
  <c r="D1677" i="1"/>
  <c r="C1678" i="1"/>
  <c r="D1678" i="1"/>
  <c r="C1679" i="1"/>
  <c r="D1679" i="1"/>
  <c r="C1680" i="1"/>
  <c r="D1680" i="1"/>
  <c r="C1681" i="1"/>
  <c r="D1681" i="1"/>
  <c r="C1682" i="1"/>
  <c r="D1682" i="1"/>
  <c r="C1683" i="1"/>
  <c r="D1683" i="1"/>
  <c r="C1684" i="1"/>
  <c r="D1684" i="1"/>
  <c r="C1685" i="1"/>
  <c r="D1685" i="1"/>
  <c r="C1686" i="1"/>
  <c r="D1686" i="1"/>
  <c r="C1687" i="1"/>
  <c r="D1687" i="1"/>
  <c r="C1688" i="1"/>
  <c r="D1688" i="1"/>
  <c r="C1689" i="1"/>
  <c r="D1689" i="1"/>
  <c r="C1690" i="1"/>
  <c r="D1690" i="1"/>
  <c r="C1691" i="1"/>
  <c r="D1691" i="1"/>
  <c r="C1692" i="1"/>
  <c r="D1692" i="1"/>
  <c r="C1693" i="1"/>
  <c r="D1693" i="1"/>
  <c r="C1694" i="1"/>
  <c r="D1694" i="1"/>
  <c r="C1695" i="1"/>
  <c r="D1695" i="1"/>
  <c r="C1696" i="1"/>
  <c r="D1696" i="1"/>
  <c r="C1697" i="1"/>
  <c r="D1697" i="1"/>
  <c r="C1698" i="1"/>
  <c r="D1698" i="1"/>
  <c r="C1699" i="1"/>
  <c r="D1699" i="1"/>
  <c r="C1700" i="1"/>
  <c r="D1700" i="1"/>
  <c r="C1701" i="1"/>
  <c r="D1701" i="1"/>
  <c r="C1702" i="1"/>
  <c r="D1702" i="1"/>
  <c r="C1703" i="1"/>
  <c r="D1703" i="1"/>
  <c r="C1704" i="1"/>
  <c r="D1704" i="1"/>
  <c r="C1705" i="1"/>
  <c r="D1705" i="1"/>
  <c r="C1706" i="1"/>
  <c r="D1706" i="1"/>
  <c r="C1707" i="1"/>
  <c r="D1707" i="1"/>
  <c r="C1708" i="1"/>
  <c r="D1708" i="1"/>
  <c r="C1709" i="1"/>
  <c r="D1709" i="1"/>
  <c r="C1710" i="1"/>
  <c r="D1710" i="1"/>
  <c r="C1711" i="1"/>
  <c r="D1711" i="1"/>
  <c r="C1712" i="1"/>
  <c r="D1712" i="1"/>
  <c r="C1713" i="1"/>
  <c r="D1713" i="1"/>
  <c r="C1714" i="1"/>
  <c r="D1714" i="1"/>
  <c r="C1715" i="1"/>
  <c r="D1715" i="1"/>
  <c r="C1716" i="1"/>
  <c r="D1716" i="1"/>
  <c r="C1717" i="1"/>
  <c r="D1717" i="1"/>
  <c r="C1718" i="1"/>
  <c r="D1718" i="1"/>
  <c r="C1719" i="1"/>
  <c r="D1719" i="1"/>
  <c r="C1720" i="1"/>
  <c r="D1720" i="1"/>
  <c r="C1721" i="1"/>
  <c r="D1721" i="1"/>
  <c r="C1722" i="1"/>
  <c r="D1722" i="1"/>
  <c r="C1723" i="1"/>
  <c r="D1723" i="1"/>
  <c r="C1724" i="1"/>
  <c r="D1724" i="1"/>
  <c r="C1725" i="1"/>
  <c r="D1725" i="1"/>
  <c r="C1726" i="1"/>
  <c r="D1726" i="1"/>
  <c r="C1727" i="1"/>
  <c r="D1727" i="1"/>
  <c r="C1728" i="1"/>
  <c r="D1728" i="1"/>
  <c r="C1729" i="1"/>
  <c r="D1729" i="1"/>
  <c r="C1730" i="1"/>
  <c r="D1730" i="1"/>
  <c r="C1731" i="1"/>
  <c r="D1731" i="1"/>
  <c r="C1732" i="1"/>
  <c r="D1732" i="1"/>
  <c r="C1733" i="1"/>
  <c r="D1733" i="1"/>
  <c r="C1734" i="1"/>
  <c r="D1734" i="1"/>
  <c r="C1735" i="1"/>
  <c r="D1735" i="1"/>
  <c r="C1736" i="1"/>
  <c r="D1736" i="1"/>
  <c r="C1737" i="1"/>
  <c r="D1737" i="1"/>
  <c r="C1738" i="1"/>
  <c r="D1738" i="1"/>
  <c r="C1739" i="1"/>
  <c r="D1739" i="1"/>
  <c r="C1740" i="1"/>
  <c r="D1740" i="1"/>
  <c r="C1741" i="1"/>
  <c r="D1741" i="1"/>
  <c r="C1742" i="1"/>
  <c r="D1742" i="1"/>
  <c r="C1743" i="1"/>
  <c r="D1743" i="1"/>
  <c r="C1744" i="1"/>
  <c r="D1744" i="1"/>
  <c r="C1745" i="1"/>
  <c r="D1745" i="1"/>
  <c r="C1746" i="1"/>
  <c r="D1746" i="1"/>
  <c r="C1747" i="1"/>
  <c r="D1747" i="1"/>
  <c r="C1748" i="1"/>
  <c r="D1748" i="1"/>
  <c r="C1749" i="1"/>
  <c r="D1749" i="1"/>
  <c r="C1750" i="1"/>
  <c r="D1750" i="1"/>
  <c r="C1751" i="1"/>
  <c r="D1751" i="1"/>
  <c r="C1752" i="1"/>
  <c r="D1752" i="1"/>
  <c r="C1753" i="1"/>
  <c r="D1753" i="1"/>
  <c r="C1754" i="1"/>
  <c r="D1754" i="1"/>
  <c r="C1755" i="1"/>
  <c r="D1755" i="1"/>
  <c r="C1756" i="1"/>
  <c r="D1756" i="1"/>
  <c r="C1757" i="1"/>
  <c r="D1757" i="1"/>
  <c r="C1758" i="1"/>
  <c r="D1758" i="1"/>
  <c r="C1759" i="1"/>
  <c r="D1759" i="1"/>
  <c r="C1760" i="1"/>
  <c r="D1760" i="1"/>
  <c r="C1761" i="1"/>
  <c r="D1761" i="1"/>
  <c r="C1762" i="1"/>
  <c r="D1762" i="1"/>
  <c r="C1763" i="1"/>
  <c r="D1763" i="1"/>
  <c r="C1764" i="1"/>
  <c r="D1764" i="1"/>
  <c r="C1765" i="1"/>
  <c r="D1765" i="1"/>
  <c r="C1766" i="1"/>
  <c r="D1766" i="1"/>
  <c r="C1767" i="1"/>
  <c r="D1767" i="1"/>
  <c r="C1768" i="1"/>
  <c r="D1768" i="1"/>
  <c r="C1769" i="1"/>
  <c r="D1769" i="1"/>
  <c r="C1770" i="1"/>
  <c r="D1770" i="1"/>
  <c r="C1771" i="1"/>
  <c r="D1771" i="1"/>
  <c r="C1772" i="1"/>
  <c r="D1772" i="1"/>
  <c r="C1773" i="1"/>
  <c r="D1773" i="1"/>
  <c r="C1774" i="1"/>
  <c r="D1774" i="1"/>
  <c r="C1775" i="1"/>
  <c r="D1775" i="1"/>
  <c r="C1776" i="1"/>
  <c r="D1776" i="1"/>
  <c r="C1777" i="1"/>
  <c r="D1777" i="1"/>
  <c r="C1778" i="1"/>
  <c r="D1778" i="1"/>
  <c r="C1779" i="1"/>
  <c r="D1779" i="1"/>
  <c r="C1780" i="1"/>
  <c r="D1780" i="1"/>
  <c r="C1781" i="1"/>
  <c r="D1781" i="1"/>
  <c r="C1782" i="1"/>
  <c r="D1782" i="1"/>
  <c r="C1783" i="1"/>
  <c r="D1783" i="1"/>
  <c r="C1784" i="1"/>
  <c r="D1784" i="1"/>
  <c r="C1785" i="1"/>
  <c r="D1785" i="1"/>
  <c r="C1786" i="1"/>
  <c r="D1786" i="1"/>
  <c r="C1787" i="1"/>
  <c r="D1787" i="1"/>
  <c r="C1788" i="1"/>
  <c r="D1788" i="1"/>
  <c r="C1789" i="1"/>
  <c r="D1789" i="1"/>
  <c r="C1790" i="1"/>
  <c r="D1790" i="1"/>
  <c r="C1791" i="1"/>
  <c r="D1791" i="1"/>
  <c r="C1792" i="1"/>
  <c r="D1792" i="1"/>
  <c r="C1793" i="1"/>
  <c r="D1793" i="1"/>
  <c r="C1794" i="1"/>
  <c r="D1794" i="1"/>
  <c r="C1795" i="1"/>
  <c r="D1795" i="1"/>
  <c r="C1796" i="1"/>
  <c r="D1796" i="1"/>
  <c r="C1797" i="1"/>
  <c r="D1797" i="1"/>
  <c r="C1798" i="1"/>
  <c r="D1798" i="1"/>
  <c r="C1799" i="1"/>
  <c r="D1799" i="1"/>
  <c r="C1800" i="1"/>
  <c r="D1800" i="1"/>
  <c r="C1801" i="1"/>
  <c r="D1801" i="1"/>
  <c r="C1802" i="1"/>
  <c r="D1802" i="1"/>
  <c r="C1803" i="1"/>
  <c r="D1803" i="1"/>
  <c r="C1804" i="1"/>
  <c r="D1804" i="1"/>
  <c r="C1805" i="1"/>
  <c r="D1805" i="1"/>
  <c r="C1806" i="1"/>
  <c r="D1806" i="1"/>
  <c r="C1807" i="1"/>
  <c r="D1807" i="1"/>
  <c r="C1808" i="1"/>
  <c r="D1808" i="1"/>
  <c r="C1809" i="1"/>
  <c r="D1809" i="1"/>
  <c r="C1810" i="1"/>
  <c r="D1810" i="1"/>
  <c r="C1811" i="1"/>
  <c r="D1811" i="1"/>
  <c r="C1812" i="1"/>
  <c r="D1812" i="1"/>
  <c r="C1813" i="1"/>
  <c r="D1813" i="1"/>
  <c r="C1814" i="1"/>
  <c r="D1814" i="1"/>
  <c r="C1815" i="1"/>
  <c r="D1815" i="1"/>
  <c r="C1816" i="1"/>
  <c r="D1816" i="1"/>
  <c r="C1817" i="1"/>
  <c r="D1817" i="1"/>
  <c r="C1818" i="1"/>
  <c r="D1818" i="1"/>
  <c r="C1819" i="1"/>
  <c r="D1819" i="1"/>
  <c r="C1820" i="1"/>
  <c r="D1820" i="1"/>
  <c r="C1821" i="1"/>
  <c r="D1821" i="1"/>
  <c r="C1822" i="1"/>
  <c r="D1822" i="1"/>
  <c r="C1823" i="1"/>
  <c r="D1823" i="1"/>
  <c r="C1824" i="1"/>
  <c r="D1824" i="1"/>
  <c r="C1825" i="1"/>
  <c r="D1825" i="1"/>
  <c r="C1826" i="1"/>
  <c r="D1826" i="1"/>
  <c r="C1827" i="1"/>
  <c r="D1827" i="1"/>
  <c r="C1828" i="1"/>
  <c r="D1828" i="1"/>
  <c r="C1829" i="1"/>
  <c r="D1829" i="1"/>
  <c r="C1830" i="1"/>
  <c r="D1830" i="1"/>
  <c r="C1831" i="1"/>
  <c r="D1831" i="1"/>
  <c r="C1832" i="1"/>
  <c r="D1832" i="1"/>
  <c r="C1833" i="1"/>
  <c r="D1833" i="1"/>
  <c r="C1834" i="1"/>
  <c r="D1834" i="1"/>
  <c r="C1835" i="1"/>
  <c r="D1835" i="1"/>
  <c r="C1836" i="1"/>
  <c r="D1836" i="1"/>
  <c r="C1837" i="1"/>
  <c r="D1837" i="1"/>
  <c r="C1838" i="1"/>
  <c r="D1838" i="1"/>
  <c r="C1839" i="1"/>
  <c r="D1839" i="1"/>
  <c r="C1840" i="1"/>
  <c r="D1840" i="1"/>
  <c r="C1841" i="1"/>
  <c r="D1841" i="1"/>
  <c r="C1842" i="1"/>
  <c r="D1842" i="1"/>
  <c r="C1843" i="1"/>
  <c r="D1843" i="1"/>
  <c r="C1844" i="1"/>
  <c r="D1844" i="1"/>
  <c r="C1845" i="1"/>
  <c r="D1845" i="1"/>
  <c r="C1846" i="1"/>
  <c r="D1846" i="1"/>
  <c r="C1847" i="1"/>
  <c r="D1847" i="1"/>
  <c r="C1848" i="1"/>
  <c r="D1848" i="1"/>
  <c r="C1849" i="1"/>
  <c r="D1849" i="1"/>
  <c r="C1850" i="1"/>
  <c r="D1850" i="1"/>
  <c r="C1851" i="1"/>
  <c r="D1851" i="1"/>
  <c r="C1852" i="1"/>
  <c r="D1852" i="1"/>
  <c r="C1853" i="1"/>
  <c r="D1853" i="1"/>
  <c r="C1854" i="1"/>
  <c r="D1854" i="1"/>
  <c r="C1855" i="1"/>
  <c r="D1855" i="1"/>
  <c r="C1856" i="1"/>
  <c r="D1856" i="1"/>
  <c r="C1857" i="1"/>
  <c r="D1857" i="1"/>
  <c r="C1858" i="1"/>
  <c r="D1858" i="1"/>
  <c r="C1859" i="1"/>
  <c r="D1859" i="1"/>
  <c r="C1860" i="1"/>
  <c r="D1860" i="1"/>
  <c r="C1861" i="1"/>
  <c r="D1861" i="1"/>
  <c r="C1862" i="1"/>
  <c r="D1862" i="1"/>
  <c r="C1863" i="1"/>
  <c r="D1863" i="1"/>
  <c r="C1864" i="1"/>
  <c r="D1864" i="1"/>
  <c r="C1865" i="1"/>
  <c r="D1865" i="1"/>
  <c r="C1866" i="1"/>
  <c r="D1866" i="1"/>
  <c r="C1867" i="1"/>
  <c r="D1867" i="1"/>
  <c r="C1868" i="1"/>
  <c r="D1868" i="1"/>
  <c r="C1869" i="1"/>
  <c r="D1869" i="1"/>
  <c r="C1870" i="1"/>
  <c r="D1870" i="1"/>
  <c r="C1871" i="1"/>
  <c r="D1871" i="1"/>
  <c r="C1872" i="1"/>
  <c r="D1872" i="1"/>
  <c r="C1873" i="1"/>
  <c r="D1873" i="1"/>
  <c r="C1874" i="1"/>
  <c r="D1874" i="1"/>
  <c r="C1875" i="1"/>
  <c r="D1875" i="1"/>
  <c r="C1876" i="1"/>
  <c r="D1876" i="1"/>
  <c r="C1877" i="1"/>
  <c r="D1877" i="1"/>
  <c r="C1878" i="1"/>
  <c r="D1878" i="1"/>
  <c r="C1879" i="1"/>
  <c r="D1879" i="1"/>
  <c r="C1880" i="1"/>
  <c r="D1880" i="1"/>
  <c r="C1881" i="1"/>
  <c r="D1881" i="1"/>
  <c r="C1882" i="1"/>
  <c r="D1882" i="1"/>
  <c r="C1883" i="1"/>
  <c r="D1883" i="1"/>
  <c r="C1884" i="1"/>
  <c r="D1884" i="1"/>
  <c r="C1885" i="1"/>
  <c r="D1885" i="1"/>
  <c r="C1886" i="1"/>
  <c r="D1886" i="1"/>
  <c r="C1887" i="1"/>
  <c r="D1887" i="1"/>
  <c r="C1888" i="1"/>
  <c r="D1888" i="1"/>
  <c r="C1889" i="1"/>
  <c r="D1889" i="1"/>
  <c r="C1890" i="1"/>
  <c r="D1890" i="1"/>
  <c r="C1891" i="1"/>
  <c r="D1891" i="1"/>
  <c r="C1892" i="1"/>
  <c r="D1892" i="1"/>
  <c r="C1893" i="1"/>
  <c r="D1893" i="1"/>
  <c r="C1894" i="1"/>
  <c r="D1894" i="1"/>
  <c r="C1895" i="1"/>
  <c r="D1895" i="1"/>
  <c r="C1896" i="1"/>
  <c r="D1896" i="1"/>
  <c r="C1897" i="1"/>
  <c r="D1897" i="1"/>
  <c r="C1898" i="1"/>
  <c r="D1898" i="1"/>
  <c r="C1899" i="1"/>
  <c r="D1899" i="1"/>
  <c r="C1900" i="1"/>
  <c r="D1900" i="1"/>
  <c r="C1901" i="1"/>
  <c r="D1901" i="1"/>
  <c r="C1902" i="1"/>
  <c r="D1902" i="1"/>
  <c r="C1903" i="1"/>
  <c r="D1903" i="1"/>
  <c r="C1904" i="1"/>
  <c r="D1904" i="1"/>
  <c r="C1905" i="1"/>
  <c r="D1905" i="1"/>
  <c r="C1906" i="1"/>
  <c r="D1906" i="1"/>
  <c r="C1907" i="1"/>
  <c r="D1907" i="1"/>
  <c r="C1908" i="1"/>
  <c r="D1908" i="1"/>
  <c r="C1909" i="1"/>
  <c r="D1909" i="1"/>
  <c r="C1910" i="1"/>
  <c r="D1910" i="1"/>
  <c r="C1911" i="1"/>
  <c r="D1911" i="1"/>
  <c r="C1912" i="1"/>
  <c r="D1912" i="1"/>
  <c r="C1913" i="1"/>
  <c r="D1913" i="1"/>
  <c r="C1914" i="1"/>
  <c r="D1914" i="1"/>
  <c r="C1915" i="1"/>
  <c r="D1915" i="1"/>
  <c r="C1916" i="1"/>
  <c r="D1916" i="1"/>
  <c r="C1917" i="1"/>
  <c r="D1917" i="1"/>
  <c r="C1918" i="1"/>
  <c r="D1918" i="1"/>
  <c r="C1919" i="1"/>
  <c r="D1919" i="1"/>
  <c r="C1920" i="1"/>
  <c r="D1920" i="1"/>
  <c r="C1921" i="1"/>
  <c r="D1921" i="1"/>
  <c r="C1922" i="1"/>
  <c r="D1922" i="1"/>
  <c r="C1923" i="1"/>
  <c r="D1923" i="1"/>
  <c r="C1924" i="1"/>
  <c r="D1924" i="1"/>
  <c r="C1925" i="1"/>
  <c r="D1925" i="1"/>
  <c r="C1926" i="1"/>
  <c r="D1926" i="1"/>
  <c r="C1927" i="1"/>
  <c r="D1927" i="1"/>
  <c r="C1928" i="1"/>
  <c r="D1928" i="1"/>
  <c r="C1929" i="1"/>
  <c r="D1929" i="1"/>
  <c r="C1930" i="1"/>
  <c r="D1930" i="1"/>
  <c r="C1931" i="1"/>
  <c r="D1931" i="1"/>
  <c r="C1932" i="1"/>
  <c r="D1932" i="1"/>
  <c r="C1933" i="1"/>
  <c r="D1933" i="1"/>
  <c r="C1934" i="1"/>
  <c r="D1934" i="1"/>
  <c r="C1935" i="1"/>
  <c r="D1935" i="1"/>
  <c r="C1936" i="1"/>
  <c r="D1936" i="1"/>
  <c r="C1937" i="1"/>
  <c r="D1937" i="1"/>
  <c r="C1938" i="1"/>
  <c r="D1938" i="1"/>
  <c r="C1939" i="1"/>
  <c r="D1939" i="1"/>
  <c r="C1940" i="1"/>
  <c r="D1940" i="1"/>
  <c r="C1941" i="1"/>
  <c r="D1941" i="1"/>
  <c r="C1942" i="1"/>
  <c r="D1942" i="1"/>
  <c r="C1943" i="1"/>
  <c r="D1943" i="1"/>
  <c r="C1944" i="1"/>
  <c r="D1944" i="1"/>
  <c r="C1945" i="1"/>
  <c r="D1945" i="1"/>
  <c r="C1946" i="1"/>
  <c r="D1946" i="1"/>
  <c r="C1947" i="1"/>
  <c r="D1947" i="1"/>
  <c r="C1948" i="1"/>
  <c r="D1948" i="1"/>
  <c r="C1949" i="1"/>
  <c r="D1949" i="1"/>
  <c r="C1950" i="1"/>
  <c r="D1950" i="1"/>
  <c r="C1951" i="1"/>
  <c r="D1951" i="1"/>
  <c r="C1952" i="1"/>
  <c r="D1952" i="1"/>
  <c r="C1953" i="1"/>
  <c r="D1953" i="1"/>
  <c r="C1954" i="1"/>
  <c r="D1954" i="1"/>
  <c r="C1955" i="1"/>
  <c r="D1955" i="1"/>
  <c r="C1956" i="1"/>
  <c r="D1956" i="1"/>
  <c r="C1957" i="1"/>
  <c r="D1957" i="1"/>
  <c r="C1958" i="1"/>
  <c r="D1958" i="1"/>
  <c r="C1959" i="1"/>
  <c r="D1959" i="1"/>
  <c r="C1960" i="1"/>
  <c r="D1960" i="1"/>
  <c r="C1961" i="1"/>
  <c r="D1961" i="1"/>
  <c r="C1962" i="1"/>
  <c r="D1962" i="1"/>
  <c r="C1963" i="1"/>
  <c r="D1963" i="1"/>
  <c r="C1964" i="1"/>
  <c r="D1964" i="1"/>
  <c r="C1965" i="1"/>
  <c r="D1965" i="1"/>
  <c r="C1966" i="1"/>
  <c r="D1966" i="1"/>
  <c r="C1967" i="1"/>
  <c r="D1967" i="1"/>
  <c r="C1968" i="1"/>
  <c r="D1968" i="1"/>
  <c r="C1969" i="1"/>
  <c r="D1969" i="1"/>
  <c r="C1970" i="1"/>
  <c r="D1970" i="1"/>
  <c r="C1971" i="1"/>
  <c r="D1971" i="1"/>
  <c r="C1972" i="1"/>
  <c r="D1972" i="1"/>
  <c r="C1973" i="1"/>
  <c r="D1973" i="1"/>
  <c r="C1974" i="1"/>
  <c r="D1974" i="1"/>
  <c r="C1975" i="1"/>
  <c r="D1975" i="1"/>
  <c r="C1976" i="1"/>
  <c r="D1976" i="1"/>
  <c r="C1977" i="1"/>
  <c r="D1977" i="1"/>
  <c r="C1978" i="1"/>
  <c r="D1978" i="1"/>
  <c r="C1979" i="1"/>
  <c r="D1979" i="1"/>
  <c r="C1980" i="1"/>
  <c r="D1980" i="1"/>
  <c r="C1981" i="1"/>
  <c r="D1981" i="1"/>
  <c r="C1982" i="1"/>
  <c r="D1982" i="1"/>
  <c r="C1983" i="1"/>
  <c r="D1983" i="1"/>
  <c r="C1984" i="1"/>
  <c r="D1984" i="1"/>
  <c r="C1985" i="1"/>
  <c r="D1985" i="1"/>
  <c r="C1986" i="1"/>
  <c r="D1986" i="1"/>
  <c r="C1987" i="1"/>
  <c r="D1987" i="1"/>
  <c r="C1988" i="1"/>
  <c r="D1988" i="1"/>
  <c r="C1989" i="1"/>
  <c r="D1989" i="1"/>
  <c r="C1990" i="1"/>
  <c r="D1990" i="1"/>
  <c r="C1991" i="1"/>
  <c r="D1991" i="1"/>
  <c r="C1992" i="1"/>
  <c r="D1992" i="1"/>
  <c r="C1993" i="1"/>
  <c r="D1993" i="1"/>
  <c r="C1994" i="1"/>
  <c r="D1994" i="1"/>
  <c r="C1995" i="1"/>
  <c r="D1995" i="1"/>
  <c r="C1996" i="1"/>
  <c r="D1996" i="1"/>
  <c r="C1997" i="1"/>
  <c r="D1997" i="1"/>
  <c r="C1998" i="1"/>
  <c r="D1998" i="1"/>
  <c r="C1999" i="1"/>
  <c r="D1999" i="1"/>
  <c r="C2000" i="1"/>
  <c r="D2000" i="1"/>
  <c r="C2001" i="1"/>
  <c r="D2001" i="1"/>
  <c r="C2002" i="1"/>
  <c r="D2002" i="1"/>
  <c r="C2003" i="1"/>
  <c r="D2003" i="1"/>
  <c r="C2004" i="1"/>
  <c r="D2004" i="1"/>
  <c r="C2005" i="1"/>
  <c r="D2005" i="1"/>
  <c r="C2006" i="1"/>
  <c r="D2006" i="1"/>
  <c r="C2007" i="1"/>
  <c r="D2007" i="1"/>
  <c r="C2008" i="1"/>
  <c r="D2008" i="1"/>
  <c r="C2009" i="1"/>
  <c r="D2009" i="1"/>
  <c r="C2010" i="1"/>
  <c r="D2010" i="1"/>
  <c r="C2011" i="1"/>
  <c r="D2011" i="1"/>
  <c r="C2012" i="1"/>
  <c r="D2012" i="1"/>
  <c r="C2013" i="1"/>
  <c r="D2013" i="1"/>
  <c r="C2014" i="1"/>
  <c r="D2014" i="1"/>
  <c r="C2015" i="1"/>
  <c r="D2015" i="1"/>
  <c r="C2016" i="1"/>
  <c r="D2016" i="1"/>
  <c r="C2017" i="1"/>
  <c r="D2017" i="1"/>
  <c r="C2018" i="1"/>
  <c r="D2018" i="1"/>
  <c r="C2019" i="1"/>
  <c r="D2019" i="1"/>
  <c r="C2020" i="1"/>
  <c r="D2020" i="1"/>
  <c r="C2021" i="1"/>
  <c r="D2021" i="1"/>
  <c r="C2022" i="1"/>
  <c r="D2022" i="1"/>
  <c r="C2023" i="1"/>
  <c r="D2023" i="1"/>
  <c r="C2024" i="1"/>
  <c r="D2024" i="1"/>
  <c r="C2025" i="1"/>
  <c r="D2025" i="1"/>
  <c r="C2026" i="1"/>
  <c r="D2026" i="1"/>
  <c r="C2027" i="1"/>
  <c r="D2027" i="1"/>
  <c r="C2028" i="1"/>
  <c r="D2028" i="1"/>
  <c r="C2029" i="1"/>
  <c r="D2029" i="1"/>
  <c r="C2030" i="1"/>
  <c r="D2030" i="1"/>
  <c r="C2031" i="1"/>
  <c r="D2031" i="1"/>
  <c r="C2032" i="1"/>
  <c r="D2032" i="1"/>
  <c r="C2033" i="1"/>
  <c r="D2033" i="1"/>
  <c r="C2034" i="1"/>
  <c r="D2034" i="1"/>
  <c r="C2035" i="1"/>
  <c r="D2035" i="1"/>
  <c r="C2036" i="1"/>
  <c r="D2036" i="1"/>
  <c r="C2037" i="1"/>
  <c r="D2037" i="1"/>
  <c r="C2038" i="1"/>
  <c r="D2038" i="1"/>
  <c r="C2039" i="1"/>
  <c r="D2039" i="1"/>
  <c r="C2040" i="1"/>
  <c r="D2040" i="1"/>
  <c r="C2041" i="1"/>
  <c r="D2041" i="1"/>
  <c r="C2042" i="1"/>
  <c r="D2042" i="1"/>
  <c r="C2043" i="1"/>
  <c r="D2043" i="1"/>
  <c r="C2044" i="1"/>
  <c r="D2044" i="1"/>
  <c r="C2045" i="1"/>
  <c r="D2045" i="1"/>
  <c r="C2046" i="1"/>
  <c r="D2046" i="1"/>
  <c r="C2047" i="1"/>
  <c r="D2047" i="1"/>
  <c r="C2048" i="1"/>
  <c r="D2048" i="1"/>
  <c r="C2049" i="1"/>
  <c r="D2049" i="1"/>
  <c r="C2050" i="1"/>
  <c r="D2050" i="1"/>
  <c r="C2051" i="1"/>
  <c r="D2051" i="1"/>
  <c r="C2052" i="1"/>
  <c r="D2052" i="1"/>
  <c r="C2053" i="1"/>
  <c r="D2053" i="1"/>
  <c r="C2054" i="1"/>
  <c r="D2054" i="1"/>
  <c r="C2055" i="1"/>
  <c r="D2055" i="1"/>
  <c r="C2056" i="1"/>
  <c r="D2056" i="1"/>
  <c r="C2057" i="1"/>
  <c r="D2057" i="1"/>
  <c r="C2058" i="1"/>
  <c r="D2058" i="1"/>
  <c r="C2059" i="1"/>
  <c r="D2059" i="1"/>
  <c r="C2060" i="1"/>
  <c r="D2060" i="1"/>
  <c r="C2061" i="1"/>
  <c r="D2061" i="1"/>
  <c r="C2062" i="1"/>
  <c r="D2062" i="1"/>
  <c r="C2063" i="1"/>
  <c r="D2063" i="1"/>
  <c r="C2064" i="1"/>
  <c r="D2064" i="1"/>
  <c r="C2065" i="1"/>
  <c r="D2065" i="1"/>
  <c r="C2066" i="1"/>
  <c r="D2066" i="1"/>
  <c r="C2067" i="1"/>
  <c r="D2067" i="1"/>
  <c r="C2068" i="1"/>
  <c r="D2068" i="1"/>
  <c r="C2069" i="1"/>
  <c r="D2069" i="1"/>
  <c r="C2070" i="1"/>
  <c r="D2070" i="1"/>
  <c r="C2071" i="1"/>
  <c r="D2071" i="1"/>
  <c r="C2072" i="1"/>
  <c r="D2072" i="1"/>
  <c r="C2073" i="1"/>
  <c r="D2073" i="1"/>
  <c r="C2074" i="1"/>
  <c r="D2074" i="1"/>
  <c r="C2075" i="1"/>
  <c r="D2075" i="1"/>
  <c r="C2076" i="1"/>
  <c r="D2076" i="1"/>
  <c r="C2077" i="1"/>
  <c r="D2077" i="1"/>
  <c r="C2078" i="1"/>
  <c r="D2078" i="1"/>
  <c r="C2079" i="1"/>
  <c r="D2079" i="1"/>
  <c r="C2080" i="1"/>
  <c r="D2080" i="1"/>
  <c r="C2081" i="1"/>
  <c r="D2081" i="1"/>
  <c r="C2082" i="1"/>
  <c r="D2082" i="1"/>
  <c r="C2083" i="1"/>
  <c r="D2083" i="1"/>
  <c r="C2084" i="1"/>
  <c r="D2084" i="1"/>
  <c r="C2085" i="1"/>
  <c r="D2085" i="1"/>
  <c r="C2086" i="1"/>
  <c r="D2086" i="1"/>
  <c r="C2087" i="1"/>
  <c r="D2087" i="1"/>
  <c r="C2088" i="1"/>
  <c r="D2088" i="1"/>
  <c r="C2089" i="1"/>
  <c r="D2089" i="1"/>
  <c r="C2090" i="1"/>
  <c r="D2090" i="1"/>
  <c r="C2091" i="1"/>
  <c r="D2091" i="1"/>
  <c r="C2092" i="1"/>
  <c r="D2092" i="1"/>
  <c r="C2093" i="1"/>
  <c r="D2093" i="1"/>
  <c r="C2094" i="1"/>
  <c r="D2094" i="1"/>
  <c r="C2095" i="1"/>
  <c r="D2095" i="1"/>
  <c r="C2096" i="1"/>
  <c r="D2096" i="1"/>
  <c r="C2097" i="1"/>
  <c r="D2097" i="1"/>
  <c r="C2098" i="1"/>
  <c r="D2098" i="1"/>
  <c r="C2099" i="1"/>
  <c r="D2099" i="1"/>
  <c r="C2100" i="1"/>
  <c r="D2100" i="1"/>
  <c r="C2101" i="1"/>
  <c r="D2101" i="1"/>
  <c r="C2102" i="1"/>
  <c r="D2102" i="1"/>
  <c r="C2103" i="1"/>
  <c r="D2103" i="1"/>
  <c r="C2104" i="1"/>
  <c r="D2104" i="1"/>
  <c r="C2105" i="1"/>
  <c r="D2105" i="1"/>
  <c r="C2106" i="1"/>
  <c r="D2106" i="1"/>
  <c r="C2107" i="1"/>
  <c r="D2107" i="1"/>
  <c r="C2108" i="1"/>
  <c r="D2108" i="1"/>
  <c r="C2109" i="1"/>
  <c r="D2109" i="1"/>
  <c r="C2110" i="1"/>
  <c r="D2110" i="1"/>
  <c r="C2111" i="1"/>
  <c r="D2111" i="1"/>
  <c r="C2112" i="1"/>
  <c r="D2112" i="1"/>
  <c r="C2113" i="1"/>
  <c r="D2113" i="1"/>
  <c r="C2114" i="1"/>
  <c r="D2114" i="1"/>
  <c r="C2115" i="1"/>
  <c r="D2115" i="1"/>
  <c r="C2116" i="1"/>
  <c r="D2116" i="1"/>
  <c r="C2117" i="1"/>
  <c r="D2117" i="1"/>
  <c r="C2118" i="1"/>
  <c r="D2118" i="1"/>
  <c r="C2119" i="1"/>
  <c r="D2119" i="1"/>
  <c r="C2120" i="1"/>
  <c r="D2120" i="1"/>
  <c r="C2121" i="1"/>
  <c r="D2121" i="1"/>
  <c r="C2122" i="1"/>
  <c r="D2122" i="1"/>
  <c r="C2123" i="1"/>
  <c r="D2123" i="1"/>
  <c r="C2124" i="1"/>
  <c r="D2124" i="1"/>
  <c r="C2125" i="1"/>
  <c r="D2125" i="1"/>
  <c r="C2126" i="1"/>
  <c r="D2126" i="1"/>
  <c r="C2127" i="1"/>
  <c r="D2127" i="1"/>
  <c r="C2128" i="1"/>
  <c r="D2128" i="1"/>
  <c r="C2129" i="1"/>
  <c r="D2129" i="1"/>
  <c r="C2130" i="1"/>
  <c r="D2130" i="1"/>
  <c r="C2131" i="1"/>
  <c r="D2131" i="1"/>
  <c r="C2132" i="1"/>
  <c r="D2132" i="1"/>
  <c r="C2133" i="1"/>
  <c r="D2133" i="1"/>
  <c r="C2134" i="1"/>
  <c r="D2134" i="1"/>
  <c r="C2135" i="1"/>
  <c r="D2135" i="1"/>
  <c r="C2136" i="1"/>
  <c r="D2136" i="1"/>
  <c r="C2137" i="1"/>
  <c r="D2137" i="1"/>
  <c r="C2138" i="1"/>
  <c r="D2138" i="1"/>
  <c r="C2139" i="1"/>
  <c r="D2139" i="1"/>
  <c r="C2140" i="1"/>
  <c r="D2140" i="1"/>
  <c r="C2141" i="1"/>
  <c r="D2141" i="1"/>
  <c r="C2142" i="1"/>
  <c r="D2142" i="1"/>
  <c r="C2143" i="1"/>
  <c r="D2143" i="1"/>
  <c r="C2144" i="1"/>
  <c r="D2144" i="1"/>
  <c r="C2145" i="1"/>
  <c r="D2145" i="1"/>
  <c r="C2146" i="1"/>
  <c r="D2146" i="1"/>
  <c r="C2147" i="1"/>
  <c r="D2147" i="1"/>
  <c r="C2148" i="1"/>
  <c r="D2148" i="1"/>
  <c r="C2149" i="1"/>
  <c r="D2149" i="1"/>
  <c r="C2150" i="1"/>
  <c r="D2150" i="1"/>
  <c r="C2151" i="1"/>
  <c r="D2151" i="1"/>
  <c r="C2152" i="1"/>
  <c r="D2152" i="1"/>
  <c r="C2153" i="1"/>
  <c r="D2153" i="1"/>
  <c r="C2154" i="1"/>
  <c r="D2154" i="1"/>
  <c r="C2155" i="1"/>
  <c r="D2155" i="1"/>
  <c r="C2156" i="1"/>
  <c r="D2156" i="1"/>
  <c r="C2157" i="1"/>
  <c r="D2157" i="1"/>
  <c r="C2158" i="1"/>
  <c r="D2158" i="1"/>
  <c r="C2159" i="1"/>
  <c r="D2159" i="1"/>
  <c r="C2160" i="1"/>
  <c r="D2160" i="1"/>
  <c r="C2161" i="1"/>
  <c r="D2161" i="1"/>
  <c r="C2162" i="1"/>
  <c r="D2162" i="1"/>
  <c r="C2163" i="1"/>
  <c r="D2163" i="1"/>
  <c r="C2164" i="1"/>
  <c r="D2164" i="1"/>
  <c r="C2165" i="1"/>
  <c r="D2165" i="1"/>
  <c r="C2166" i="1"/>
  <c r="D2166" i="1"/>
  <c r="C2167" i="1"/>
  <c r="D2167" i="1"/>
  <c r="C2168" i="1"/>
  <c r="D2168" i="1"/>
  <c r="C2169" i="1"/>
  <c r="D2169" i="1"/>
  <c r="C2170" i="1"/>
  <c r="D2170" i="1"/>
  <c r="C2171" i="1"/>
  <c r="D2171" i="1"/>
  <c r="C2172" i="1"/>
  <c r="D2172" i="1"/>
  <c r="C2173" i="1"/>
  <c r="D2173" i="1"/>
  <c r="C2174" i="1"/>
  <c r="D2174" i="1"/>
  <c r="C2175" i="1"/>
  <c r="D2175" i="1"/>
  <c r="C2176" i="1"/>
  <c r="D2176" i="1"/>
  <c r="C2177" i="1"/>
  <c r="D2177" i="1"/>
  <c r="C2178" i="1"/>
  <c r="D2178" i="1"/>
  <c r="C2179" i="1"/>
  <c r="D2179" i="1"/>
  <c r="C2180" i="1"/>
  <c r="D2180" i="1"/>
  <c r="C2181" i="1"/>
  <c r="D2181" i="1"/>
  <c r="C2182" i="1"/>
  <c r="D2182" i="1"/>
  <c r="C2183" i="1"/>
  <c r="D2183" i="1"/>
  <c r="C2184" i="1"/>
  <c r="D2184" i="1"/>
  <c r="C2185" i="1"/>
  <c r="D2185" i="1"/>
  <c r="C2186" i="1"/>
  <c r="D2186" i="1"/>
  <c r="C2187" i="1"/>
  <c r="D2187" i="1"/>
  <c r="C2188" i="1"/>
  <c r="D2188" i="1"/>
  <c r="C2189" i="1"/>
  <c r="D2189" i="1"/>
  <c r="C2190" i="1"/>
  <c r="D2190" i="1"/>
  <c r="C2191" i="1"/>
  <c r="D2191" i="1"/>
  <c r="C2192" i="1"/>
  <c r="D2192" i="1"/>
  <c r="C2193" i="1"/>
  <c r="D2193" i="1"/>
  <c r="C2194" i="1"/>
  <c r="D2194" i="1"/>
  <c r="C2195" i="1"/>
  <c r="D2195" i="1"/>
  <c r="C2196" i="1"/>
  <c r="D2196" i="1"/>
  <c r="C2197" i="1"/>
  <c r="D2197" i="1"/>
  <c r="C2198" i="1"/>
  <c r="D2198" i="1"/>
  <c r="C2199" i="1"/>
  <c r="D2199" i="1"/>
  <c r="C2200" i="1"/>
  <c r="D2200" i="1"/>
  <c r="C2201" i="1"/>
  <c r="D2201" i="1"/>
  <c r="C2202" i="1"/>
  <c r="D2202" i="1"/>
  <c r="C2203" i="1"/>
  <c r="D2203" i="1"/>
  <c r="C2204" i="1"/>
  <c r="D2204" i="1"/>
  <c r="C2205" i="1"/>
  <c r="D2205" i="1"/>
  <c r="C2206" i="1"/>
  <c r="D2206" i="1"/>
  <c r="C2207" i="1"/>
  <c r="D2207" i="1"/>
  <c r="C2208" i="1"/>
  <c r="D2208" i="1"/>
  <c r="C2209" i="1"/>
  <c r="D2209" i="1"/>
  <c r="C2210" i="1"/>
  <c r="D2210" i="1"/>
  <c r="C2211" i="1"/>
  <c r="D2211" i="1"/>
  <c r="C2212" i="1"/>
  <c r="D2212" i="1"/>
  <c r="C2213" i="1"/>
  <c r="D2213" i="1"/>
  <c r="C2214" i="1"/>
  <c r="D2214" i="1"/>
  <c r="C2215" i="1"/>
  <c r="D2215" i="1"/>
  <c r="C2216" i="1"/>
  <c r="D2216" i="1"/>
  <c r="C2217" i="1"/>
  <c r="D2217" i="1"/>
  <c r="C2218" i="1"/>
  <c r="D2218" i="1"/>
  <c r="C2219" i="1"/>
  <c r="D2219" i="1"/>
  <c r="C2220" i="1"/>
  <c r="D2220" i="1"/>
  <c r="C2221" i="1"/>
  <c r="D2221" i="1"/>
  <c r="C2222" i="1"/>
  <c r="D2222" i="1"/>
  <c r="C2223" i="1"/>
  <c r="D2223" i="1"/>
  <c r="C2224" i="1"/>
  <c r="D2224" i="1"/>
  <c r="C2225" i="1"/>
  <c r="D2225" i="1"/>
  <c r="C2226" i="1"/>
  <c r="D2226" i="1"/>
  <c r="C2227" i="1"/>
  <c r="D2227" i="1"/>
  <c r="C2228" i="1"/>
  <c r="D2228" i="1"/>
  <c r="C2229" i="1"/>
  <c r="D2229" i="1"/>
  <c r="C2230" i="1"/>
  <c r="D2230" i="1"/>
  <c r="C2231" i="1"/>
  <c r="D2231" i="1"/>
  <c r="C2232" i="1"/>
  <c r="D2232" i="1"/>
  <c r="C2233" i="1"/>
  <c r="D2233" i="1"/>
  <c r="C2234" i="1"/>
  <c r="D2234" i="1"/>
  <c r="C2235" i="1"/>
  <c r="D2235" i="1"/>
  <c r="C2236" i="1"/>
  <c r="D2236" i="1"/>
  <c r="C2237" i="1"/>
  <c r="D2237" i="1"/>
  <c r="C2238" i="1"/>
  <c r="D2238" i="1"/>
  <c r="C2239" i="1"/>
  <c r="D2239" i="1"/>
  <c r="C2240" i="1"/>
  <c r="D2240" i="1"/>
  <c r="C2241" i="1"/>
  <c r="D2241" i="1"/>
  <c r="C2242" i="1"/>
  <c r="D2242" i="1"/>
  <c r="C2243" i="1"/>
  <c r="D2243" i="1"/>
  <c r="C2244" i="1"/>
  <c r="D2244" i="1"/>
  <c r="C2245" i="1"/>
  <c r="D2245" i="1"/>
  <c r="C2246" i="1"/>
  <c r="D2246" i="1"/>
  <c r="C2247" i="1"/>
  <c r="D2247" i="1"/>
  <c r="C2248" i="1"/>
  <c r="D2248" i="1"/>
  <c r="C2249" i="1"/>
  <c r="D2249" i="1"/>
  <c r="C2250" i="1"/>
  <c r="D2250" i="1"/>
  <c r="C2251" i="1"/>
  <c r="D2251" i="1"/>
  <c r="C2252" i="1"/>
  <c r="D2252" i="1"/>
  <c r="C2253" i="1"/>
  <c r="D2253" i="1"/>
  <c r="C2254" i="1"/>
  <c r="D2254" i="1"/>
  <c r="C2255" i="1"/>
  <c r="D2255" i="1"/>
  <c r="C2256" i="1"/>
  <c r="D2256" i="1"/>
  <c r="C2257" i="1"/>
  <c r="D2257" i="1"/>
  <c r="C2258" i="1"/>
  <c r="D2258" i="1"/>
  <c r="C2259" i="1"/>
  <c r="D2259" i="1"/>
  <c r="C2260" i="1"/>
  <c r="D2260" i="1"/>
  <c r="C2261" i="1"/>
  <c r="D2261" i="1"/>
  <c r="C2262" i="1"/>
  <c r="D2262" i="1"/>
  <c r="C2263" i="1"/>
  <c r="D2263" i="1"/>
  <c r="C2264" i="1"/>
  <c r="D2264" i="1"/>
  <c r="C2265" i="1"/>
  <c r="D2265" i="1"/>
  <c r="C2266" i="1"/>
  <c r="D2266" i="1"/>
  <c r="C2267" i="1"/>
  <c r="D2267" i="1"/>
  <c r="C2268" i="1"/>
  <c r="D2268" i="1"/>
  <c r="C2269" i="1"/>
  <c r="D2269" i="1"/>
  <c r="C2270" i="1"/>
  <c r="D2270" i="1"/>
  <c r="C2271" i="1"/>
  <c r="D2271" i="1"/>
  <c r="C2272" i="1"/>
  <c r="D2272" i="1"/>
  <c r="C2273" i="1"/>
  <c r="D2273" i="1"/>
  <c r="C2274" i="1"/>
  <c r="D2274" i="1"/>
  <c r="C2275" i="1"/>
  <c r="D2275" i="1"/>
  <c r="C2276" i="1"/>
  <c r="D2276" i="1"/>
  <c r="C2277" i="1"/>
  <c r="D2277" i="1"/>
  <c r="C2278" i="1"/>
  <c r="D2278" i="1"/>
  <c r="C2279" i="1"/>
  <c r="D2279" i="1"/>
  <c r="C2280" i="1"/>
  <c r="D2280" i="1"/>
  <c r="C2281" i="1"/>
  <c r="D2281" i="1"/>
  <c r="C2282" i="1"/>
  <c r="D2282" i="1"/>
  <c r="C2283" i="1"/>
  <c r="D2283" i="1"/>
  <c r="C2284" i="1"/>
  <c r="D2284" i="1"/>
  <c r="C2285" i="1"/>
  <c r="D2285" i="1"/>
  <c r="C2286" i="1"/>
  <c r="D2286" i="1"/>
  <c r="C2287" i="1"/>
  <c r="D2287" i="1"/>
  <c r="C2288" i="1"/>
  <c r="D2288" i="1"/>
  <c r="C2289" i="1"/>
  <c r="D2289" i="1"/>
  <c r="C2290" i="1"/>
  <c r="D2290" i="1"/>
  <c r="C2291" i="1"/>
  <c r="D2291" i="1"/>
  <c r="C2292" i="1"/>
  <c r="D2292" i="1"/>
  <c r="C2293" i="1"/>
  <c r="D2293" i="1"/>
  <c r="C2294" i="1"/>
  <c r="D2294" i="1"/>
  <c r="C2295" i="1"/>
  <c r="D2295" i="1"/>
  <c r="C2296" i="1"/>
  <c r="D2296" i="1"/>
  <c r="C2297" i="1"/>
  <c r="D2297" i="1"/>
  <c r="C2298" i="1"/>
  <c r="D2298" i="1"/>
  <c r="C2299" i="1"/>
  <c r="D2299" i="1"/>
  <c r="C2300" i="1"/>
  <c r="D2300" i="1"/>
  <c r="C2301" i="1"/>
  <c r="D2301" i="1"/>
  <c r="C2302" i="1"/>
  <c r="D2302" i="1"/>
  <c r="C2303" i="1"/>
  <c r="D2303" i="1"/>
  <c r="C2304" i="1"/>
  <c r="D2304" i="1"/>
  <c r="C2305" i="1"/>
  <c r="D2305" i="1"/>
  <c r="C2306" i="1"/>
  <c r="D2306" i="1"/>
  <c r="C2307" i="1"/>
  <c r="D2307" i="1"/>
  <c r="C2308" i="1"/>
  <c r="D2308" i="1"/>
  <c r="C2309" i="1"/>
  <c r="D2309" i="1"/>
  <c r="C2310" i="1"/>
  <c r="D2310" i="1"/>
  <c r="C2311" i="1"/>
  <c r="D2311" i="1"/>
  <c r="C2312" i="1"/>
  <c r="D2312" i="1"/>
  <c r="C2313" i="1"/>
  <c r="D2313" i="1"/>
  <c r="C2314" i="1"/>
  <c r="D2314" i="1"/>
  <c r="C2315" i="1"/>
  <c r="D2315" i="1"/>
  <c r="C2316" i="1"/>
  <c r="D2316" i="1"/>
  <c r="C2317" i="1"/>
  <c r="D2317" i="1"/>
  <c r="C2318" i="1"/>
  <c r="D2318" i="1"/>
  <c r="C2319" i="1"/>
  <c r="D2319" i="1"/>
  <c r="C2320" i="1"/>
  <c r="D2320" i="1"/>
  <c r="C2321" i="1"/>
  <c r="D2321" i="1"/>
  <c r="C2322" i="1"/>
  <c r="D2322" i="1"/>
  <c r="C2323" i="1"/>
  <c r="D2323" i="1"/>
  <c r="C2324" i="1"/>
  <c r="D2324" i="1"/>
  <c r="C2325" i="1"/>
  <c r="D2325" i="1"/>
  <c r="C2326" i="1"/>
  <c r="D2326" i="1"/>
  <c r="C2327" i="1"/>
  <c r="D2327" i="1"/>
  <c r="C2328" i="1"/>
  <c r="D2328" i="1"/>
  <c r="C2329" i="1"/>
  <c r="D2329" i="1"/>
  <c r="C2330" i="1"/>
  <c r="D2330" i="1"/>
  <c r="C2331" i="1"/>
  <c r="D2331" i="1"/>
  <c r="C2332" i="1"/>
  <c r="D2332" i="1"/>
  <c r="C2333" i="1"/>
  <c r="D2333" i="1"/>
  <c r="C2334" i="1"/>
  <c r="D2334" i="1"/>
  <c r="C2335" i="1"/>
  <c r="D2335" i="1"/>
  <c r="C2336" i="1"/>
  <c r="D2336" i="1"/>
  <c r="C2337" i="1"/>
  <c r="D2337" i="1"/>
  <c r="C2338" i="1"/>
  <c r="D2338" i="1"/>
  <c r="C2339" i="1"/>
  <c r="D2339" i="1"/>
  <c r="C2340" i="1"/>
  <c r="D2340" i="1"/>
  <c r="C2341" i="1"/>
  <c r="D2341" i="1"/>
  <c r="C2342" i="1"/>
  <c r="D2342" i="1"/>
  <c r="C2343" i="1"/>
  <c r="D2343" i="1"/>
  <c r="C2344" i="1"/>
  <c r="D2344" i="1"/>
  <c r="C2345" i="1"/>
  <c r="D2345" i="1"/>
  <c r="C2346" i="1"/>
  <c r="D2346" i="1"/>
  <c r="C2347" i="1"/>
  <c r="D2347" i="1"/>
  <c r="C2348" i="1"/>
  <c r="D2348" i="1"/>
  <c r="C2349" i="1"/>
  <c r="D2349" i="1"/>
  <c r="C2350" i="1"/>
  <c r="D2350" i="1"/>
  <c r="C2351" i="1"/>
  <c r="D2351" i="1"/>
  <c r="C2352" i="1"/>
  <c r="D2352" i="1"/>
  <c r="C2353" i="1"/>
  <c r="D2353" i="1"/>
  <c r="C2354" i="1"/>
  <c r="D2354" i="1"/>
  <c r="C2355" i="1"/>
  <c r="D2355" i="1"/>
  <c r="C2356" i="1"/>
  <c r="D2356" i="1"/>
  <c r="C2357" i="1"/>
  <c r="D2357" i="1"/>
  <c r="C2358" i="1"/>
  <c r="D2358" i="1"/>
  <c r="C2359" i="1"/>
  <c r="D2359" i="1"/>
  <c r="C2360" i="1"/>
  <c r="D2360" i="1"/>
  <c r="C2361" i="1"/>
  <c r="D2361" i="1"/>
  <c r="C2362" i="1"/>
  <c r="D2362" i="1"/>
  <c r="C2363" i="1"/>
  <c r="D2363" i="1"/>
  <c r="C2364" i="1"/>
  <c r="D2364" i="1"/>
  <c r="C2365" i="1"/>
  <c r="D2365" i="1"/>
  <c r="C2366" i="1"/>
  <c r="D2366" i="1"/>
  <c r="C2367" i="1"/>
  <c r="D2367" i="1"/>
  <c r="C2368" i="1"/>
  <c r="D2368" i="1"/>
  <c r="C2369" i="1"/>
  <c r="D2369" i="1"/>
  <c r="C2370" i="1"/>
  <c r="D2370" i="1"/>
  <c r="C2371" i="1"/>
  <c r="D2371" i="1"/>
  <c r="C2372" i="1"/>
  <c r="D2372" i="1"/>
  <c r="C2373" i="1"/>
  <c r="D2373" i="1"/>
  <c r="C2374" i="1"/>
  <c r="D2374" i="1"/>
  <c r="C2375" i="1"/>
  <c r="D2375" i="1"/>
  <c r="C2376" i="1"/>
  <c r="D2376" i="1"/>
  <c r="C2377" i="1"/>
  <c r="D2377" i="1"/>
  <c r="C2378" i="1"/>
  <c r="D2378" i="1"/>
  <c r="C2379" i="1"/>
  <c r="D2379" i="1"/>
  <c r="C2380" i="1"/>
  <c r="D2380" i="1"/>
  <c r="C2381" i="1"/>
  <c r="D2381" i="1"/>
  <c r="C2382" i="1"/>
  <c r="D2382" i="1"/>
  <c r="C2383" i="1"/>
  <c r="D2383" i="1"/>
  <c r="C2384" i="1"/>
  <c r="D2384" i="1"/>
  <c r="C2385" i="1"/>
  <c r="D2385" i="1"/>
  <c r="C2386" i="1"/>
  <c r="D2386" i="1"/>
  <c r="C2387" i="1"/>
  <c r="D2387" i="1"/>
  <c r="C2388" i="1"/>
  <c r="D2388" i="1"/>
  <c r="C2389" i="1"/>
  <c r="D2389" i="1"/>
  <c r="C2390" i="1"/>
  <c r="D2390" i="1"/>
  <c r="C2391" i="1"/>
  <c r="D2391" i="1"/>
  <c r="C2392" i="1"/>
  <c r="D2392" i="1"/>
  <c r="C2393" i="1"/>
  <c r="D2393" i="1"/>
  <c r="C2394" i="1"/>
  <c r="D2394" i="1"/>
  <c r="C2395" i="1"/>
  <c r="D2395" i="1"/>
  <c r="C2396" i="1"/>
  <c r="D2396" i="1"/>
  <c r="C2397" i="1"/>
  <c r="D2397" i="1"/>
  <c r="C2398" i="1"/>
  <c r="D2398" i="1"/>
  <c r="C2399" i="1"/>
  <c r="D2399" i="1"/>
  <c r="C2400" i="1"/>
  <c r="D2400" i="1"/>
  <c r="C2401" i="1"/>
  <c r="D2401" i="1"/>
  <c r="C2402" i="1"/>
  <c r="D2402" i="1"/>
  <c r="C2403" i="1"/>
  <c r="D2403" i="1"/>
  <c r="C2404" i="1"/>
  <c r="D2404" i="1"/>
  <c r="C2405" i="1"/>
  <c r="D2405" i="1"/>
  <c r="C2406" i="1"/>
  <c r="D2406" i="1"/>
  <c r="C2407" i="1"/>
  <c r="D2407" i="1"/>
  <c r="C2408" i="1"/>
  <c r="D2408" i="1"/>
  <c r="C2409" i="1"/>
  <c r="D2409" i="1"/>
  <c r="C2410" i="1"/>
  <c r="D2410" i="1"/>
  <c r="C2411" i="1"/>
  <c r="D2411" i="1"/>
  <c r="C2412" i="1"/>
  <c r="D2412" i="1"/>
  <c r="C2413" i="1"/>
  <c r="D2413" i="1"/>
  <c r="C2414" i="1"/>
  <c r="D2414" i="1"/>
  <c r="C2415" i="1"/>
  <c r="D2415" i="1"/>
  <c r="C2416" i="1"/>
  <c r="D2416" i="1"/>
  <c r="C2417" i="1"/>
  <c r="D2417" i="1"/>
  <c r="C2418" i="1"/>
  <c r="D2418" i="1"/>
  <c r="C2419" i="1"/>
  <c r="D2419" i="1"/>
  <c r="C2420" i="1"/>
  <c r="D2420" i="1"/>
  <c r="C2421" i="1"/>
  <c r="D2421" i="1"/>
  <c r="C2422" i="1"/>
  <c r="D2422" i="1"/>
  <c r="C2423" i="1"/>
  <c r="D2423" i="1"/>
  <c r="C2424" i="1"/>
  <c r="D2424" i="1"/>
  <c r="C2425" i="1"/>
  <c r="D2425" i="1"/>
  <c r="C2426" i="1"/>
  <c r="D2426" i="1"/>
  <c r="C2427" i="1"/>
  <c r="D2427" i="1"/>
  <c r="C2428" i="1"/>
  <c r="D2428" i="1"/>
  <c r="C2429" i="1"/>
  <c r="D2429" i="1"/>
  <c r="C2430" i="1"/>
  <c r="D2430" i="1"/>
  <c r="C2431" i="1"/>
  <c r="D2431" i="1"/>
  <c r="C2432" i="1"/>
  <c r="D2432" i="1"/>
  <c r="C2433" i="1"/>
  <c r="D2433" i="1"/>
  <c r="C2434" i="1"/>
  <c r="D2434" i="1"/>
  <c r="C2435" i="1"/>
  <c r="D2435" i="1"/>
  <c r="C2436" i="1"/>
  <c r="D2436" i="1"/>
  <c r="C2437" i="1"/>
  <c r="D2437" i="1"/>
  <c r="C2438" i="1"/>
  <c r="D2438" i="1"/>
  <c r="C2439" i="1"/>
  <c r="D2439" i="1"/>
  <c r="C2440" i="1"/>
  <c r="D2440" i="1"/>
  <c r="C2441" i="1"/>
  <c r="D2441" i="1"/>
  <c r="C2442" i="1"/>
  <c r="D2442" i="1"/>
  <c r="C2443" i="1"/>
  <c r="D2443" i="1"/>
  <c r="C2444" i="1"/>
  <c r="D2444" i="1"/>
  <c r="C2445" i="1"/>
  <c r="D2445" i="1"/>
  <c r="C2446" i="1"/>
  <c r="D2446" i="1"/>
  <c r="C2447" i="1"/>
  <c r="D2447" i="1"/>
  <c r="C2448" i="1"/>
  <c r="D2448" i="1"/>
  <c r="C2449" i="1"/>
  <c r="D2449" i="1"/>
  <c r="C2450" i="1"/>
  <c r="D2450" i="1"/>
  <c r="C2451" i="1"/>
  <c r="D2451" i="1"/>
  <c r="C2452" i="1"/>
  <c r="D2452" i="1"/>
  <c r="C2453" i="1"/>
  <c r="D2453" i="1"/>
  <c r="C2454" i="1"/>
  <c r="D2454" i="1"/>
  <c r="C2455" i="1"/>
  <c r="D2455" i="1"/>
  <c r="C2456" i="1"/>
  <c r="D2456" i="1"/>
  <c r="C2457" i="1"/>
  <c r="D2457" i="1"/>
  <c r="C2458" i="1"/>
  <c r="D2458" i="1"/>
  <c r="C2459" i="1"/>
  <c r="D2459" i="1"/>
  <c r="C2460" i="1"/>
  <c r="D2460" i="1"/>
  <c r="C2461" i="1"/>
  <c r="D2461" i="1"/>
  <c r="C2462" i="1"/>
  <c r="D2462" i="1"/>
  <c r="C2463" i="1"/>
  <c r="D2463" i="1"/>
  <c r="C2464" i="1"/>
  <c r="D2464" i="1"/>
  <c r="C2465" i="1"/>
  <c r="D2465" i="1"/>
  <c r="C2466" i="1"/>
  <c r="D2466" i="1"/>
  <c r="C2467" i="1"/>
  <c r="D2467" i="1"/>
  <c r="C2468" i="1"/>
  <c r="D2468" i="1"/>
  <c r="C2469" i="1"/>
  <c r="D2469" i="1"/>
  <c r="C2470" i="1"/>
  <c r="D2470" i="1"/>
  <c r="C2471" i="1"/>
  <c r="D2471" i="1"/>
  <c r="C2472" i="1"/>
  <c r="D2472" i="1"/>
  <c r="C2473" i="1"/>
  <c r="D2473" i="1"/>
  <c r="C2474" i="1"/>
  <c r="D2474" i="1"/>
  <c r="C2475" i="1"/>
  <c r="D2475" i="1"/>
  <c r="C2476" i="1"/>
  <c r="D2476" i="1"/>
  <c r="C2477" i="1"/>
  <c r="D2477" i="1"/>
  <c r="C2478" i="1"/>
  <c r="D2478" i="1"/>
  <c r="C2479" i="1"/>
  <c r="D2479" i="1"/>
  <c r="C2480" i="1"/>
  <c r="D2480" i="1"/>
  <c r="C2481" i="1"/>
  <c r="D2481" i="1"/>
  <c r="C2482" i="1"/>
  <c r="D2482" i="1"/>
  <c r="C2483" i="1"/>
  <c r="D2483" i="1"/>
  <c r="C2484" i="1"/>
  <c r="D2484" i="1"/>
  <c r="C2485" i="1"/>
  <c r="D2485" i="1"/>
  <c r="C2486" i="1"/>
  <c r="D2486" i="1"/>
  <c r="C2487" i="1"/>
  <c r="D2487" i="1"/>
  <c r="C2488" i="1"/>
  <c r="D2488" i="1"/>
  <c r="C2489" i="1"/>
  <c r="D2489" i="1"/>
  <c r="C2490" i="1"/>
  <c r="D2490" i="1"/>
  <c r="C2491" i="1"/>
  <c r="D2491" i="1"/>
  <c r="C2492" i="1"/>
  <c r="D2492" i="1"/>
  <c r="C2493" i="1"/>
  <c r="D2493" i="1"/>
  <c r="C2494" i="1"/>
  <c r="D2494" i="1"/>
  <c r="C2495" i="1"/>
  <c r="D2495" i="1"/>
  <c r="C2496" i="1"/>
  <c r="D2496" i="1"/>
  <c r="C2497" i="1"/>
  <c r="D2497" i="1"/>
  <c r="C2498" i="1"/>
  <c r="D2498" i="1"/>
  <c r="C2499" i="1"/>
  <c r="D2499" i="1"/>
  <c r="C2500" i="1"/>
  <c r="D2500" i="1"/>
  <c r="C2501" i="1"/>
  <c r="D2501" i="1"/>
  <c r="C2502" i="1"/>
  <c r="D2502" i="1"/>
  <c r="C2503" i="1"/>
  <c r="D2503" i="1"/>
  <c r="C2504" i="1"/>
  <c r="D2504" i="1"/>
  <c r="C2505" i="1"/>
  <c r="D2505" i="1"/>
  <c r="C2506" i="1"/>
  <c r="D2506" i="1"/>
  <c r="C2507" i="1"/>
  <c r="D2507" i="1"/>
  <c r="C2508" i="1"/>
  <c r="D2508" i="1"/>
  <c r="C2509" i="1"/>
  <c r="D2509" i="1"/>
  <c r="C2510" i="1"/>
  <c r="D2510" i="1"/>
  <c r="C2511" i="1"/>
  <c r="D2511" i="1"/>
  <c r="C2512" i="1"/>
  <c r="D2512" i="1"/>
  <c r="C2513" i="1"/>
  <c r="D2513" i="1"/>
  <c r="C2514" i="1"/>
  <c r="D2514" i="1"/>
  <c r="C2515" i="1"/>
  <c r="D2515" i="1"/>
  <c r="C2516" i="1"/>
  <c r="D2516" i="1"/>
  <c r="C2517" i="1"/>
  <c r="D2517" i="1"/>
  <c r="C2518" i="1"/>
  <c r="D2518" i="1"/>
  <c r="C2519" i="1"/>
  <c r="D2519" i="1"/>
  <c r="C2520" i="1"/>
  <c r="D2520" i="1"/>
  <c r="C2521" i="1"/>
  <c r="D2521" i="1"/>
  <c r="C2522" i="1"/>
  <c r="D2522" i="1"/>
  <c r="C2523" i="1"/>
  <c r="D2523" i="1"/>
  <c r="C2524" i="1"/>
  <c r="D2524" i="1"/>
  <c r="C2525" i="1"/>
  <c r="D2525" i="1"/>
  <c r="C2526" i="1"/>
  <c r="D2526" i="1"/>
  <c r="C2527" i="1"/>
  <c r="D2527" i="1"/>
  <c r="C2528" i="1"/>
  <c r="D2528" i="1"/>
  <c r="C2529" i="1"/>
  <c r="D2529" i="1"/>
  <c r="C2530" i="1"/>
  <c r="D2530" i="1"/>
  <c r="C2531" i="1"/>
  <c r="D2531" i="1"/>
  <c r="C2532" i="1"/>
  <c r="D2532" i="1"/>
  <c r="C2533" i="1"/>
  <c r="D2533" i="1"/>
  <c r="C2534" i="1"/>
  <c r="D2534" i="1"/>
  <c r="C2535" i="1"/>
  <c r="D2535" i="1"/>
  <c r="C2536" i="1"/>
  <c r="D2536" i="1"/>
  <c r="C2537" i="1"/>
  <c r="D2537" i="1"/>
  <c r="C2538" i="1"/>
  <c r="D2538" i="1"/>
  <c r="C2539" i="1"/>
  <c r="D2539" i="1"/>
  <c r="C2540" i="1"/>
  <c r="D2540" i="1"/>
  <c r="C2541" i="1"/>
  <c r="D2541" i="1"/>
  <c r="C2542" i="1"/>
  <c r="D2542" i="1"/>
  <c r="C2543" i="1"/>
  <c r="D2543" i="1"/>
  <c r="C2544" i="1"/>
  <c r="D2544" i="1"/>
  <c r="C2545" i="1"/>
  <c r="D2545" i="1"/>
  <c r="C2546" i="1"/>
  <c r="D2546" i="1"/>
  <c r="C2547" i="1"/>
  <c r="D2547" i="1"/>
  <c r="C2548" i="1"/>
  <c r="D2548" i="1"/>
  <c r="C2549" i="1"/>
  <c r="D2549" i="1"/>
  <c r="C2550" i="1"/>
  <c r="D2550" i="1"/>
  <c r="C2551" i="1"/>
  <c r="D2551" i="1"/>
  <c r="C2552" i="1"/>
  <c r="D2552" i="1"/>
  <c r="C2553" i="1"/>
  <c r="D2553" i="1"/>
  <c r="C2554" i="1"/>
  <c r="D2554" i="1"/>
  <c r="C2555" i="1"/>
  <c r="D2555" i="1"/>
  <c r="C2556" i="1"/>
  <c r="D2556" i="1"/>
  <c r="C2557" i="1"/>
  <c r="D2557" i="1"/>
  <c r="C2558" i="1"/>
  <c r="D2558" i="1"/>
  <c r="C2559" i="1"/>
  <c r="D2559" i="1"/>
  <c r="C2560" i="1"/>
  <c r="D2560" i="1"/>
  <c r="C2561" i="1"/>
  <c r="D2561" i="1"/>
  <c r="C2562" i="1"/>
  <c r="D2562" i="1"/>
  <c r="C2563" i="1"/>
  <c r="D2563" i="1"/>
  <c r="C2564" i="1"/>
  <c r="D2564" i="1"/>
  <c r="C2565" i="1"/>
  <c r="D2565" i="1"/>
  <c r="C2566" i="1"/>
  <c r="D2566" i="1"/>
  <c r="C2567" i="1"/>
  <c r="D2567" i="1"/>
  <c r="C2568" i="1"/>
  <c r="D2568" i="1"/>
  <c r="C2569" i="1"/>
  <c r="D2569" i="1"/>
  <c r="C2570" i="1"/>
  <c r="D2570" i="1"/>
  <c r="C2571" i="1"/>
  <c r="D2571" i="1"/>
  <c r="C2572" i="1"/>
  <c r="D2572" i="1"/>
  <c r="C2573" i="1"/>
  <c r="D2573" i="1"/>
  <c r="C2574" i="1"/>
  <c r="D2574" i="1"/>
  <c r="C2575" i="1"/>
  <c r="D2575" i="1"/>
  <c r="C2576" i="1"/>
  <c r="D2576" i="1"/>
  <c r="C2577" i="1"/>
  <c r="D2577" i="1"/>
  <c r="C2578" i="1"/>
  <c r="D2578" i="1"/>
  <c r="C2579" i="1"/>
  <c r="D2579" i="1"/>
  <c r="C2580" i="1"/>
  <c r="D2580" i="1"/>
  <c r="C2581" i="1"/>
  <c r="D2581" i="1"/>
  <c r="C2582" i="1"/>
  <c r="D2582" i="1"/>
  <c r="C2583" i="1"/>
  <c r="D2583" i="1"/>
  <c r="C2584" i="1"/>
  <c r="D2584" i="1"/>
  <c r="C2585" i="1"/>
  <c r="D2585" i="1"/>
  <c r="C2586" i="1"/>
  <c r="D2586" i="1"/>
  <c r="C2587" i="1"/>
  <c r="D2587" i="1"/>
  <c r="C2588" i="1"/>
  <c r="D2588" i="1"/>
  <c r="C2589" i="1"/>
  <c r="D2589" i="1"/>
  <c r="C2590" i="1"/>
  <c r="D2590" i="1"/>
  <c r="C2591" i="1"/>
  <c r="D2591" i="1"/>
  <c r="C2592" i="1"/>
  <c r="D2592" i="1"/>
  <c r="C2593" i="1"/>
  <c r="D2593" i="1"/>
  <c r="C2594" i="1"/>
  <c r="D2594" i="1"/>
  <c r="C2595" i="1"/>
  <c r="D2595" i="1"/>
  <c r="C2596" i="1"/>
  <c r="D2596" i="1"/>
  <c r="C2597" i="1"/>
  <c r="D2597" i="1"/>
  <c r="C2598" i="1"/>
  <c r="D2598" i="1"/>
  <c r="C2599" i="1"/>
  <c r="D2599" i="1"/>
  <c r="C2600" i="1"/>
  <c r="D2600" i="1"/>
  <c r="C2601" i="1"/>
  <c r="D2601" i="1"/>
  <c r="C2602" i="1"/>
  <c r="D2602" i="1"/>
  <c r="C2603" i="1"/>
  <c r="D2603" i="1"/>
  <c r="C2604" i="1"/>
  <c r="D2604" i="1"/>
  <c r="C2605" i="1"/>
  <c r="D2605" i="1"/>
  <c r="C2606" i="1"/>
  <c r="D2606" i="1"/>
  <c r="C2607" i="1"/>
  <c r="D2607" i="1"/>
  <c r="C2608" i="1"/>
  <c r="D2608" i="1"/>
  <c r="C2609" i="1"/>
  <c r="D2609" i="1"/>
  <c r="C2610" i="1"/>
  <c r="D2610" i="1"/>
  <c r="C2611" i="1"/>
  <c r="D2611" i="1"/>
  <c r="C2612" i="1"/>
  <c r="D2612" i="1"/>
  <c r="C2613" i="1"/>
  <c r="D2613" i="1"/>
  <c r="C2614" i="1"/>
  <c r="D2614" i="1"/>
  <c r="C2615" i="1"/>
  <c r="D2615" i="1"/>
  <c r="C2616" i="1"/>
  <c r="D2616" i="1"/>
  <c r="C2617" i="1"/>
  <c r="D2617" i="1"/>
  <c r="C2618" i="1"/>
  <c r="D2618" i="1"/>
  <c r="C2619" i="1"/>
  <c r="D2619" i="1"/>
  <c r="C2620" i="1"/>
  <c r="D2620" i="1"/>
  <c r="C2621" i="1"/>
  <c r="D2621" i="1"/>
  <c r="C2622" i="1"/>
  <c r="D2622" i="1"/>
  <c r="C2623" i="1"/>
  <c r="D2623" i="1"/>
  <c r="C2624" i="1"/>
  <c r="D2624" i="1"/>
  <c r="C2625" i="1"/>
  <c r="D2625" i="1"/>
  <c r="C2626" i="1"/>
  <c r="D2626" i="1"/>
  <c r="C2627" i="1"/>
  <c r="D2627" i="1"/>
  <c r="C2628" i="1"/>
  <c r="D2628" i="1"/>
  <c r="C2629" i="1"/>
  <c r="D2629" i="1"/>
  <c r="C2630" i="1"/>
  <c r="D2630" i="1"/>
  <c r="C2631" i="1"/>
  <c r="D2631" i="1"/>
  <c r="C2632" i="1"/>
  <c r="D2632" i="1"/>
  <c r="C2633" i="1"/>
  <c r="D2633" i="1"/>
  <c r="C2634" i="1"/>
  <c r="D2634" i="1"/>
  <c r="C2635" i="1"/>
  <c r="D2635" i="1"/>
  <c r="C2636" i="1"/>
  <c r="D2636" i="1"/>
  <c r="C2637" i="1"/>
  <c r="D2637" i="1"/>
  <c r="C2638" i="1"/>
  <c r="D2638" i="1"/>
  <c r="C2639" i="1"/>
  <c r="D2639" i="1"/>
  <c r="C2640" i="1"/>
  <c r="D2640" i="1"/>
  <c r="C2641" i="1"/>
  <c r="D2641" i="1"/>
  <c r="C2642" i="1"/>
  <c r="D2642" i="1"/>
  <c r="C2643" i="1"/>
  <c r="D2643" i="1"/>
  <c r="C2644" i="1"/>
  <c r="D2644" i="1"/>
  <c r="C2645" i="1"/>
  <c r="D2645" i="1"/>
  <c r="C2646" i="1"/>
  <c r="D2646" i="1"/>
  <c r="C2647" i="1"/>
  <c r="D2647" i="1"/>
  <c r="C2648" i="1"/>
  <c r="D2648" i="1"/>
  <c r="C2649" i="1"/>
  <c r="D2649" i="1"/>
  <c r="C2650" i="1"/>
  <c r="D2650" i="1"/>
  <c r="C2651" i="1"/>
  <c r="D2651" i="1"/>
  <c r="C2652" i="1"/>
  <c r="D2652" i="1"/>
  <c r="C2653" i="1"/>
  <c r="D2653" i="1"/>
  <c r="C2654" i="1"/>
  <c r="D2654" i="1"/>
  <c r="C2655" i="1"/>
  <c r="D2655" i="1"/>
  <c r="C2656" i="1"/>
  <c r="D2656" i="1"/>
  <c r="C2657" i="1"/>
  <c r="D2657" i="1"/>
  <c r="C2658" i="1"/>
  <c r="D2658" i="1"/>
  <c r="C2659" i="1"/>
  <c r="D2659" i="1"/>
  <c r="C2660" i="1"/>
  <c r="D2660" i="1"/>
  <c r="C2661" i="1"/>
  <c r="D2661" i="1"/>
  <c r="C2662" i="1"/>
  <c r="D2662" i="1"/>
  <c r="C2663" i="1"/>
  <c r="D2663" i="1"/>
  <c r="C2664" i="1"/>
  <c r="D2664" i="1"/>
  <c r="C2665" i="1"/>
  <c r="D2665" i="1"/>
  <c r="C2666" i="1"/>
  <c r="D2666" i="1"/>
  <c r="C2667" i="1"/>
  <c r="D2667" i="1"/>
  <c r="C2668" i="1"/>
  <c r="D2668" i="1"/>
  <c r="C2669" i="1"/>
  <c r="D2669" i="1"/>
  <c r="C2670" i="1"/>
  <c r="D2670" i="1"/>
  <c r="C2671" i="1"/>
  <c r="D2671" i="1"/>
  <c r="C2672" i="1"/>
  <c r="D2672" i="1"/>
  <c r="C2673" i="1"/>
  <c r="D2673" i="1"/>
  <c r="C2674" i="1"/>
  <c r="D2674" i="1"/>
  <c r="C2675" i="1"/>
  <c r="D2675" i="1"/>
  <c r="C2676" i="1"/>
  <c r="D2676" i="1"/>
  <c r="C2677" i="1"/>
  <c r="D2677" i="1"/>
  <c r="C2678" i="1"/>
  <c r="D2678" i="1"/>
  <c r="C2679" i="1"/>
  <c r="D2679" i="1"/>
  <c r="C2680" i="1"/>
  <c r="D2680" i="1"/>
  <c r="C2681" i="1"/>
  <c r="D2681" i="1"/>
  <c r="C2682" i="1"/>
  <c r="D2682" i="1"/>
  <c r="C2683" i="1"/>
  <c r="D2683" i="1"/>
  <c r="C2684" i="1"/>
  <c r="D2684" i="1"/>
  <c r="C2685" i="1"/>
  <c r="D2685" i="1"/>
  <c r="C2686" i="1"/>
  <c r="D2686" i="1"/>
  <c r="C2687" i="1"/>
  <c r="D2687" i="1"/>
  <c r="C2688" i="1"/>
  <c r="D2688" i="1"/>
  <c r="C2689" i="1"/>
  <c r="D2689" i="1"/>
  <c r="C2690" i="1"/>
  <c r="D2690" i="1"/>
  <c r="C2691" i="1"/>
  <c r="D2691" i="1"/>
  <c r="C2692" i="1"/>
  <c r="D2692" i="1"/>
  <c r="C2693" i="1"/>
  <c r="D2693" i="1"/>
  <c r="C2694" i="1"/>
  <c r="D2694" i="1"/>
  <c r="C2695" i="1"/>
  <c r="D2695" i="1"/>
  <c r="C2696" i="1"/>
  <c r="D2696" i="1"/>
  <c r="C2697" i="1"/>
  <c r="D2697" i="1"/>
  <c r="C2698" i="1"/>
  <c r="D2698" i="1"/>
  <c r="C2699" i="1"/>
  <c r="D2699" i="1"/>
  <c r="C2700" i="1"/>
  <c r="D2700" i="1"/>
  <c r="C2701" i="1"/>
  <c r="D2701" i="1"/>
  <c r="C2702" i="1"/>
  <c r="D2702" i="1"/>
  <c r="C2703" i="1"/>
  <c r="D2703" i="1"/>
  <c r="C2704" i="1"/>
  <c r="D2704" i="1"/>
  <c r="C2705" i="1"/>
  <c r="D2705" i="1"/>
  <c r="C2706" i="1"/>
  <c r="D2706" i="1"/>
  <c r="C2707" i="1"/>
  <c r="D2707" i="1"/>
  <c r="C2708" i="1"/>
  <c r="D2708" i="1"/>
  <c r="C2709" i="1"/>
  <c r="D2709" i="1"/>
  <c r="C2710" i="1"/>
  <c r="D2710" i="1"/>
  <c r="C2711" i="1"/>
  <c r="D2711" i="1"/>
  <c r="C2712" i="1"/>
  <c r="D2712" i="1"/>
  <c r="C2713" i="1"/>
  <c r="D2713" i="1"/>
  <c r="C2714" i="1"/>
  <c r="D2714" i="1"/>
  <c r="C2715" i="1"/>
  <c r="D2715" i="1"/>
  <c r="C2716" i="1"/>
  <c r="D2716" i="1"/>
  <c r="C2717" i="1"/>
  <c r="D2717" i="1"/>
  <c r="C2718" i="1"/>
  <c r="D2718" i="1"/>
  <c r="C2719" i="1"/>
  <c r="D2719" i="1"/>
  <c r="C2720" i="1"/>
  <c r="D2720" i="1"/>
  <c r="C2721" i="1"/>
  <c r="D2721" i="1"/>
  <c r="C2722" i="1"/>
  <c r="D2722" i="1"/>
  <c r="C2723" i="1"/>
  <c r="D2723" i="1"/>
  <c r="C2724" i="1"/>
  <c r="D2724" i="1"/>
  <c r="C2725" i="1"/>
  <c r="D2725" i="1"/>
  <c r="C2726" i="1"/>
  <c r="D2726" i="1"/>
  <c r="C2727" i="1"/>
  <c r="D2727" i="1"/>
  <c r="C2728" i="1"/>
  <c r="D2728" i="1"/>
  <c r="C2729" i="1"/>
  <c r="D2729" i="1"/>
  <c r="C2730" i="1"/>
  <c r="D2730" i="1"/>
  <c r="C2731" i="1"/>
  <c r="D2731" i="1"/>
  <c r="C2732" i="1"/>
  <c r="D2732" i="1"/>
  <c r="C2733" i="1"/>
  <c r="D2733" i="1"/>
  <c r="C2734" i="1"/>
  <c r="D2734" i="1"/>
  <c r="C2735" i="1"/>
  <c r="D2735" i="1"/>
  <c r="C2736" i="1"/>
  <c r="D2736" i="1"/>
  <c r="C2737" i="1"/>
  <c r="D2737" i="1"/>
  <c r="C2738" i="1"/>
  <c r="D2738" i="1"/>
  <c r="C2739" i="1"/>
  <c r="D2739" i="1"/>
  <c r="C2740" i="1"/>
  <c r="D2740" i="1"/>
  <c r="C2741" i="1"/>
  <c r="D2741" i="1"/>
  <c r="C2742" i="1"/>
  <c r="D2742" i="1"/>
  <c r="C2743" i="1"/>
  <c r="D2743" i="1"/>
  <c r="C2744" i="1"/>
  <c r="D2744" i="1"/>
  <c r="C2745" i="1"/>
  <c r="D2745" i="1"/>
  <c r="C2746" i="1"/>
  <c r="D2746" i="1"/>
  <c r="C2747" i="1"/>
  <c r="D2747" i="1"/>
  <c r="C2748" i="1"/>
  <c r="D2748" i="1"/>
  <c r="C2749" i="1"/>
  <c r="D2749" i="1"/>
  <c r="C2750" i="1"/>
  <c r="D2750" i="1"/>
  <c r="C2751" i="1"/>
  <c r="D2751" i="1"/>
  <c r="C2752" i="1"/>
  <c r="D2752" i="1"/>
  <c r="C2753" i="1"/>
  <c r="D2753" i="1"/>
  <c r="C2754" i="1"/>
  <c r="D2754" i="1"/>
  <c r="C2755" i="1"/>
  <c r="D2755" i="1"/>
  <c r="C2756" i="1"/>
  <c r="D2756" i="1"/>
  <c r="C2757" i="1"/>
  <c r="D2757" i="1"/>
  <c r="C2758" i="1"/>
  <c r="D2758" i="1"/>
  <c r="C2759" i="1"/>
  <c r="D2759" i="1"/>
  <c r="C2760" i="1"/>
  <c r="D2760" i="1"/>
  <c r="C2761" i="1"/>
  <c r="D2761" i="1"/>
  <c r="C2762" i="1"/>
  <c r="D2762" i="1"/>
  <c r="C2763" i="1"/>
  <c r="D2763" i="1"/>
  <c r="C2764" i="1"/>
  <c r="D2764" i="1"/>
  <c r="C2765" i="1"/>
  <c r="D2765" i="1"/>
  <c r="C2766" i="1"/>
  <c r="D2766" i="1"/>
  <c r="C2767" i="1"/>
  <c r="D2767" i="1"/>
  <c r="C2768" i="1"/>
  <c r="D2768" i="1"/>
  <c r="C2769" i="1"/>
  <c r="D2769" i="1"/>
  <c r="C2770" i="1"/>
  <c r="D2770" i="1"/>
  <c r="C2771" i="1"/>
  <c r="D2771" i="1"/>
  <c r="C2772" i="1"/>
  <c r="D2772" i="1"/>
  <c r="C2773" i="1"/>
  <c r="D2773" i="1"/>
  <c r="C2774" i="1"/>
  <c r="D2774" i="1"/>
  <c r="C2775" i="1"/>
  <c r="D2775" i="1"/>
  <c r="C2776" i="1"/>
  <c r="D2776" i="1"/>
  <c r="C2777" i="1"/>
  <c r="D2777" i="1"/>
  <c r="C2778" i="1"/>
  <c r="D2778" i="1"/>
  <c r="C2779" i="1"/>
  <c r="D2779" i="1"/>
  <c r="C2780" i="1"/>
  <c r="D2780" i="1"/>
  <c r="C2781" i="1"/>
  <c r="D2781" i="1"/>
  <c r="C2782" i="1"/>
  <c r="D2782" i="1"/>
  <c r="C2783" i="1"/>
  <c r="D2783" i="1"/>
  <c r="C2784" i="1"/>
  <c r="D2784" i="1"/>
  <c r="C2785" i="1"/>
  <c r="D2785" i="1"/>
  <c r="C2786" i="1"/>
  <c r="D2786" i="1"/>
  <c r="C2787" i="1"/>
  <c r="D2787" i="1"/>
  <c r="C2788" i="1"/>
  <c r="D2788" i="1"/>
  <c r="C2789" i="1"/>
  <c r="D2789" i="1"/>
  <c r="C2790" i="1"/>
  <c r="D2790" i="1"/>
  <c r="C2791" i="1"/>
  <c r="D2791" i="1"/>
  <c r="C2792" i="1"/>
  <c r="D2792" i="1"/>
  <c r="C2793" i="1"/>
  <c r="D2793" i="1"/>
  <c r="C2794" i="1"/>
  <c r="D2794" i="1"/>
  <c r="C2795" i="1"/>
  <c r="D2795" i="1"/>
  <c r="C2796" i="1"/>
  <c r="D2796" i="1"/>
  <c r="C2797" i="1"/>
  <c r="D2797" i="1"/>
  <c r="C2798" i="1"/>
  <c r="D2798" i="1"/>
  <c r="C2799" i="1"/>
  <c r="D2799" i="1"/>
  <c r="C2800" i="1"/>
  <c r="D2800" i="1"/>
  <c r="C2801" i="1"/>
  <c r="D2801" i="1"/>
  <c r="C2802" i="1"/>
  <c r="D2802" i="1"/>
  <c r="C2803" i="1"/>
  <c r="D2803" i="1"/>
  <c r="C2804" i="1"/>
  <c r="D2804" i="1"/>
  <c r="C2805" i="1"/>
  <c r="D2805" i="1"/>
  <c r="C2806" i="1"/>
  <c r="D2806" i="1"/>
  <c r="C2807" i="1"/>
  <c r="D2807" i="1"/>
  <c r="C2808" i="1"/>
  <c r="D2808" i="1"/>
  <c r="C2809" i="1"/>
  <c r="D2809" i="1"/>
  <c r="C2810" i="1"/>
  <c r="D2810" i="1"/>
  <c r="C2811" i="1"/>
  <c r="D2811" i="1"/>
  <c r="C2812" i="1"/>
  <c r="D2812" i="1"/>
  <c r="C2813" i="1"/>
  <c r="D2813" i="1"/>
  <c r="C2814" i="1"/>
  <c r="D2814" i="1"/>
  <c r="C2815" i="1"/>
  <c r="D2815" i="1"/>
  <c r="C2816" i="1"/>
  <c r="D2816" i="1"/>
  <c r="C2817" i="1"/>
  <c r="D2817" i="1"/>
  <c r="C2818" i="1"/>
  <c r="D2818" i="1"/>
  <c r="C2819" i="1"/>
  <c r="D2819" i="1"/>
  <c r="C2820" i="1"/>
  <c r="D2820" i="1"/>
  <c r="C2821" i="1"/>
  <c r="D2821" i="1"/>
  <c r="C2822" i="1"/>
  <c r="D2822" i="1"/>
  <c r="C2823" i="1"/>
  <c r="D2823" i="1"/>
  <c r="C2824" i="1"/>
  <c r="D2824" i="1"/>
  <c r="C2825" i="1"/>
  <c r="D2825" i="1"/>
  <c r="C2826" i="1"/>
  <c r="D2826" i="1"/>
  <c r="C2827" i="1"/>
  <c r="D2827" i="1"/>
  <c r="C2828" i="1"/>
  <c r="D2828" i="1"/>
  <c r="C2829" i="1"/>
  <c r="D2829" i="1"/>
  <c r="C2830" i="1"/>
  <c r="D2830" i="1"/>
  <c r="C2831" i="1"/>
  <c r="D2831" i="1"/>
  <c r="C2832" i="1"/>
  <c r="D2832" i="1"/>
  <c r="C2833" i="1"/>
  <c r="D2833" i="1"/>
  <c r="C2834" i="1"/>
  <c r="D2834" i="1"/>
  <c r="C2835" i="1"/>
  <c r="D2835" i="1"/>
  <c r="C2836" i="1"/>
  <c r="D2836" i="1"/>
  <c r="C2837" i="1"/>
  <c r="D2837" i="1"/>
  <c r="C2838" i="1"/>
  <c r="D2838" i="1"/>
  <c r="C2839" i="1"/>
  <c r="D2839" i="1"/>
  <c r="C2840" i="1"/>
  <c r="D2840" i="1"/>
  <c r="C2841" i="1"/>
  <c r="D2841" i="1"/>
  <c r="C2842" i="1"/>
  <c r="D2842" i="1"/>
  <c r="C2843" i="1"/>
  <c r="D2843" i="1"/>
  <c r="C2844" i="1"/>
  <c r="D2844" i="1"/>
  <c r="C2845" i="1"/>
  <c r="D2845" i="1"/>
  <c r="C2846" i="1"/>
  <c r="D2846" i="1"/>
  <c r="C2847" i="1"/>
  <c r="D2847" i="1"/>
  <c r="C2848" i="1"/>
  <c r="D2848" i="1"/>
  <c r="C2849" i="1"/>
  <c r="D2849" i="1"/>
  <c r="C2850" i="1"/>
  <c r="D2850" i="1"/>
  <c r="C2851" i="1"/>
  <c r="D2851" i="1"/>
  <c r="C2852" i="1"/>
  <c r="D2852" i="1"/>
  <c r="C2853" i="1"/>
  <c r="D2853" i="1"/>
  <c r="C2854" i="1"/>
  <c r="D2854" i="1"/>
  <c r="C2855" i="1"/>
  <c r="D2855" i="1"/>
  <c r="C2856" i="1"/>
  <c r="D2856" i="1"/>
  <c r="C2857" i="1"/>
  <c r="D2857" i="1"/>
  <c r="C2858" i="1"/>
  <c r="D2858" i="1"/>
  <c r="C2859" i="1"/>
  <c r="D2859" i="1"/>
  <c r="C2860" i="1"/>
  <c r="D2860" i="1"/>
  <c r="C2861" i="1"/>
  <c r="D2861" i="1"/>
  <c r="C2862" i="1"/>
  <c r="D2862" i="1"/>
  <c r="C2863" i="1"/>
  <c r="D2863" i="1"/>
  <c r="C2864" i="1"/>
  <c r="D2864" i="1"/>
  <c r="C2865" i="1"/>
  <c r="D2865" i="1"/>
  <c r="C2866" i="1"/>
  <c r="D2866" i="1"/>
  <c r="C2867" i="1"/>
  <c r="D2867" i="1"/>
  <c r="C2868" i="1"/>
  <c r="D2868" i="1"/>
  <c r="C2869" i="1"/>
  <c r="D2869" i="1"/>
  <c r="C2870" i="1"/>
  <c r="D2870" i="1"/>
  <c r="C2871" i="1"/>
  <c r="D2871" i="1"/>
  <c r="C2872" i="1"/>
  <c r="D2872" i="1"/>
  <c r="C2873" i="1"/>
  <c r="D2873" i="1"/>
  <c r="C2874" i="1"/>
  <c r="D2874" i="1"/>
  <c r="C2875" i="1"/>
  <c r="D2875" i="1"/>
  <c r="C2876" i="1"/>
  <c r="D2876" i="1"/>
  <c r="C2877" i="1"/>
  <c r="D2877" i="1"/>
  <c r="C2878" i="1"/>
  <c r="D2878" i="1"/>
  <c r="C2879" i="1"/>
  <c r="D2879" i="1"/>
  <c r="C2880" i="1"/>
  <c r="D2880" i="1"/>
  <c r="C2881" i="1"/>
  <c r="D2881" i="1"/>
  <c r="C2882" i="1"/>
  <c r="D2882" i="1"/>
  <c r="C2883" i="1"/>
  <c r="D2883" i="1"/>
  <c r="C2884" i="1"/>
  <c r="D2884" i="1"/>
  <c r="C2885" i="1"/>
  <c r="D2885" i="1"/>
  <c r="C2886" i="1"/>
  <c r="D2886" i="1"/>
  <c r="C2887" i="1"/>
  <c r="D2887" i="1"/>
  <c r="C2888" i="1"/>
  <c r="D2888" i="1"/>
  <c r="C2889" i="1"/>
  <c r="D2889" i="1"/>
  <c r="C2890" i="1"/>
  <c r="D2890" i="1"/>
  <c r="C2891" i="1"/>
  <c r="D2891" i="1"/>
  <c r="C2892" i="1"/>
  <c r="D2892" i="1"/>
  <c r="C2893" i="1"/>
  <c r="D2893" i="1"/>
  <c r="C2894" i="1"/>
  <c r="D2894" i="1"/>
  <c r="C2895" i="1"/>
  <c r="D2895" i="1"/>
  <c r="C2896" i="1"/>
  <c r="D2896" i="1"/>
  <c r="C2897" i="1"/>
  <c r="D2897" i="1"/>
  <c r="C2898" i="1"/>
  <c r="D2898" i="1"/>
  <c r="C2899" i="1"/>
  <c r="D2899" i="1"/>
  <c r="C2900" i="1"/>
  <c r="D2900" i="1"/>
  <c r="C2901" i="1"/>
  <c r="D2901" i="1"/>
  <c r="C2902" i="1"/>
  <c r="D2902" i="1"/>
  <c r="C2903" i="1"/>
  <c r="D2903" i="1"/>
  <c r="C2904" i="1"/>
  <c r="D2904" i="1"/>
  <c r="C2905" i="1"/>
  <c r="D2905" i="1"/>
  <c r="C2906" i="1"/>
  <c r="D2906" i="1"/>
  <c r="C2907" i="1"/>
  <c r="D2907" i="1"/>
  <c r="C2908" i="1"/>
  <c r="D2908" i="1"/>
  <c r="C2909" i="1"/>
  <c r="D2909" i="1"/>
  <c r="C2910" i="1"/>
  <c r="D2910" i="1"/>
  <c r="C2911" i="1"/>
  <c r="D2911" i="1"/>
  <c r="C2912" i="1"/>
  <c r="D2912" i="1"/>
  <c r="C2913" i="1"/>
  <c r="D2913" i="1"/>
  <c r="C2914" i="1"/>
  <c r="D2914" i="1"/>
  <c r="C2915" i="1"/>
  <c r="D2915" i="1"/>
  <c r="C2916" i="1"/>
  <c r="D2916" i="1"/>
  <c r="C2917" i="1"/>
  <c r="D2917" i="1"/>
  <c r="C2918" i="1"/>
  <c r="D2918" i="1"/>
  <c r="C2919" i="1"/>
  <c r="D2919" i="1"/>
  <c r="C2920" i="1"/>
  <c r="D2920" i="1"/>
  <c r="C2921" i="1"/>
  <c r="D2921" i="1"/>
  <c r="C2922" i="1"/>
  <c r="D2922" i="1"/>
  <c r="C2923" i="1"/>
  <c r="D2923" i="1"/>
  <c r="C2924" i="1"/>
  <c r="D2924" i="1"/>
  <c r="C2925" i="1"/>
  <c r="D2925" i="1"/>
  <c r="C2926" i="1"/>
  <c r="D2926" i="1"/>
  <c r="C2927" i="1"/>
  <c r="D2927" i="1"/>
  <c r="C2928" i="1"/>
  <c r="D2928" i="1"/>
  <c r="C2929" i="1"/>
  <c r="D2929" i="1"/>
  <c r="C2930" i="1"/>
  <c r="D2930" i="1"/>
  <c r="C2931" i="1"/>
  <c r="D2931" i="1"/>
  <c r="C2932" i="1"/>
  <c r="D2932" i="1"/>
  <c r="C2933" i="1"/>
  <c r="D2933" i="1"/>
  <c r="C2934" i="1"/>
  <c r="D2934" i="1"/>
  <c r="C2935" i="1"/>
  <c r="D2935" i="1"/>
  <c r="C2936" i="1"/>
  <c r="D2936" i="1"/>
  <c r="C2937" i="1"/>
  <c r="D2937" i="1"/>
  <c r="C2938" i="1"/>
  <c r="D2938" i="1"/>
  <c r="C2939" i="1"/>
  <c r="D2939" i="1"/>
  <c r="C2940" i="1"/>
  <c r="D2940" i="1"/>
  <c r="C2941" i="1"/>
  <c r="D2941" i="1"/>
  <c r="C2942" i="1"/>
  <c r="D2942" i="1"/>
  <c r="C2943" i="1"/>
  <c r="D2943" i="1"/>
  <c r="C2944" i="1"/>
  <c r="D2944" i="1"/>
  <c r="C2945" i="1"/>
  <c r="D2945" i="1"/>
  <c r="C2946" i="1"/>
  <c r="D2946" i="1"/>
  <c r="C2947" i="1"/>
  <c r="D2947" i="1"/>
  <c r="C2948" i="1"/>
  <c r="D2948" i="1"/>
  <c r="C2949" i="1"/>
  <c r="D2949" i="1"/>
  <c r="C2950" i="1"/>
  <c r="D2950" i="1"/>
  <c r="C2951" i="1"/>
  <c r="D2951" i="1"/>
  <c r="C2952" i="1"/>
  <c r="D2952" i="1"/>
  <c r="C2953" i="1"/>
  <c r="D2953" i="1"/>
  <c r="C2954" i="1"/>
  <c r="D2954" i="1"/>
  <c r="C2955" i="1"/>
  <c r="D2955" i="1"/>
  <c r="C2956" i="1"/>
  <c r="D2956" i="1"/>
  <c r="C2957" i="1"/>
  <c r="D2957" i="1"/>
  <c r="C2958" i="1"/>
  <c r="D2958" i="1"/>
  <c r="C2959" i="1"/>
  <c r="D2959" i="1"/>
  <c r="C2960" i="1"/>
  <c r="D2960" i="1"/>
  <c r="C2961" i="1"/>
  <c r="D2961" i="1"/>
  <c r="C2962" i="1"/>
  <c r="D2962" i="1"/>
  <c r="C2963" i="1"/>
  <c r="D2963" i="1"/>
  <c r="C2964" i="1"/>
  <c r="D2964" i="1"/>
  <c r="C2965" i="1"/>
  <c r="D2965" i="1"/>
  <c r="C2966" i="1"/>
  <c r="D2966" i="1"/>
  <c r="C2967" i="1"/>
  <c r="D2967" i="1"/>
  <c r="C2968" i="1"/>
  <c r="D2968" i="1"/>
  <c r="C2969" i="1"/>
  <c r="D2969" i="1"/>
  <c r="C2970" i="1"/>
  <c r="D2970" i="1"/>
  <c r="C2971" i="1"/>
  <c r="D2971" i="1"/>
  <c r="C2972" i="1"/>
  <c r="D2972" i="1"/>
  <c r="C2973" i="1"/>
  <c r="D2973" i="1"/>
  <c r="C2974" i="1"/>
  <c r="D2974" i="1"/>
  <c r="C2975" i="1"/>
  <c r="D2975" i="1"/>
  <c r="C2976" i="1"/>
  <c r="D2976" i="1"/>
  <c r="C2977" i="1"/>
  <c r="D2977" i="1"/>
  <c r="C2978" i="1"/>
  <c r="D2978" i="1"/>
  <c r="C2979" i="1"/>
  <c r="D2979" i="1"/>
  <c r="C2980" i="1"/>
  <c r="D2980" i="1"/>
  <c r="C2981" i="1"/>
  <c r="D2981" i="1"/>
  <c r="C2982" i="1"/>
  <c r="D2982" i="1"/>
  <c r="C2983" i="1"/>
  <c r="D2983" i="1"/>
  <c r="C2984" i="1"/>
  <c r="D2984" i="1"/>
  <c r="C2985" i="1"/>
  <c r="D2985" i="1"/>
  <c r="C2986" i="1"/>
  <c r="D2986" i="1"/>
  <c r="C2987" i="1"/>
  <c r="D2987" i="1"/>
  <c r="C2988" i="1"/>
  <c r="D2988" i="1"/>
  <c r="C2989" i="1"/>
  <c r="D2989" i="1"/>
  <c r="C2990" i="1"/>
  <c r="D2990" i="1"/>
  <c r="C2991" i="1"/>
  <c r="D2991" i="1"/>
  <c r="C2992" i="1"/>
  <c r="D2992" i="1"/>
  <c r="C2993" i="1"/>
  <c r="D2993" i="1"/>
  <c r="C2994" i="1"/>
  <c r="D2994" i="1"/>
  <c r="C2995" i="1"/>
  <c r="D2995" i="1"/>
  <c r="C2996" i="1"/>
  <c r="D2996" i="1"/>
  <c r="C2997" i="1"/>
  <c r="D2997" i="1"/>
  <c r="C2998" i="1"/>
  <c r="D2998" i="1"/>
  <c r="C2999" i="1"/>
  <c r="D2999" i="1"/>
  <c r="C3000" i="1"/>
  <c r="D3000" i="1"/>
  <c r="C3001" i="1"/>
  <c r="D3001" i="1"/>
  <c r="C3002" i="1"/>
  <c r="D3002" i="1"/>
  <c r="C3003" i="1"/>
  <c r="D3003" i="1"/>
  <c r="C3004" i="1"/>
  <c r="D3004" i="1"/>
  <c r="C3005" i="1"/>
  <c r="D3005" i="1"/>
  <c r="C3006" i="1"/>
  <c r="D3006" i="1"/>
  <c r="C3007" i="1"/>
  <c r="D3007" i="1"/>
  <c r="C3008" i="1"/>
  <c r="D3008" i="1"/>
  <c r="C3009" i="1"/>
  <c r="D3009" i="1"/>
  <c r="C3010" i="1"/>
  <c r="D3010" i="1"/>
  <c r="C3011" i="1"/>
  <c r="D3011" i="1"/>
  <c r="C3012" i="1"/>
  <c r="D3012" i="1"/>
  <c r="C3013" i="1"/>
  <c r="D3013" i="1"/>
  <c r="C3014" i="1"/>
  <c r="D3014" i="1"/>
  <c r="C3015" i="1"/>
  <c r="D3015" i="1"/>
  <c r="C3016" i="1"/>
  <c r="D3016" i="1"/>
  <c r="C3017" i="1"/>
  <c r="D3017" i="1"/>
  <c r="C3018" i="1"/>
  <c r="D3018" i="1"/>
  <c r="C3019" i="1"/>
  <c r="D3019" i="1"/>
  <c r="C3020" i="1"/>
  <c r="D3020" i="1"/>
  <c r="C3021" i="1"/>
  <c r="D3021" i="1"/>
  <c r="C3022" i="1"/>
  <c r="D3022" i="1"/>
  <c r="C3023" i="1"/>
  <c r="D3023" i="1"/>
  <c r="C3024" i="1"/>
  <c r="D3024" i="1"/>
  <c r="C3025" i="1"/>
  <c r="D3025" i="1"/>
  <c r="C3026" i="1"/>
  <c r="D3026" i="1"/>
  <c r="C3027" i="1"/>
  <c r="D3027" i="1"/>
  <c r="C3028" i="1"/>
  <c r="D3028" i="1"/>
  <c r="C3029" i="1"/>
  <c r="D3029" i="1"/>
  <c r="C3030" i="1"/>
  <c r="D3030" i="1"/>
  <c r="C3031" i="1"/>
  <c r="D3031" i="1"/>
  <c r="C3032" i="1"/>
  <c r="D3032" i="1"/>
  <c r="C3033" i="1"/>
  <c r="D3033" i="1"/>
  <c r="C3034" i="1"/>
  <c r="D3034" i="1"/>
  <c r="C3035" i="1"/>
  <c r="D3035" i="1"/>
  <c r="C3036" i="1"/>
  <c r="D3036" i="1"/>
  <c r="C3037" i="1"/>
  <c r="D3037" i="1"/>
  <c r="C3038" i="1"/>
  <c r="D3038" i="1"/>
  <c r="C3039" i="1"/>
  <c r="D3039" i="1"/>
  <c r="C3040" i="1"/>
  <c r="D3040" i="1"/>
  <c r="C3041" i="1"/>
  <c r="D3041" i="1"/>
  <c r="C3042" i="1"/>
  <c r="D3042" i="1"/>
  <c r="C3043" i="1"/>
  <c r="D3043" i="1"/>
  <c r="C3044" i="1"/>
  <c r="D3044" i="1"/>
  <c r="C3045" i="1"/>
  <c r="D3045" i="1"/>
  <c r="C3046" i="1"/>
  <c r="D3046" i="1"/>
  <c r="C3047" i="1"/>
  <c r="D3047" i="1"/>
  <c r="C3048" i="1"/>
  <c r="D3048" i="1"/>
  <c r="C3049" i="1"/>
  <c r="D3049" i="1"/>
  <c r="C3050" i="1"/>
  <c r="D3050" i="1"/>
  <c r="C3051" i="1"/>
  <c r="D3051" i="1"/>
  <c r="C3052" i="1"/>
  <c r="D3052" i="1"/>
  <c r="C3053" i="1"/>
  <c r="D3053" i="1"/>
  <c r="C3054" i="1"/>
  <c r="D3054" i="1"/>
  <c r="C3055" i="1"/>
  <c r="D3055" i="1"/>
  <c r="C3056" i="1"/>
  <c r="D3056" i="1"/>
  <c r="C3057" i="1"/>
  <c r="D3057" i="1"/>
  <c r="C3058" i="1"/>
  <c r="D3058" i="1"/>
  <c r="C3059" i="1"/>
  <c r="D3059" i="1"/>
  <c r="C3060" i="1"/>
  <c r="D3060" i="1"/>
  <c r="C3061" i="1"/>
  <c r="D3061" i="1"/>
  <c r="C3062" i="1"/>
  <c r="D3062" i="1"/>
  <c r="C3063" i="1"/>
  <c r="D3063" i="1"/>
  <c r="C3064" i="1"/>
  <c r="D3064" i="1"/>
  <c r="C3065" i="1"/>
  <c r="D3065" i="1"/>
  <c r="C3066" i="1"/>
  <c r="D3066" i="1"/>
  <c r="C3067" i="1"/>
  <c r="D3067" i="1"/>
  <c r="C3068" i="1"/>
  <c r="D3068" i="1"/>
  <c r="C3069" i="1"/>
  <c r="D3069" i="1"/>
  <c r="C3070" i="1"/>
  <c r="D3070" i="1"/>
  <c r="C3071" i="1"/>
  <c r="D3071" i="1"/>
  <c r="C3072" i="1"/>
  <c r="D3072" i="1"/>
  <c r="C3073" i="1"/>
  <c r="D3073" i="1"/>
  <c r="C3074" i="1"/>
  <c r="D3074" i="1"/>
  <c r="C3075" i="1"/>
  <c r="D3075" i="1"/>
  <c r="C3076" i="1"/>
  <c r="D3076" i="1"/>
  <c r="C3077" i="1"/>
  <c r="D3077" i="1"/>
  <c r="C3078" i="1"/>
  <c r="D3078" i="1"/>
  <c r="C3079" i="1"/>
  <c r="D3079" i="1"/>
  <c r="C3080" i="1"/>
  <c r="D3080" i="1"/>
  <c r="C3081" i="1"/>
  <c r="D3081" i="1"/>
  <c r="C3082" i="1"/>
  <c r="D3082" i="1"/>
  <c r="C3083" i="1"/>
  <c r="D3083" i="1"/>
  <c r="C3084" i="1"/>
  <c r="D3084" i="1"/>
  <c r="C3085" i="1"/>
  <c r="D3085" i="1"/>
  <c r="C3086" i="1"/>
  <c r="D3086" i="1"/>
  <c r="C3087" i="1"/>
  <c r="D3087" i="1"/>
  <c r="C3088" i="1"/>
  <c r="D3088" i="1"/>
  <c r="C3089" i="1"/>
  <c r="D3089" i="1"/>
  <c r="C3090" i="1"/>
  <c r="D3090" i="1"/>
  <c r="C3091" i="1"/>
  <c r="D3091" i="1"/>
  <c r="C3092" i="1"/>
  <c r="D3092" i="1"/>
  <c r="C3093" i="1"/>
  <c r="D3093" i="1"/>
  <c r="C3094" i="1"/>
  <c r="D3094" i="1"/>
  <c r="C3095" i="1"/>
  <c r="D3095" i="1"/>
  <c r="C3096" i="1"/>
  <c r="D3096" i="1"/>
  <c r="C3097" i="1"/>
  <c r="D3097" i="1"/>
  <c r="C3098" i="1"/>
  <c r="D3098" i="1"/>
  <c r="C3099" i="1"/>
  <c r="D3099" i="1"/>
  <c r="C3100" i="1"/>
  <c r="D3100" i="1"/>
  <c r="C3101" i="1"/>
  <c r="D3101" i="1"/>
  <c r="C3102" i="1"/>
  <c r="D3102" i="1"/>
  <c r="C3103" i="1"/>
  <c r="D3103" i="1"/>
  <c r="C3104" i="1"/>
  <c r="D3104" i="1"/>
  <c r="C3105" i="1"/>
  <c r="D3105" i="1"/>
  <c r="C3106" i="1"/>
  <c r="D3106" i="1"/>
  <c r="C3107" i="1"/>
  <c r="D3107" i="1"/>
  <c r="C3108" i="1"/>
  <c r="D3108" i="1"/>
  <c r="C3109" i="1"/>
  <c r="D3109" i="1"/>
  <c r="C3110" i="1"/>
  <c r="D3110" i="1"/>
  <c r="C3111" i="1"/>
  <c r="D3111" i="1"/>
  <c r="C3112" i="1"/>
  <c r="D3112" i="1"/>
  <c r="C3113" i="1"/>
  <c r="D3113" i="1"/>
  <c r="C3114" i="1"/>
  <c r="D3114" i="1"/>
  <c r="C3115" i="1"/>
  <c r="D3115" i="1"/>
  <c r="C3116" i="1"/>
  <c r="D3116" i="1"/>
  <c r="C3117" i="1"/>
  <c r="D3117" i="1"/>
  <c r="C3118" i="1"/>
  <c r="D3118" i="1"/>
  <c r="C3119" i="1"/>
  <c r="D3119" i="1"/>
  <c r="C3120" i="1"/>
  <c r="D3120" i="1"/>
  <c r="C3121" i="1"/>
  <c r="D3121" i="1"/>
  <c r="C3122" i="1"/>
  <c r="D3122" i="1"/>
  <c r="C3123" i="1"/>
  <c r="D3123" i="1"/>
  <c r="C3124" i="1"/>
  <c r="D3124" i="1"/>
  <c r="C3125" i="1"/>
  <c r="D3125" i="1"/>
  <c r="C3126" i="1"/>
  <c r="D3126" i="1"/>
  <c r="C3127" i="1"/>
  <c r="D3127" i="1"/>
  <c r="C3128" i="1"/>
  <c r="D3128" i="1"/>
  <c r="C3129" i="1"/>
  <c r="D3129" i="1"/>
  <c r="C3130" i="1"/>
  <c r="D3130" i="1"/>
  <c r="C3131" i="1"/>
  <c r="D3131" i="1"/>
  <c r="C3132" i="1"/>
  <c r="D3132" i="1"/>
  <c r="C3133" i="1"/>
  <c r="D3133" i="1"/>
  <c r="C3134" i="1"/>
  <c r="D3134" i="1"/>
  <c r="C3135" i="1"/>
  <c r="D3135" i="1"/>
  <c r="C3136" i="1"/>
  <c r="D3136" i="1"/>
  <c r="C3137" i="1"/>
  <c r="D3137" i="1"/>
  <c r="C3138" i="1"/>
  <c r="D3138" i="1"/>
  <c r="C3139" i="1"/>
  <c r="D3139" i="1"/>
  <c r="C3140" i="1"/>
  <c r="D3140" i="1"/>
  <c r="C3141" i="1"/>
  <c r="D3141" i="1"/>
  <c r="C3142" i="1"/>
  <c r="D3142" i="1"/>
  <c r="C3143" i="1"/>
  <c r="D3143" i="1"/>
  <c r="C3144" i="1"/>
  <c r="D3144" i="1"/>
  <c r="C3145" i="1"/>
  <c r="D3145" i="1"/>
  <c r="C3146" i="1"/>
  <c r="D3146" i="1"/>
  <c r="C3147" i="1"/>
  <c r="D3147" i="1"/>
  <c r="C3148" i="1"/>
  <c r="D3148" i="1"/>
  <c r="C3149" i="1"/>
  <c r="D3149" i="1"/>
  <c r="C3150" i="1"/>
  <c r="D3150" i="1"/>
  <c r="C3151" i="1"/>
  <c r="D3151" i="1"/>
  <c r="C3152" i="1"/>
  <c r="D3152" i="1"/>
  <c r="C3153" i="1"/>
  <c r="D3153" i="1"/>
  <c r="C3154" i="1"/>
  <c r="D3154" i="1"/>
  <c r="C3155" i="1"/>
  <c r="D3155" i="1"/>
  <c r="C3156" i="1"/>
  <c r="D3156" i="1"/>
  <c r="C3157" i="1"/>
  <c r="D3157" i="1"/>
  <c r="C3158" i="1"/>
  <c r="D3158" i="1"/>
  <c r="C3159" i="1"/>
  <c r="D3159" i="1"/>
  <c r="C3160" i="1"/>
  <c r="D3160" i="1"/>
  <c r="C3161" i="1"/>
  <c r="D3161" i="1"/>
  <c r="C3162" i="1"/>
  <c r="D3162" i="1"/>
  <c r="C3163" i="1"/>
  <c r="D3163" i="1"/>
  <c r="C3164" i="1"/>
  <c r="D3164" i="1"/>
  <c r="C3165" i="1"/>
  <c r="D3165" i="1"/>
  <c r="C3166" i="1"/>
  <c r="D3166" i="1"/>
  <c r="C3167" i="1"/>
  <c r="D3167" i="1"/>
  <c r="C3168" i="1"/>
  <c r="D3168" i="1"/>
  <c r="C3169" i="1"/>
  <c r="D3169" i="1"/>
  <c r="C3170" i="1"/>
  <c r="D3170" i="1"/>
  <c r="C3171" i="1"/>
  <c r="D3171" i="1"/>
  <c r="C3172" i="1"/>
  <c r="D3172" i="1"/>
  <c r="C3173" i="1"/>
  <c r="D3173" i="1"/>
  <c r="C3174" i="1"/>
  <c r="D3174" i="1"/>
  <c r="C3175" i="1"/>
  <c r="D3175" i="1"/>
  <c r="C3176" i="1"/>
  <c r="D3176" i="1"/>
  <c r="C3177" i="1"/>
  <c r="D3177" i="1"/>
  <c r="C3178" i="1"/>
  <c r="D3178" i="1"/>
  <c r="C3179" i="1"/>
  <c r="D3179" i="1"/>
  <c r="C3180" i="1"/>
  <c r="D3180" i="1"/>
  <c r="C3181" i="1"/>
  <c r="D3181" i="1"/>
  <c r="C3182" i="1"/>
  <c r="D3182" i="1"/>
  <c r="C3183" i="1"/>
  <c r="D3183" i="1"/>
  <c r="C3184" i="1"/>
  <c r="D3184" i="1"/>
  <c r="C3185" i="1"/>
  <c r="D3185" i="1"/>
  <c r="C3186" i="1"/>
  <c r="D3186" i="1"/>
  <c r="C3187" i="1"/>
  <c r="D3187" i="1"/>
  <c r="C3188" i="1"/>
  <c r="D3188" i="1"/>
  <c r="C3189" i="1"/>
  <c r="D3189" i="1"/>
  <c r="C3190" i="1"/>
  <c r="D3190" i="1"/>
  <c r="C3191" i="1"/>
  <c r="D3191" i="1"/>
  <c r="C3192" i="1"/>
  <c r="D3192" i="1"/>
  <c r="C3193" i="1"/>
  <c r="D3193" i="1"/>
  <c r="C3194" i="1"/>
  <c r="D3194" i="1"/>
  <c r="C3195" i="1"/>
  <c r="D3195" i="1"/>
  <c r="C3196" i="1"/>
  <c r="D3196" i="1"/>
  <c r="C3197" i="1"/>
  <c r="D3197" i="1"/>
  <c r="C3198" i="1"/>
  <c r="D3198" i="1"/>
  <c r="C3199" i="1"/>
  <c r="D3199" i="1"/>
  <c r="C3200" i="1"/>
  <c r="D3200" i="1"/>
  <c r="C3201" i="1"/>
  <c r="D3201" i="1"/>
  <c r="C3202" i="1"/>
  <c r="D3202" i="1"/>
  <c r="C3203" i="1"/>
  <c r="D3203" i="1"/>
  <c r="C3204" i="1"/>
  <c r="D3204" i="1"/>
  <c r="C3205" i="1"/>
  <c r="D3205" i="1"/>
  <c r="C3206" i="1"/>
  <c r="D3206" i="1"/>
  <c r="C3207" i="1"/>
  <c r="D3207" i="1"/>
  <c r="C3208" i="1"/>
  <c r="D3208" i="1"/>
  <c r="C3209" i="1"/>
  <c r="D3209" i="1"/>
  <c r="C3210" i="1"/>
  <c r="D3210" i="1"/>
  <c r="C3211" i="1"/>
  <c r="D3211" i="1"/>
  <c r="C3212" i="1"/>
  <c r="D3212" i="1"/>
  <c r="C3213" i="1"/>
  <c r="D3213" i="1"/>
  <c r="C3214" i="1"/>
  <c r="D3214" i="1"/>
  <c r="C3215" i="1"/>
  <c r="D3215" i="1"/>
  <c r="C3216" i="1"/>
  <c r="D3216" i="1"/>
  <c r="C3217" i="1"/>
  <c r="D3217" i="1"/>
  <c r="C3218" i="1"/>
  <c r="D3218" i="1"/>
  <c r="C3219" i="1"/>
  <c r="D3219" i="1"/>
  <c r="C3220" i="1"/>
  <c r="D3220" i="1"/>
  <c r="C3221" i="1"/>
  <c r="D3221" i="1"/>
  <c r="C3222" i="1"/>
  <c r="D3222" i="1"/>
  <c r="C3223" i="1"/>
  <c r="D3223" i="1"/>
  <c r="C3224" i="1"/>
  <c r="D3224" i="1"/>
  <c r="C3225" i="1"/>
  <c r="D3225" i="1"/>
  <c r="C3226" i="1"/>
  <c r="D3226" i="1"/>
  <c r="C3227" i="1"/>
  <c r="D3227" i="1"/>
  <c r="C3228" i="1"/>
  <c r="D3228" i="1"/>
  <c r="C3229" i="1"/>
  <c r="D3229" i="1"/>
  <c r="C3230" i="1"/>
  <c r="D3230" i="1"/>
  <c r="C3231" i="1"/>
  <c r="D3231" i="1"/>
  <c r="C3232" i="1"/>
  <c r="D3232" i="1"/>
  <c r="C3233" i="1"/>
  <c r="D3233" i="1"/>
  <c r="C3234" i="1"/>
  <c r="D3234" i="1"/>
  <c r="C3235" i="1"/>
  <c r="D3235" i="1"/>
  <c r="C3236" i="1"/>
  <c r="D3236" i="1"/>
  <c r="C3237" i="1"/>
  <c r="D3237" i="1"/>
  <c r="C3238" i="1"/>
  <c r="D3238" i="1"/>
  <c r="C3239" i="1"/>
  <c r="D3239" i="1"/>
  <c r="C3240" i="1"/>
  <c r="D3240" i="1"/>
  <c r="C3241" i="1"/>
  <c r="D3241" i="1"/>
  <c r="C3242" i="1"/>
  <c r="D3242" i="1"/>
  <c r="C3243" i="1"/>
  <c r="D3243" i="1"/>
  <c r="C3244" i="1"/>
  <c r="D3244" i="1"/>
  <c r="C3245" i="1"/>
  <c r="D3245" i="1"/>
  <c r="C3246" i="1"/>
  <c r="D3246" i="1"/>
  <c r="C3247" i="1"/>
  <c r="D3247" i="1"/>
  <c r="C3248" i="1"/>
  <c r="D3248" i="1"/>
  <c r="C3249" i="1"/>
  <c r="D3249" i="1"/>
  <c r="C3250" i="1"/>
  <c r="D3250" i="1"/>
  <c r="C3251" i="1"/>
  <c r="D3251" i="1"/>
  <c r="C3252" i="1"/>
  <c r="D3252" i="1"/>
  <c r="C3253" i="1"/>
  <c r="D3253" i="1"/>
  <c r="C3254" i="1"/>
  <c r="D3254" i="1"/>
  <c r="C3255" i="1"/>
  <c r="D3255" i="1"/>
  <c r="C3256" i="1"/>
  <c r="D3256" i="1"/>
  <c r="C3257" i="1"/>
  <c r="D3257" i="1"/>
  <c r="C3258" i="1"/>
  <c r="D3258" i="1"/>
  <c r="C3259" i="1"/>
  <c r="D3259" i="1"/>
  <c r="C3260" i="1"/>
  <c r="D3260" i="1"/>
  <c r="C3261" i="1"/>
  <c r="D3261" i="1"/>
  <c r="C3262" i="1"/>
  <c r="D3262" i="1"/>
  <c r="C3263" i="1"/>
  <c r="D3263" i="1"/>
  <c r="C3264" i="1"/>
  <c r="D3264" i="1"/>
  <c r="C3265" i="1"/>
  <c r="D3265" i="1"/>
  <c r="C3266" i="1"/>
  <c r="D3266" i="1"/>
  <c r="C3267" i="1"/>
  <c r="D3267" i="1"/>
  <c r="C3268" i="1"/>
  <c r="D3268" i="1"/>
  <c r="C3269" i="1"/>
  <c r="D3269" i="1"/>
  <c r="C3270" i="1"/>
  <c r="D3270" i="1"/>
  <c r="C3271" i="1"/>
  <c r="D3271" i="1"/>
  <c r="C3272" i="1"/>
  <c r="D3272" i="1"/>
  <c r="C3273" i="1"/>
  <c r="D3273" i="1"/>
  <c r="C3274" i="1"/>
  <c r="D3274" i="1"/>
  <c r="C3275" i="1"/>
  <c r="D3275" i="1"/>
  <c r="C3276" i="1"/>
  <c r="D3276" i="1"/>
  <c r="C3277" i="1"/>
  <c r="D3277" i="1"/>
  <c r="C3278" i="1"/>
  <c r="D3278" i="1"/>
  <c r="C3279" i="1"/>
  <c r="D3279" i="1"/>
  <c r="C3280" i="1"/>
  <c r="D3280" i="1"/>
  <c r="C3281" i="1"/>
  <c r="D3281" i="1"/>
  <c r="C3282" i="1"/>
  <c r="D3282" i="1"/>
  <c r="C3283" i="1"/>
  <c r="D3283" i="1"/>
  <c r="C3284" i="1"/>
  <c r="D3284" i="1"/>
  <c r="C3285" i="1"/>
  <c r="D3285" i="1"/>
  <c r="C3286" i="1"/>
  <c r="D3286" i="1"/>
  <c r="C3287" i="1"/>
  <c r="D3287" i="1"/>
  <c r="C3288" i="1"/>
  <c r="D3288" i="1"/>
  <c r="C3289" i="1"/>
  <c r="D3289" i="1"/>
  <c r="C3290" i="1"/>
  <c r="D3290" i="1"/>
  <c r="C3291" i="1"/>
  <c r="D3291" i="1"/>
  <c r="C3292" i="1"/>
  <c r="D3292" i="1"/>
  <c r="C3293" i="1"/>
  <c r="D3293" i="1"/>
  <c r="C3294" i="1"/>
  <c r="D3294" i="1"/>
  <c r="C3295" i="1"/>
  <c r="D3295" i="1"/>
  <c r="C3296" i="1"/>
  <c r="D3296" i="1"/>
  <c r="C3297" i="1"/>
  <c r="D3297" i="1"/>
  <c r="C3298" i="1"/>
  <c r="D3298" i="1"/>
  <c r="C3299" i="1"/>
  <c r="D3299" i="1"/>
  <c r="C3300" i="1"/>
  <c r="D3300" i="1"/>
  <c r="C3301" i="1"/>
  <c r="D3301" i="1"/>
  <c r="C3302" i="1"/>
  <c r="D3302" i="1"/>
  <c r="C3303" i="1"/>
  <c r="D3303" i="1"/>
  <c r="C3304" i="1"/>
  <c r="D3304" i="1"/>
  <c r="C3305" i="1"/>
  <c r="D3305" i="1"/>
  <c r="C3306" i="1"/>
  <c r="D3306" i="1"/>
  <c r="C3307" i="1"/>
  <c r="D3307" i="1"/>
  <c r="C3308" i="1"/>
  <c r="D3308" i="1"/>
  <c r="C3309" i="1"/>
  <c r="D3309" i="1"/>
  <c r="C3310" i="1"/>
  <c r="D3310" i="1"/>
  <c r="C3311" i="1"/>
  <c r="D3311" i="1"/>
  <c r="C3312" i="1"/>
  <c r="D3312" i="1"/>
  <c r="C3313" i="1"/>
  <c r="D3313" i="1"/>
  <c r="C3314" i="1"/>
  <c r="D3314" i="1"/>
  <c r="C3315" i="1"/>
  <c r="D3315" i="1"/>
  <c r="C3316" i="1"/>
  <c r="D3316" i="1"/>
  <c r="C3317" i="1"/>
  <c r="D3317" i="1"/>
  <c r="C3318" i="1"/>
  <c r="D3318" i="1"/>
  <c r="C3319" i="1"/>
  <c r="D3319" i="1"/>
  <c r="C3320" i="1"/>
  <c r="D3320" i="1"/>
  <c r="C3321" i="1"/>
  <c r="D3321" i="1"/>
  <c r="C3322" i="1"/>
  <c r="D3322" i="1"/>
  <c r="C3323" i="1"/>
  <c r="D3323" i="1"/>
  <c r="C3324" i="1"/>
  <c r="D3324" i="1"/>
  <c r="C3325" i="1"/>
  <c r="D3325" i="1"/>
  <c r="C3326" i="1"/>
  <c r="D3326" i="1"/>
  <c r="C3327" i="1"/>
  <c r="D3327" i="1"/>
  <c r="C3328" i="1"/>
  <c r="D3328" i="1"/>
  <c r="C3329" i="1"/>
  <c r="D3329" i="1"/>
  <c r="C3330" i="1"/>
  <c r="D3330" i="1"/>
  <c r="C3331" i="1"/>
  <c r="D3331" i="1"/>
  <c r="C3332" i="1"/>
  <c r="D3332" i="1"/>
  <c r="C3333" i="1"/>
  <c r="D3333" i="1"/>
  <c r="C3334" i="1"/>
  <c r="D3334" i="1"/>
  <c r="C3335" i="1"/>
  <c r="D3335" i="1"/>
  <c r="C3336" i="1"/>
  <c r="D3336" i="1"/>
  <c r="C3337" i="1"/>
  <c r="D3337" i="1"/>
  <c r="C3338" i="1"/>
  <c r="D3338" i="1"/>
  <c r="C3339" i="1"/>
  <c r="D3339" i="1"/>
  <c r="C3340" i="1"/>
  <c r="D3340" i="1"/>
  <c r="C3341" i="1"/>
  <c r="D3341" i="1"/>
  <c r="C3342" i="1"/>
  <c r="D3342" i="1"/>
  <c r="C3343" i="1"/>
  <c r="D3343" i="1"/>
  <c r="C3344" i="1"/>
  <c r="D3344" i="1"/>
  <c r="C3345" i="1"/>
  <c r="D3345" i="1"/>
  <c r="C3346" i="1"/>
  <c r="D3346" i="1"/>
  <c r="C3347" i="1"/>
  <c r="D3347" i="1"/>
  <c r="C3348" i="1"/>
  <c r="D3348" i="1"/>
  <c r="C3349" i="1"/>
  <c r="D3349" i="1"/>
  <c r="C3350" i="1"/>
  <c r="D3350" i="1"/>
  <c r="C3351" i="1"/>
  <c r="D3351" i="1"/>
  <c r="C3352" i="1"/>
  <c r="D3352" i="1"/>
  <c r="C3353" i="1"/>
  <c r="D3353" i="1"/>
  <c r="C3354" i="1"/>
  <c r="D3354" i="1"/>
  <c r="C3355" i="1"/>
  <c r="D3355" i="1"/>
  <c r="C3356" i="1"/>
  <c r="D3356" i="1"/>
  <c r="C3357" i="1"/>
  <c r="D3357" i="1"/>
  <c r="C3358" i="1"/>
  <c r="D3358" i="1"/>
  <c r="C3359" i="1"/>
  <c r="D3359" i="1"/>
  <c r="C3360" i="1"/>
  <c r="D3360" i="1"/>
  <c r="C3361" i="1"/>
  <c r="D3361" i="1"/>
  <c r="C3362" i="1"/>
  <c r="D3362" i="1"/>
  <c r="C3363" i="1"/>
  <c r="D3363" i="1"/>
  <c r="C3364" i="1"/>
  <c r="D3364" i="1"/>
  <c r="C3365" i="1"/>
  <c r="D3365" i="1"/>
  <c r="C3366" i="1"/>
  <c r="D3366" i="1"/>
  <c r="C3367" i="1"/>
  <c r="D3367" i="1"/>
  <c r="C3368" i="1"/>
  <c r="D3368" i="1"/>
  <c r="C3369" i="1"/>
  <c r="D3369" i="1"/>
  <c r="C3370" i="1"/>
  <c r="D3370" i="1"/>
  <c r="C3371" i="1"/>
  <c r="D3371" i="1"/>
  <c r="C3372" i="1"/>
  <c r="D3372" i="1"/>
  <c r="C3373" i="1"/>
  <c r="D3373" i="1"/>
  <c r="C3374" i="1"/>
  <c r="D3374" i="1"/>
  <c r="C3375" i="1"/>
  <c r="D3375" i="1"/>
  <c r="C3376" i="1"/>
  <c r="D3376" i="1"/>
  <c r="C3377" i="1"/>
  <c r="D3377" i="1"/>
  <c r="C3378" i="1"/>
  <c r="D3378" i="1"/>
  <c r="C3379" i="1"/>
  <c r="D3379" i="1"/>
  <c r="C3380" i="1"/>
  <c r="D3380" i="1"/>
  <c r="C3381" i="1"/>
  <c r="D3381" i="1"/>
  <c r="C3382" i="1"/>
  <c r="D3382" i="1"/>
  <c r="C3383" i="1"/>
  <c r="D3383" i="1"/>
  <c r="C3384" i="1"/>
  <c r="D3384" i="1"/>
  <c r="C3385" i="1"/>
  <c r="D3385" i="1"/>
  <c r="C3386" i="1"/>
  <c r="D3386" i="1"/>
  <c r="C3387" i="1"/>
  <c r="D3387" i="1"/>
  <c r="C3388" i="1"/>
  <c r="D3388" i="1"/>
  <c r="C3389" i="1"/>
  <c r="D3389" i="1"/>
  <c r="C3390" i="1"/>
  <c r="D3390" i="1"/>
  <c r="C3391" i="1"/>
  <c r="D3391" i="1"/>
  <c r="C3392" i="1"/>
  <c r="D3392" i="1"/>
  <c r="C3393" i="1"/>
  <c r="D3393" i="1"/>
  <c r="C3394" i="1"/>
  <c r="D3394" i="1"/>
  <c r="C3395" i="1"/>
  <c r="D3395" i="1"/>
  <c r="C3396" i="1"/>
  <c r="D3396" i="1"/>
  <c r="C3397" i="1"/>
  <c r="D3397" i="1"/>
  <c r="C3398" i="1"/>
  <c r="D3398" i="1"/>
  <c r="C3399" i="1"/>
  <c r="D3399" i="1"/>
  <c r="C3400" i="1"/>
  <c r="D3400" i="1"/>
  <c r="C3401" i="1"/>
  <c r="D3401" i="1"/>
  <c r="C3402" i="1"/>
  <c r="D3402" i="1"/>
  <c r="C3403" i="1"/>
  <c r="D3403" i="1"/>
  <c r="C3404" i="1"/>
  <c r="D3404" i="1"/>
  <c r="C3405" i="1"/>
  <c r="D3405" i="1"/>
  <c r="C3406" i="1"/>
  <c r="D3406" i="1"/>
  <c r="C3407" i="1"/>
  <c r="D3407" i="1"/>
  <c r="C3408" i="1"/>
  <c r="D3408" i="1"/>
  <c r="C3409" i="1"/>
  <c r="D3409" i="1"/>
  <c r="C3410" i="1"/>
  <c r="D3410" i="1"/>
  <c r="C3411" i="1"/>
  <c r="D3411" i="1"/>
  <c r="C3412" i="1"/>
  <c r="D3412" i="1"/>
  <c r="C3413" i="1"/>
  <c r="D3413" i="1"/>
  <c r="C3414" i="1"/>
  <c r="D3414" i="1"/>
  <c r="C3415" i="1"/>
  <c r="D3415" i="1"/>
  <c r="C3416" i="1"/>
  <c r="D3416" i="1"/>
  <c r="C3417" i="1"/>
  <c r="D3417" i="1"/>
  <c r="C3418" i="1"/>
  <c r="D3418" i="1"/>
  <c r="C3419" i="1"/>
  <c r="D3419" i="1"/>
  <c r="C3420" i="1"/>
  <c r="D3420" i="1"/>
  <c r="C3421" i="1"/>
  <c r="D3421" i="1"/>
  <c r="C3422" i="1"/>
  <c r="D3422" i="1"/>
  <c r="C3423" i="1"/>
  <c r="D3423" i="1"/>
  <c r="C3424" i="1"/>
  <c r="D3424" i="1"/>
  <c r="C3425" i="1"/>
  <c r="D3425" i="1"/>
  <c r="C3426" i="1"/>
  <c r="D3426" i="1"/>
  <c r="C3427" i="1"/>
  <c r="D3427" i="1"/>
  <c r="C3428" i="1"/>
  <c r="D3428" i="1"/>
  <c r="C3429" i="1"/>
  <c r="D3429" i="1"/>
  <c r="C3430" i="1"/>
  <c r="D3430" i="1"/>
  <c r="C3431" i="1"/>
  <c r="D3431" i="1"/>
  <c r="C3432" i="1"/>
  <c r="D3432" i="1"/>
  <c r="C3433" i="1"/>
  <c r="D3433" i="1"/>
  <c r="C3434" i="1"/>
  <c r="D3434" i="1"/>
  <c r="C3435" i="1"/>
  <c r="D3435" i="1"/>
  <c r="C3436" i="1"/>
  <c r="D3436" i="1"/>
  <c r="C3437" i="1"/>
  <c r="D3437" i="1"/>
  <c r="C3438" i="1"/>
  <c r="D3438" i="1"/>
  <c r="C3439" i="1"/>
  <c r="D3439" i="1"/>
  <c r="C3440" i="1"/>
  <c r="D3440" i="1"/>
  <c r="C3441" i="1"/>
  <c r="D3441" i="1"/>
  <c r="C3442" i="1"/>
  <c r="D3442" i="1"/>
  <c r="C3443" i="1"/>
  <c r="D3443" i="1"/>
  <c r="C3444" i="1"/>
  <c r="D3444" i="1"/>
  <c r="C3445" i="1"/>
  <c r="D3445" i="1"/>
  <c r="C3446" i="1"/>
  <c r="D3446" i="1"/>
  <c r="C3447" i="1"/>
  <c r="D3447" i="1"/>
  <c r="C3448" i="1"/>
  <c r="D3448" i="1"/>
  <c r="C3449" i="1"/>
  <c r="D3449" i="1"/>
  <c r="C3450" i="1"/>
  <c r="D3450" i="1"/>
  <c r="C3451" i="1"/>
  <c r="D3451" i="1"/>
  <c r="C3452" i="1"/>
  <c r="D3452" i="1"/>
  <c r="C3453" i="1"/>
  <c r="D3453" i="1"/>
  <c r="C3454" i="1"/>
  <c r="D3454" i="1"/>
  <c r="C3455" i="1"/>
  <c r="D3455" i="1"/>
  <c r="C3456" i="1"/>
  <c r="D3456" i="1"/>
  <c r="C3457" i="1"/>
  <c r="D3457" i="1"/>
  <c r="C3458" i="1"/>
  <c r="D3458" i="1"/>
  <c r="C3459" i="1"/>
  <c r="D3459" i="1"/>
  <c r="C3460" i="1"/>
  <c r="D3460" i="1"/>
  <c r="C3461" i="1"/>
  <c r="D3461" i="1"/>
  <c r="C3462" i="1"/>
  <c r="D3462" i="1"/>
  <c r="C3463" i="1"/>
  <c r="D3463" i="1"/>
  <c r="C3464" i="1"/>
  <c r="D3464" i="1"/>
  <c r="C3465" i="1"/>
  <c r="D3465" i="1"/>
  <c r="C3466" i="1"/>
  <c r="D3466" i="1"/>
  <c r="C3467" i="1"/>
  <c r="D3467" i="1"/>
  <c r="C3468" i="1"/>
  <c r="D3468" i="1"/>
  <c r="C3469" i="1"/>
  <c r="D3469" i="1"/>
  <c r="C3470" i="1"/>
  <c r="D3470" i="1"/>
  <c r="C3471" i="1"/>
  <c r="D3471" i="1"/>
  <c r="C3472" i="1"/>
  <c r="D3472" i="1"/>
  <c r="C3473" i="1"/>
  <c r="D3473" i="1"/>
  <c r="C3474" i="1"/>
  <c r="D3474" i="1"/>
  <c r="C3475" i="1"/>
  <c r="D3475" i="1"/>
  <c r="C3476" i="1"/>
  <c r="D3476" i="1"/>
  <c r="C3477" i="1"/>
  <c r="D3477" i="1"/>
  <c r="C3478" i="1"/>
  <c r="D3478" i="1"/>
  <c r="C3479" i="1"/>
  <c r="D3479" i="1"/>
  <c r="C3480" i="1"/>
  <c r="D3480" i="1"/>
  <c r="C3481" i="1"/>
  <c r="D3481" i="1"/>
  <c r="C3482" i="1"/>
  <c r="D3482" i="1"/>
  <c r="C3483" i="1"/>
  <c r="D3483" i="1"/>
  <c r="C3484" i="1"/>
  <c r="D3484" i="1"/>
  <c r="C3485" i="1"/>
  <c r="D3485" i="1"/>
  <c r="C3486" i="1"/>
  <c r="D3486" i="1"/>
  <c r="C3487" i="1"/>
  <c r="D3487" i="1"/>
  <c r="C3488" i="1"/>
  <c r="D3488" i="1"/>
  <c r="C3489" i="1"/>
  <c r="D3489" i="1"/>
  <c r="C3490" i="1"/>
  <c r="D3490" i="1"/>
  <c r="C3491" i="1"/>
  <c r="D3491" i="1"/>
  <c r="C3492" i="1"/>
  <c r="D3492" i="1"/>
  <c r="C3493" i="1"/>
  <c r="D3493" i="1"/>
  <c r="C3494" i="1"/>
  <c r="D3494" i="1"/>
  <c r="C3495" i="1"/>
  <c r="D3495" i="1"/>
  <c r="C3496" i="1"/>
  <c r="D3496" i="1"/>
  <c r="C3497" i="1"/>
  <c r="D3497" i="1"/>
  <c r="C3498" i="1"/>
  <c r="D3498" i="1"/>
  <c r="C3499" i="1"/>
  <c r="D3499" i="1"/>
  <c r="C3500" i="1"/>
  <c r="D3500" i="1"/>
  <c r="C3501" i="1"/>
  <c r="D3501" i="1"/>
  <c r="C3502" i="1"/>
  <c r="D3502" i="1"/>
  <c r="C3503" i="1"/>
  <c r="D3503" i="1"/>
  <c r="C3504" i="1"/>
  <c r="D3504" i="1"/>
  <c r="C3505" i="1"/>
  <c r="D3505" i="1"/>
  <c r="C3506" i="1"/>
  <c r="D3506" i="1"/>
  <c r="C3507" i="1"/>
  <c r="D3507" i="1"/>
  <c r="C3508" i="1"/>
  <c r="D3508" i="1"/>
  <c r="C3509" i="1"/>
  <c r="D3509" i="1"/>
  <c r="C3510" i="1"/>
  <c r="D3510" i="1"/>
  <c r="C3511" i="1"/>
  <c r="D3511" i="1"/>
  <c r="C3512" i="1"/>
  <c r="D3512" i="1"/>
  <c r="C3513" i="1"/>
  <c r="D3513" i="1"/>
  <c r="C3514" i="1"/>
  <c r="D3514" i="1"/>
  <c r="C3515" i="1"/>
  <c r="D3515" i="1"/>
  <c r="C3516" i="1"/>
  <c r="D3516" i="1"/>
  <c r="C3517" i="1"/>
  <c r="D3517" i="1"/>
  <c r="C3518" i="1"/>
  <c r="D3518" i="1"/>
  <c r="C3519" i="1"/>
  <c r="D3519" i="1"/>
  <c r="C3520" i="1"/>
  <c r="D3520" i="1"/>
  <c r="C3521" i="1"/>
  <c r="D3521" i="1"/>
  <c r="C3522" i="1"/>
  <c r="D3522" i="1"/>
  <c r="C3523" i="1"/>
  <c r="D3523" i="1"/>
  <c r="C3524" i="1"/>
  <c r="D3524" i="1"/>
  <c r="C3525" i="1"/>
  <c r="D3525" i="1"/>
  <c r="C3526" i="1"/>
  <c r="D3526" i="1"/>
  <c r="C3527" i="1"/>
  <c r="D3527" i="1"/>
  <c r="C3528" i="1"/>
  <c r="D3528" i="1"/>
  <c r="C3529" i="1"/>
  <c r="D3529" i="1"/>
  <c r="C3530" i="1"/>
  <c r="D3530" i="1"/>
  <c r="C3531" i="1"/>
  <c r="D3531" i="1"/>
  <c r="C3532" i="1"/>
  <c r="D3532" i="1"/>
  <c r="C3533" i="1"/>
  <c r="D3533" i="1"/>
  <c r="C3534" i="1"/>
  <c r="D3534" i="1"/>
  <c r="C3535" i="1"/>
  <c r="D3535" i="1"/>
  <c r="C3536" i="1"/>
  <c r="D3536" i="1"/>
  <c r="C3537" i="1"/>
  <c r="D3537" i="1"/>
  <c r="C3538" i="1"/>
  <c r="D3538" i="1"/>
  <c r="C3539" i="1"/>
  <c r="D3539" i="1"/>
  <c r="C3540" i="1"/>
  <c r="D3540" i="1"/>
  <c r="C3541" i="1"/>
  <c r="D3541" i="1"/>
  <c r="C3542" i="1"/>
  <c r="D3542" i="1"/>
  <c r="C3543" i="1"/>
  <c r="D3543" i="1"/>
  <c r="C3544" i="1"/>
  <c r="D3544" i="1"/>
  <c r="C3545" i="1"/>
  <c r="D3545" i="1"/>
  <c r="C3546" i="1"/>
  <c r="D3546" i="1"/>
  <c r="C3547" i="1"/>
  <c r="D3547" i="1"/>
  <c r="C3548" i="1"/>
  <c r="D3548" i="1"/>
  <c r="C3549" i="1"/>
  <c r="D3549" i="1"/>
  <c r="C3550" i="1"/>
  <c r="D3550" i="1"/>
  <c r="C3551" i="1"/>
  <c r="D3551" i="1"/>
  <c r="C3552" i="1"/>
  <c r="D3552" i="1"/>
  <c r="C3553" i="1"/>
  <c r="D3553" i="1"/>
  <c r="C3554" i="1"/>
  <c r="D3554" i="1"/>
  <c r="C3555" i="1"/>
  <c r="D3555" i="1"/>
  <c r="C3556" i="1"/>
  <c r="D3556" i="1"/>
  <c r="C3557" i="1"/>
  <c r="D3557" i="1"/>
  <c r="C3558" i="1"/>
  <c r="D3558" i="1"/>
  <c r="C3559" i="1"/>
  <c r="D3559" i="1"/>
  <c r="C3560" i="1"/>
  <c r="D3560" i="1"/>
  <c r="C3561" i="1"/>
  <c r="D3561" i="1"/>
  <c r="C3562" i="1"/>
  <c r="D3562" i="1"/>
  <c r="C3563" i="1"/>
  <c r="D3563" i="1"/>
  <c r="C3564" i="1"/>
  <c r="D3564" i="1"/>
  <c r="C3565" i="1"/>
  <c r="D3565" i="1"/>
  <c r="C3566" i="1"/>
  <c r="D3566" i="1"/>
  <c r="C3567" i="1"/>
  <c r="D3567" i="1"/>
  <c r="C3568" i="1"/>
  <c r="D3568" i="1"/>
  <c r="C3569" i="1"/>
  <c r="D3569" i="1"/>
  <c r="C3570" i="1"/>
  <c r="D3570" i="1"/>
  <c r="C3571" i="1"/>
  <c r="D3571" i="1"/>
  <c r="C3572" i="1"/>
  <c r="D3572" i="1"/>
  <c r="C3573" i="1"/>
  <c r="D3573" i="1"/>
  <c r="C3574" i="1"/>
  <c r="D3574" i="1"/>
  <c r="C3575" i="1"/>
  <c r="D3575" i="1"/>
  <c r="C3576" i="1"/>
  <c r="D3576" i="1"/>
  <c r="C3577" i="1"/>
  <c r="D3577" i="1"/>
  <c r="C3578" i="1"/>
  <c r="D3578" i="1"/>
  <c r="C3579" i="1"/>
  <c r="D3579" i="1"/>
  <c r="C3580" i="1"/>
  <c r="D3580" i="1"/>
  <c r="C3581" i="1"/>
  <c r="D3581" i="1"/>
  <c r="C3582" i="1"/>
  <c r="D3582" i="1"/>
  <c r="C3583" i="1"/>
  <c r="D3583" i="1"/>
  <c r="C3584" i="1"/>
  <c r="D3584" i="1"/>
  <c r="C3585" i="1"/>
  <c r="D3585" i="1"/>
  <c r="C3586" i="1"/>
  <c r="D3586" i="1"/>
  <c r="C3587" i="1"/>
  <c r="D3587" i="1"/>
  <c r="C3588" i="1"/>
  <c r="D3588" i="1"/>
  <c r="C3589" i="1"/>
  <c r="D3589" i="1"/>
  <c r="C3590" i="1"/>
  <c r="D3590" i="1"/>
  <c r="C3591" i="1"/>
  <c r="D3591" i="1"/>
  <c r="C3592" i="1"/>
  <c r="D3592" i="1"/>
  <c r="C3593" i="1"/>
  <c r="D3593" i="1"/>
  <c r="C3594" i="1"/>
  <c r="D3594" i="1"/>
  <c r="C3595" i="1"/>
  <c r="D3595" i="1"/>
  <c r="C3596" i="1"/>
  <c r="D3596" i="1"/>
  <c r="C3597" i="1"/>
  <c r="D3597" i="1"/>
  <c r="C3598" i="1"/>
  <c r="D3598" i="1"/>
  <c r="C3599" i="1"/>
  <c r="D3599" i="1"/>
  <c r="C3600" i="1"/>
  <c r="D3600" i="1"/>
  <c r="C3601" i="1"/>
  <c r="D3601" i="1"/>
  <c r="C3602" i="1"/>
  <c r="D3602" i="1"/>
  <c r="C3603" i="1"/>
  <c r="D3603" i="1"/>
  <c r="C3604" i="1"/>
  <c r="D3604" i="1"/>
  <c r="C3605" i="1"/>
  <c r="D3605" i="1"/>
  <c r="C3606" i="1"/>
  <c r="D3606" i="1"/>
  <c r="C3607" i="1"/>
  <c r="D3607" i="1"/>
  <c r="C3608" i="1"/>
  <c r="D3608" i="1"/>
  <c r="C3609" i="1"/>
  <c r="D3609" i="1"/>
  <c r="C3610" i="1"/>
  <c r="D3610" i="1"/>
  <c r="C3611" i="1"/>
  <c r="D3611" i="1"/>
  <c r="C3612" i="1"/>
  <c r="D3612" i="1"/>
  <c r="C3613" i="1"/>
  <c r="D3613" i="1"/>
  <c r="C3614" i="1"/>
  <c r="D3614" i="1"/>
  <c r="C3615" i="1"/>
  <c r="D3615" i="1"/>
  <c r="C3616" i="1"/>
  <c r="D3616" i="1"/>
  <c r="C3617" i="1"/>
  <c r="D3617" i="1"/>
  <c r="C3618" i="1"/>
  <c r="D3618" i="1"/>
  <c r="C3619" i="1"/>
  <c r="D3619" i="1"/>
  <c r="C3620" i="1"/>
  <c r="D3620" i="1"/>
  <c r="C3621" i="1"/>
  <c r="D3621" i="1"/>
  <c r="C3622" i="1"/>
  <c r="D3622" i="1"/>
  <c r="C3623" i="1"/>
  <c r="D3623" i="1"/>
  <c r="C3624" i="1"/>
  <c r="D3624" i="1"/>
  <c r="C3625" i="1"/>
  <c r="D3625" i="1"/>
  <c r="C3626" i="1"/>
  <c r="D3626" i="1"/>
  <c r="C3627" i="1"/>
  <c r="D3627" i="1"/>
  <c r="C3628" i="1"/>
  <c r="D3628" i="1"/>
  <c r="C3629" i="1"/>
  <c r="D3629" i="1"/>
  <c r="C3630" i="1"/>
  <c r="D3630" i="1"/>
  <c r="C3631" i="1"/>
  <c r="D3631" i="1"/>
  <c r="C3632" i="1"/>
  <c r="D3632" i="1"/>
  <c r="C3633" i="1"/>
  <c r="D3633" i="1"/>
  <c r="C3634" i="1"/>
  <c r="D3634" i="1"/>
  <c r="C3635" i="1"/>
  <c r="D3635" i="1"/>
  <c r="C3636" i="1"/>
  <c r="D3636" i="1"/>
  <c r="C3637" i="1"/>
  <c r="D3637" i="1"/>
  <c r="C3638" i="1"/>
  <c r="D3638" i="1"/>
  <c r="C3639" i="1"/>
  <c r="D3639" i="1"/>
  <c r="C3640" i="1"/>
  <c r="D3640" i="1"/>
  <c r="C3641" i="1"/>
  <c r="D3641" i="1"/>
  <c r="C3642" i="1"/>
  <c r="D3642" i="1"/>
  <c r="C3643" i="1"/>
  <c r="D3643" i="1"/>
  <c r="C3644" i="1"/>
  <c r="D3644" i="1"/>
  <c r="C3645" i="1"/>
  <c r="D3645" i="1"/>
  <c r="C3646" i="1"/>
  <c r="D3646" i="1"/>
  <c r="C3647" i="1"/>
  <c r="D3647" i="1"/>
  <c r="C3648" i="1"/>
  <c r="D3648" i="1"/>
  <c r="C3649" i="1"/>
  <c r="D3649" i="1"/>
  <c r="C3650" i="1"/>
  <c r="D3650" i="1"/>
  <c r="C3651" i="1"/>
  <c r="D3651" i="1"/>
  <c r="C3652" i="1"/>
  <c r="D3652" i="1"/>
  <c r="C3653" i="1"/>
  <c r="D3653" i="1"/>
  <c r="C3654" i="1"/>
  <c r="D3654" i="1"/>
  <c r="C3655" i="1"/>
  <c r="D3655" i="1"/>
  <c r="C3656" i="1"/>
  <c r="D3656" i="1"/>
  <c r="C3657" i="1"/>
  <c r="D3657" i="1"/>
  <c r="C3658" i="1"/>
  <c r="D3658" i="1"/>
  <c r="C3659" i="1"/>
  <c r="D3659" i="1"/>
  <c r="C3660" i="1"/>
  <c r="D3660" i="1"/>
  <c r="C3661" i="1"/>
  <c r="D3661" i="1"/>
  <c r="C3662" i="1"/>
  <c r="D3662" i="1"/>
  <c r="C3663" i="1"/>
  <c r="D3663" i="1"/>
  <c r="C3664" i="1"/>
  <c r="D3664" i="1"/>
  <c r="C3665" i="1"/>
  <c r="D3665" i="1"/>
  <c r="C3666" i="1"/>
  <c r="D3666" i="1"/>
  <c r="C3667" i="1"/>
  <c r="D3667" i="1"/>
  <c r="C3668" i="1"/>
  <c r="D3668" i="1"/>
  <c r="C3669" i="1"/>
  <c r="D3669" i="1"/>
  <c r="C3670" i="1"/>
  <c r="D3670" i="1"/>
  <c r="C3671" i="1"/>
  <c r="D3671" i="1"/>
  <c r="C3672" i="1"/>
  <c r="D3672" i="1"/>
  <c r="C3673" i="1"/>
  <c r="D3673" i="1"/>
  <c r="C3674" i="1"/>
  <c r="D3674" i="1"/>
  <c r="C3675" i="1"/>
  <c r="D3675" i="1"/>
  <c r="C3676" i="1"/>
  <c r="D3676" i="1"/>
  <c r="C3677" i="1"/>
  <c r="D3677" i="1"/>
  <c r="C3678" i="1"/>
  <c r="D3678" i="1"/>
  <c r="C3679" i="1"/>
  <c r="D3679" i="1"/>
  <c r="C3680" i="1"/>
  <c r="D3680" i="1"/>
  <c r="C3681" i="1"/>
  <c r="D3681" i="1"/>
  <c r="C3682" i="1"/>
  <c r="D3682" i="1"/>
  <c r="C3683" i="1"/>
  <c r="D3683" i="1"/>
  <c r="C3684" i="1"/>
  <c r="D3684" i="1"/>
  <c r="C3685" i="1"/>
  <c r="D3685" i="1"/>
  <c r="C3686" i="1"/>
  <c r="D3686" i="1"/>
  <c r="C3687" i="1"/>
  <c r="D3687" i="1"/>
  <c r="C3688" i="1"/>
  <c r="D3688" i="1"/>
  <c r="C3689" i="1"/>
  <c r="D3689" i="1"/>
  <c r="C3690" i="1"/>
  <c r="D3690" i="1"/>
  <c r="C3691" i="1"/>
  <c r="D3691" i="1"/>
  <c r="C3692" i="1"/>
  <c r="D3692" i="1"/>
  <c r="C3693" i="1"/>
  <c r="D3693" i="1"/>
  <c r="C3694" i="1"/>
  <c r="D3694" i="1"/>
  <c r="C3695" i="1"/>
  <c r="D3695" i="1"/>
  <c r="C3696" i="1"/>
  <c r="D3696" i="1"/>
  <c r="C3697" i="1"/>
  <c r="D3697" i="1"/>
  <c r="C3698" i="1"/>
  <c r="D3698" i="1"/>
  <c r="C3699" i="1"/>
  <c r="D3699" i="1"/>
  <c r="C3700" i="1"/>
  <c r="D3700" i="1"/>
  <c r="C3701" i="1"/>
  <c r="D3701" i="1"/>
  <c r="C3702" i="1"/>
  <c r="D3702" i="1"/>
  <c r="C3703" i="1"/>
  <c r="D3703" i="1"/>
  <c r="C3704" i="1"/>
  <c r="D3704" i="1"/>
  <c r="C3705" i="1"/>
  <c r="D3705" i="1"/>
  <c r="C3706" i="1"/>
  <c r="D3706" i="1"/>
  <c r="C3707" i="1"/>
  <c r="D3707" i="1"/>
  <c r="C3708" i="1"/>
  <c r="D3708" i="1"/>
  <c r="C3709" i="1"/>
  <c r="D3709" i="1"/>
  <c r="C3710" i="1"/>
  <c r="D3710" i="1"/>
  <c r="C3711" i="1"/>
  <c r="D3711" i="1"/>
  <c r="C3712" i="1"/>
  <c r="D3712" i="1"/>
  <c r="C3713" i="1"/>
  <c r="D3713" i="1"/>
  <c r="C3714" i="1"/>
  <c r="D3714" i="1"/>
  <c r="C3715" i="1"/>
  <c r="D3715" i="1"/>
  <c r="C3716" i="1"/>
  <c r="D3716" i="1"/>
  <c r="C3717" i="1"/>
  <c r="D3717" i="1"/>
  <c r="C3718" i="1"/>
  <c r="D3718" i="1"/>
  <c r="C3719" i="1"/>
  <c r="D3719" i="1"/>
  <c r="C3720" i="1"/>
  <c r="D3720" i="1"/>
  <c r="C3721" i="1"/>
  <c r="D3721" i="1"/>
  <c r="C3722" i="1"/>
  <c r="D3722" i="1"/>
  <c r="C3723" i="1"/>
  <c r="D3723" i="1"/>
  <c r="C3724" i="1"/>
  <c r="D3724" i="1"/>
  <c r="C3725" i="1"/>
  <c r="D3725" i="1"/>
  <c r="C3726" i="1"/>
  <c r="D3726" i="1"/>
  <c r="C3727" i="1"/>
  <c r="D3727" i="1"/>
  <c r="C3728" i="1"/>
  <c r="D3728" i="1"/>
  <c r="C3729" i="1"/>
  <c r="D3729" i="1"/>
  <c r="C3730" i="1"/>
  <c r="D3730" i="1"/>
  <c r="C3731" i="1"/>
  <c r="D3731" i="1"/>
  <c r="C3732" i="1"/>
  <c r="D3732" i="1"/>
  <c r="C3733" i="1"/>
  <c r="D3733" i="1"/>
  <c r="C3734" i="1"/>
  <c r="D3734" i="1"/>
  <c r="C3735" i="1"/>
  <c r="D3735" i="1"/>
  <c r="C3736" i="1"/>
  <c r="D3736" i="1"/>
  <c r="C3737" i="1"/>
  <c r="D3737" i="1"/>
  <c r="C3738" i="1"/>
  <c r="D3738" i="1"/>
  <c r="C3739" i="1"/>
  <c r="D3739" i="1"/>
  <c r="C3740" i="1"/>
  <c r="D3740" i="1"/>
  <c r="C3741" i="1"/>
  <c r="D3741" i="1"/>
  <c r="C3742" i="1"/>
  <c r="D3742" i="1"/>
  <c r="C3743" i="1"/>
  <c r="D3743" i="1"/>
  <c r="C3744" i="1"/>
  <c r="D3744" i="1"/>
  <c r="C3745" i="1"/>
  <c r="D3745" i="1"/>
  <c r="C3746" i="1"/>
  <c r="D3746" i="1"/>
  <c r="C3747" i="1"/>
  <c r="D3747" i="1"/>
  <c r="C3748" i="1"/>
  <c r="D3748" i="1"/>
  <c r="C3749" i="1"/>
  <c r="D3749" i="1"/>
  <c r="C3750" i="1"/>
  <c r="D3750" i="1"/>
  <c r="C3751" i="1"/>
  <c r="D3751" i="1"/>
  <c r="C3752" i="1"/>
  <c r="D3752" i="1"/>
  <c r="C3753" i="1"/>
  <c r="D3753" i="1"/>
  <c r="C3754" i="1"/>
  <c r="D3754" i="1"/>
  <c r="C3755" i="1"/>
  <c r="D3755" i="1"/>
  <c r="C3756" i="1"/>
  <c r="D3756" i="1"/>
  <c r="C3757" i="1"/>
  <c r="D3757" i="1"/>
  <c r="C3758" i="1"/>
  <c r="D3758" i="1"/>
  <c r="C3759" i="1"/>
  <c r="D3759" i="1"/>
  <c r="C3760" i="1"/>
  <c r="D3760" i="1"/>
  <c r="C3761" i="1"/>
  <c r="D3761" i="1"/>
  <c r="C3762" i="1"/>
  <c r="D3762" i="1"/>
  <c r="C3763" i="1"/>
  <c r="D3763" i="1"/>
  <c r="C3764" i="1"/>
  <c r="D3764" i="1"/>
  <c r="C3765" i="1"/>
  <c r="D3765" i="1"/>
  <c r="C3766" i="1"/>
  <c r="D3766" i="1"/>
  <c r="C3767" i="1"/>
  <c r="D3767" i="1"/>
  <c r="C3768" i="1"/>
  <c r="D3768" i="1"/>
  <c r="C3769" i="1"/>
  <c r="D3769" i="1"/>
  <c r="C3770" i="1"/>
  <c r="D3770" i="1"/>
  <c r="C3771" i="1"/>
  <c r="D3771" i="1"/>
  <c r="C3772" i="1"/>
  <c r="D3772" i="1"/>
  <c r="C3773" i="1"/>
  <c r="D3773" i="1"/>
  <c r="C3774" i="1"/>
  <c r="D3774" i="1"/>
  <c r="C3775" i="1"/>
  <c r="D3775" i="1"/>
  <c r="C3776" i="1"/>
  <c r="D3776" i="1"/>
  <c r="C3777" i="1"/>
  <c r="D3777" i="1"/>
  <c r="C3778" i="1"/>
  <c r="D3778" i="1"/>
  <c r="C3779" i="1"/>
  <c r="D3779" i="1"/>
  <c r="C3780" i="1"/>
  <c r="D3780" i="1"/>
  <c r="C3781" i="1"/>
  <c r="D3781" i="1"/>
  <c r="C3782" i="1"/>
  <c r="D3782" i="1"/>
  <c r="C3783" i="1"/>
  <c r="D3783" i="1"/>
  <c r="C3784" i="1"/>
  <c r="D3784" i="1"/>
  <c r="C3785" i="1"/>
  <c r="D3785" i="1"/>
  <c r="C3786" i="1"/>
  <c r="D3786" i="1"/>
  <c r="C3787" i="1"/>
  <c r="D3787" i="1"/>
  <c r="C3788" i="1"/>
  <c r="D3788" i="1"/>
  <c r="C3789" i="1"/>
  <c r="D3789" i="1"/>
  <c r="C3790" i="1"/>
  <c r="D3790" i="1"/>
  <c r="C3791" i="1"/>
  <c r="D3791" i="1"/>
  <c r="C3792" i="1"/>
  <c r="D3792" i="1"/>
  <c r="C3793" i="1"/>
  <c r="D3793" i="1"/>
  <c r="C3794" i="1"/>
  <c r="D3794" i="1"/>
  <c r="C3795" i="1"/>
  <c r="D3795" i="1"/>
  <c r="C3796" i="1"/>
  <c r="D3796" i="1"/>
  <c r="C3797" i="1"/>
  <c r="D3797" i="1"/>
  <c r="C3798" i="1"/>
  <c r="D3798" i="1"/>
  <c r="C3799" i="1"/>
  <c r="D3799" i="1"/>
  <c r="C3800" i="1"/>
  <c r="D3800" i="1"/>
  <c r="C3801" i="1"/>
  <c r="D3801" i="1"/>
  <c r="C3802" i="1"/>
  <c r="D3802" i="1"/>
  <c r="C3803" i="1"/>
  <c r="D3803" i="1"/>
  <c r="C3804" i="1"/>
  <c r="D3804" i="1"/>
  <c r="C3805" i="1"/>
  <c r="D3805" i="1"/>
  <c r="C3806" i="1"/>
  <c r="D3806" i="1"/>
  <c r="C3807" i="1"/>
  <c r="D3807" i="1"/>
  <c r="C3808" i="1"/>
  <c r="D3808" i="1"/>
  <c r="C3809" i="1"/>
  <c r="D3809" i="1"/>
  <c r="C3810" i="1"/>
  <c r="D3810" i="1"/>
  <c r="C3811" i="1"/>
  <c r="D3811" i="1"/>
  <c r="C3812" i="1"/>
  <c r="D3812" i="1"/>
  <c r="C3813" i="1"/>
  <c r="D3813" i="1"/>
  <c r="C3814" i="1"/>
  <c r="D3814" i="1"/>
  <c r="C3815" i="1"/>
  <c r="D3815" i="1"/>
  <c r="C3816" i="1"/>
  <c r="D3816" i="1"/>
  <c r="C3817" i="1"/>
  <c r="D3817" i="1"/>
  <c r="C3818" i="1"/>
  <c r="D3818" i="1"/>
  <c r="C3819" i="1"/>
  <c r="D3819" i="1"/>
  <c r="C3820" i="1"/>
  <c r="D3820" i="1"/>
  <c r="C3821" i="1"/>
  <c r="D3821" i="1"/>
  <c r="C3822" i="1"/>
  <c r="D3822" i="1"/>
  <c r="C3823" i="1"/>
  <c r="D3823" i="1"/>
  <c r="C3824" i="1"/>
  <c r="D3824" i="1"/>
  <c r="C3825" i="1"/>
  <c r="D3825" i="1"/>
  <c r="C3826" i="1"/>
  <c r="D3826" i="1"/>
  <c r="C3827" i="1"/>
  <c r="D3827" i="1"/>
  <c r="C3828" i="1"/>
  <c r="D3828" i="1"/>
  <c r="C3829" i="1"/>
  <c r="D3829" i="1"/>
  <c r="C3830" i="1"/>
  <c r="D3830" i="1"/>
  <c r="C3831" i="1"/>
  <c r="D3831" i="1"/>
  <c r="C3832" i="1"/>
  <c r="D3832" i="1"/>
  <c r="C3833" i="1"/>
  <c r="D3833" i="1"/>
  <c r="C3834" i="1"/>
  <c r="D3834" i="1"/>
  <c r="C3835" i="1"/>
  <c r="D3835" i="1"/>
  <c r="C3836" i="1"/>
  <c r="D3836" i="1"/>
  <c r="C3837" i="1"/>
  <c r="D3837" i="1"/>
  <c r="C3838" i="1"/>
  <c r="D3838" i="1"/>
  <c r="C3839" i="1"/>
  <c r="D3839" i="1"/>
  <c r="C3840" i="1"/>
  <c r="D3840" i="1"/>
  <c r="C3841" i="1"/>
  <c r="D3841" i="1"/>
  <c r="C3842" i="1"/>
  <c r="D3842" i="1"/>
  <c r="C3843" i="1"/>
  <c r="D3843" i="1"/>
  <c r="C3844" i="1"/>
  <c r="D3844" i="1"/>
  <c r="C3845" i="1"/>
  <c r="D3845" i="1"/>
  <c r="C3846" i="1"/>
  <c r="D3846" i="1"/>
  <c r="C3847" i="1"/>
  <c r="D3847" i="1"/>
  <c r="C3848" i="1"/>
  <c r="D3848" i="1"/>
  <c r="C3849" i="1"/>
  <c r="D3849" i="1"/>
  <c r="C3850" i="1"/>
  <c r="D3850" i="1"/>
  <c r="C3851" i="1"/>
  <c r="D3851" i="1"/>
  <c r="C3852" i="1"/>
  <c r="D3852" i="1"/>
  <c r="C3853" i="1"/>
  <c r="D3853" i="1"/>
  <c r="C3854" i="1"/>
  <c r="D3854" i="1"/>
  <c r="C3855" i="1"/>
  <c r="D3855" i="1"/>
  <c r="C3856" i="1"/>
  <c r="D3856" i="1"/>
  <c r="C3857" i="1"/>
  <c r="D3857" i="1"/>
  <c r="C3858" i="1"/>
  <c r="D3858" i="1"/>
  <c r="C3859" i="1"/>
  <c r="D3859" i="1"/>
  <c r="C3860" i="1"/>
  <c r="D3860" i="1"/>
  <c r="C3861" i="1"/>
  <c r="D3861" i="1"/>
  <c r="C3862" i="1"/>
  <c r="D3862" i="1"/>
  <c r="C3863" i="1"/>
  <c r="D3863" i="1"/>
  <c r="C3864" i="1"/>
  <c r="D3864" i="1"/>
  <c r="C3865" i="1"/>
  <c r="D3865" i="1"/>
  <c r="C3866" i="1"/>
  <c r="D3866" i="1"/>
  <c r="C3867" i="1"/>
  <c r="D3867" i="1"/>
  <c r="C3868" i="1"/>
  <c r="D3868" i="1"/>
  <c r="C3869" i="1"/>
  <c r="D3869" i="1"/>
  <c r="C3870" i="1"/>
  <c r="D3870" i="1"/>
  <c r="C3871" i="1"/>
  <c r="D3871" i="1"/>
  <c r="C3872" i="1"/>
  <c r="D3872" i="1"/>
  <c r="C3873" i="1"/>
  <c r="D3873" i="1"/>
  <c r="C3874" i="1"/>
  <c r="D3874" i="1"/>
  <c r="C3875" i="1"/>
  <c r="D3875" i="1"/>
  <c r="C3876" i="1"/>
  <c r="D3876" i="1"/>
  <c r="C3877" i="1"/>
  <c r="D3877" i="1"/>
  <c r="C3878" i="1"/>
  <c r="D3878" i="1"/>
  <c r="C3879" i="1"/>
  <c r="D3879" i="1"/>
  <c r="C3880" i="1"/>
  <c r="D3880" i="1"/>
  <c r="C3881" i="1"/>
  <c r="D3881" i="1"/>
  <c r="C3882" i="1"/>
  <c r="D3882" i="1"/>
  <c r="C3883" i="1"/>
  <c r="D3883" i="1"/>
  <c r="C3884" i="1"/>
  <c r="D3884" i="1"/>
  <c r="C3885" i="1"/>
  <c r="D3885" i="1"/>
  <c r="C3886" i="1"/>
  <c r="D3886" i="1"/>
  <c r="C3887" i="1"/>
  <c r="D3887" i="1"/>
  <c r="C3888" i="1"/>
  <c r="D3888" i="1"/>
  <c r="C3889" i="1"/>
  <c r="D3889" i="1"/>
  <c r="C3890" i="1"/>
  <c r="D3890" i="1"/>
  <c r="C3891" i="1"/>
  <c r="D3891" i="1"/>
  <c r="C3892" i="1"/>
  <c r="D3892" i="1"/>
  <c r="C3893" i="1"/>
  <c r="D3893" i="1"/>
  <c r="C3894" i="1"/>
  <c r="D3894" i="1"/>
  <c r="C3895" i="1"/>
  <c r="D3895" i="1"/>
  <c r="C3896" i="1"/>
  <c r="D3896" i="1"/>
  <c r="C3897" i="1"/>
  <c r="D3897" i="1"/>
  <c r="C3898" i="1"/>
  <c r="D3898" i="1"/>
  <c r="C3899" i="1"/>
  <c r="D3899" i="1"/>
  <c r="C3900" i="1"/>
  <c r="D3900" i="1"/>
  <c r="C3901" i="1"/>
  <c r="D3901" i="1"/>
  <c r="C3902" i="1"/>
  <c r="D3902" i="1"/>
  <c r="C3903" i="1"/>
  <c r="D3903" i="1"/>
  <c r="C3904" i="1"/>
  <c r="D3904" i="1"/>
  <c r="C3905" i="1"/>
  <c r="D3905" i="1"/>
  <c r="C3906" i="1"/>
  <c r="D3906" i="1"/>
  <c r="C3907" i="1"/>
  <c r="D3907" i="1"/>
  <c r="C3908" i="1"/>
  <c r="D3908" i="1"/>
  <c r="C3909" i="1"/>
  <c r="D3909" i="1"/>
  <c r="C3910" i="1"/>
  <c r="D3910" i="1"/>
  <c r="C3911" i="1"/>
  <c r="D3911" i="1"/>
  <c r="C3912" i="1"/>
  <c r="D3912" i="1"/>
  <c r="C3913" i="1"/>
  <c r="D3913" i="1"/>
  <c r="C3914" i="1"/>
  <c r="D3914" i="1"/>
  <c r="C3915" i="1"/>
  <c r="D3915" i="1"/>
  <c r="C3916" i="1"/>
  <c r="D3916" i="1"/>
  <c r="C3917" i="1"/>
  <c r="D3917" i="1"/>
  <c r="C3918" i="1"/>
  <c r="D3918" i="1"/>
  <c r="C3919" i="1"/>
  <c r="D3919" i="1"/>
  <c r="C3920" i="1"/>
  <c r="D3920" i="1"/>
  <c r="C3921" i="1"/>
  <c r="D3921" i="1"/>
  <c r="C3922" i="1"/>
  <c r="D3922" i="1"/>
  <c r="C3923" i="1"/>
  <c r="D3923" i="1"/>
  <c r="C3924" i="1"/>
  <c r="D3924" i="1"/>
  <c r="C3925" i="1"/>
  <c r="D3925" i="1"/>
  <c r="C3926" i="1"/>
  <c r="D3926" i="1"/>
  <c r="C3927" i="1"/>
  <c r="D3927" i="1"/>
  <c r="C3928" i="1"/>
  <c r="D3928" i="1"/>
  <c r="C3929" i="1"/>
  <c r="D3929" i="1"/>
  <c r="C3930" i="1"/>
  <c r="D3930" i="1"/>
  <c r="C3931" i="1"/>
  <c r="D3931" i="1"/>
  <c r="C3932" i="1"/>
  <c r="D3932" i="1"/>
  <c r="C3933" i="1"/>
  <c r="D3933" i="1"/>
  <c r="C3934" i="1"/>
  <c r="D3934" i="1"/>
  <c r="C3935" i="1"/>
  <c r="D3935" i="1"/>
  <c r="C3936" i="1"/>
  <c r="D3936" i="1"/>
  <c r="C3937" i="1"/>
  <c r="D3937" i="1"/>
  <c r="C3938" i="1"/>
  <c r="D3938" i="1"/>
  <c r="C3939" i="1"/>
  <c r="D3939" i="1"/>
  <c r="C3940" i="1"/>
  <c r="D3940" i="1"/>
  <c r="C3941" i="1"/>
  <c r="D3941" i="1"/>
  <c r="C3942" i="1"/>
  <c r="D3942" i="1"/>
  <c r="C3943" i="1"/>
  <c r="D3943" i="1"/>
  <c r="C3944" i="1"/>
  <c r="D3944" i="1"/>
  <c r="C3945" i="1"/>
  <c r="D3945" i="1"/>
  <c r="C3946" i="1"/>
  <c r="D3946" i="1"/>
  <c r="C3947" i="1"/>
  <c r="D3947" i="1"/>
  <c r="C3948" i="1"/>
  <c r="D3948" i="1"/>
  <c r="C3949" i="1"/>
  <c r="D3949" i="1"/>
  <c r="C3950" i="1"/>
  <c r="D3950" i="1"/>
  <c r="C3951" i="1"/>
  <c r="D3951" i="1"/>
  <c r="C3952" i="1"/>
  <c r="D3952" i="1"/>
  <c r="C3953" i="1"/>
  <c r="D3953" i="1"/>
  <c r="C3954" i="1"/>
  <c r="D3954" i="1"/>
  <c r="C3955" i="1"/>
  <c r="D3955" i="1"/>
  <c r="C3956" i="1"/>
  <c r="D3956" i="1"/>
  <c r="C3957" i="1"/>
  <c r="D3957" i="1"/>
  <c r="C3958" i="1"/>
  <c r="D3958" i="1"/>
  <c r="C3959" i="1"/>
  <c r="D3959" i="1"/>
  <c r="C3960" i="1"/>
  <c r="D3960" i="1"/>
  <c r="C3961" i="1"/>
  <c r="D3961" i="1"/>
  <c r="C3962" i="1"/>
  <c r="D3962" i="1"/>
  <c r="C3963" i="1"/>
  <c r="D3963" i="1"/>
  <c r="C3964" i="1"/>
  <c r="D3964" i="1"/>
  <c r="C3965" i="1"/>
  <c r="D3965" i="1"/>
  <c r="C3966" i="1"/>
  <c r="D3966" i="1"/>
  <c r="C3967" i="1"/>
  <c r="D3967" i="1"/>
  <c r="C3968" i="1"/>
  <c r="D3968" i="1"/>
  <c r="C3969" i="1"/>
  <c r="D3969" i="1"/>
  <c r="C3970" i="1"/>
  <c r="D3970" i="1"/>
  <c r="C3971" i="1"/>
  <c r="D3971" i="1"/>
  <c r="C3972" i="1"/>
  <c r="D3972" i="1"/>
  <c r="C3973" i="1"/>
  <c r="D3973" i="1"/>
  <c r="C3974" i="1"/>
  <c r="D3974" i="1"/>
  <c r="C3975" i="1"/>
  <c r="D3975" i="1"/>
  <c r="C3976" i="1"/>
  <c r="D3976" i="1"/>
  <c r="C3977" i="1"/>
  <c r="D3977" i="1"/>
  <c r="C3978" i="1"/>
  <c r="D3978" i="1"/>
  <c r="C3979" i="1"/>
  <c r="D3979" i="1"/>
  <c r="C3980" i="1"/>
  <c r="D3980" i="1"/>
  <c r="C3981" i="1"/>
  <c r="D3981" i="1"/>
  <c r="C3982" i="1"/>
  <c r="D3982" i="1"/>
  <c r="C3983" i="1"/>
  <c r="D3983" i="1"/>
  <c r="C3984" i="1"/>
  <c r="D3984" i="1"/>
  <c r="C3985" i="1"/>
  <c r="D3985" i="1"/>
  <c r="C3986" i="1"/>
  <c r="D3986" i="1"/>
  <c r="C3987" i="1"/>
  <c r="D3987" i="1"/>
  <c r="C3988" i="1"/>
  <c r="D3988" i="1"/>
  <c r="C3989" i="1"/>
  <c r="D3989" i="1"/>
  <c r="C3990" i="1"/>
  <c r="D3990" i="1"/>
  <c r="C3991" i="1"/>
  <c r="D3991" i="1"/>
  <c r="C3992" i="1"/>
  <c r="D3992" i="1"/>
  <c r="C3993" i="1"/>
  <c r="D3993" i="1"/>
  <c r="C3994" i="1"/>
  <c r="D3994" i="1"/>
  <c r="C3995" i="1"/>
  <c r="D3995" i="1"/>
  <c r="C3996" i="1"/>
  <c r="D3996" i="1"/>
  <c r="C3997" i="1"/>
  <c r="D3997" i="1"/>
  <c r="C3998" i="1"/>
  <c r="D3998" i="1"/>
  <c r="C3999" i="1"/>
  <c r="D3999" i="1"/>
  <c r="C4000" i="1"/>
  <c r="D4000" i="1"/>
  <c r="C4001" i="1"/>
  <c r="D4001" i="1"/>
  <c r="C4002" i="1"/>
  <c r="D4002" i="1"/>
  <c r="C4003" i="1"/>
  <c r="D4003" i="1"/>
  <c r="C4004" i="1"/>
  <c r="D4004" i="1"/>
  <c r="C4005" i="1"/>
  <c r="D4005" i="1"/>
  <c r="C4006" i="1"/>
  <c r="D4006" i="1"/>
  <c r="C4007" i="1"/>
  <c r="D4007" i="1"/>
  <c r="C4008" i="1"/>
  <c r="D4008" i="1"/>
  <c r="C4009" i="1"/>
  <c r="D4009" i="1"/>
  <c r="C4010" i="1"/>
  <c r="D4010" i="1"/>
  <c r="C4011" i="1"/>
  <c r="D4011" i="1"/>
  <c r="C4012" i="1"/>
  <c r="D4012" i="1"/>
  <c r="C4013" i="1"/>
  <c r="D4013" i="1"/>
  <c r="C4014" i="1"/>
  <c r="D4014" i="1"/>
  <c r="C4015" i="1"/>
  <c r="D4015" i="1"/>
  <c r="C4016" i="1"/>
  <c r="D4016" i="1"/>
  <c r="C4017" i="1"/>
  <c r="D4017" i="1"/>
  <c r="C4018" i="1"/>
  <c r="D4018" i="1"/>
  <c r="C4019" i="1"/>
  <c r="D4019" i="1"/>
  <c r="C4020" i="1"/>
  <c r="D4020" i="1"/>
  <c r="C4021" i="1"/>
  <c r="D4021" i="1"/>
  <c r="C4022" i="1"/>
  <c r="D4022" i="1"/>
  <c r="C4023" i="1"/>
  <c r="D4023" i="1"/>
  <c r="C4024" i="1"/>
  <c r="D4024" i="1"/>
  <c r="C4025" i="1"/>
  <c r="D4025" i="1"/>
  <c r="C4026" i="1"/>
  <c r="D4026" i="1"/>
  <c r="C4027" i="1"/>
  <c r="D4027" i="1"/>
  <c r="C4028" i="1"/>
  <c r="D4028" i="1"/>
  <c r="C4029" i="1"/>
  <c r="D4029" i="1"/>
  <c r="C4030" i="1"/>
  <c r="D4030" i="1"/>
  <c r="C4031" i="1"/>
  <c r="D4031" i="1"/>
  <c r="C4032" i="1"/>
  <c r="D4032" i="1"/>
  <c r="C4033" i="1"/>
  <c r="D4033" i="1"/>
  <c r="C4034" i="1"/>
  <c r="D4034" i="1"/>
  <c r="C4035" i="1"/>
  <c r="D4035" i="1"/>
  <c r="C4036" i="1"/>
  <c r="D4036" i="1"/>
  <c r="C4037" i="1"/>
  <c r="D4037" i="1"/>
  <c r="C4038" i="1"/>
  <c r="D4038" i="1"/>
  <c r="C4039" i="1"/>
  <c r="D4039" i="1"/>
  <c r="C4040" i="1"/>
  <c r="D4040" i="1"/>
  <c r="C4041" i="1"/>
  <c r="D4041" i="1"/>
  <c r="C4042" i="1"/>
  <c r="D4042" i="1"/>
  <c r="C4043" i="1"/>
  <c r="D4043" i="1"/>
  <c r="C4044" i="1"/>
  <c r="D4044" i="1"/>
  <c r="C4045" i="1"/>
  <c r="D4045" i="1"/>
  <c r="C4046" i="1"/>
  <c r="D4046" i="1"/>
  <c r="C4047" i="1"/>
  <c r="D4047" i="1"/>
  <c r="C4048" i="1"/>
  <c r="D4048" i="1"/>
  <c r="C4049" i="1"/>
  <c r="D4049" i="1"/>
  <c r="C4050" i="1"/>
  <c r="D4050" i="1"/>
  <c r="C4051" i="1"/>
  <c r="D4051" i="1"/>
  <c r="C4052" i="1"/>
  <c r="D4052" i="1"/>
  <c r="C4053" i="1"/>
  <c r="D4053" i="1"/>
  <c r="C4054" i="1"/>
  <c r="D4054" i="1"/>
  <c r="C4055" i="1"/>
  <c r="D4055" i="1"/>
  <c r="C4056" i="1"/>
  <c r="D4056" i="1"/>
  <c r="C4057" i="1"/>
  <c r="D4057" i="1"/>
  <c r="C4058" i="1"/>
  <c r="D4058" i="1"/>
  <c r="C4059" i="1"/>
  <c r="D4059" i="1"/>
  <c r="C4060" i="1"/>
  <c r="D4060" i="1"/>
  <c r="C4061" i="1"/>
  <c r="D4061" i="1"/>
  <c r="C4062" i="1"/>
  <c r="D4062" i="1"/>
  <c r="C4063" i="1"/>
  <c r="D4063" i="1"/>
  <c r="C4064" i="1"/>
  <c r="D4064" i="1"/>
  <c r="C4065" i="1"/>
  <c r="D4065" i="1"/>
  <c r="C4066" i="1"/>
  <c r="D4066" i="1"/>
  <c r="C4067" i="1"/>
  <c r="D4067" i="1"/>
  <c r="C4068" i="1"/>
  <c r="D4068" i="1"/>
  <c r="C4069" i="1"/>
  <c r="D4069" i="1"/>
  <c r="C4070" i="1"/>
  <c r="D4070" i="1"/>
  <c r="C4071" i="1"/>
  <c r="D4071" i="1"/>
  <c r="C4072" i="1"/>
  <c r="D4072" i="1"/>
  <c r="C4073" i="1"/>
  <c r="D4073" i="1"/>
  <c r="C4074" i="1"/>
  <c r="D4074" i="1"/>
  <c r="C4075" i="1"/>
  <c r="D4075" i="1"/>
  <c r="C4076" i="1"/>
  <c r="D4076" i="1"/>
  <c r="C4077" i="1"/>
  <c r="D4077" i="1"/>
  <c r="C4078" i="1"/>
  <c r="D4078" i="1"/>
  <c r="C4079" i="1"/>
  <c r="D4079" i="1"/>
  <c r="C4080" i="1"/>
  <c r="D4080" i="1"/>
  <c r="C4081" i="1"/>
  <c r="D4081" i="1"/>
  <c r="C4082" i="1"/>
  <c r="D4082" i="1"/>
  <c r="C4083" i="1"/>
  <c r="D4083" i="1"/>
  <c r="C4084" i="1"/>
  <c r="D4084" i="1"/>
  <c r="C4085" i="1"/>
  <c r="D4085" i="1"/>
  <c r="C4086" i="1"/>
  <c r="D4086" i="1"/>
  <c r="C4087" i="1"/>
  <c r="D4087" i="1"/>
  <c r="C4088" i="1"/>
  <c r="D4088" i="1"/>
  <c r="C4089" i="1"/>
  <c r="D4089" i="1"/>
  <c r="C4090" i="1"/>
  <c r="D4090" i="1"/>
  <c r="C4091" i="1"/>
  <c r="D4091" i="1"/>
  <c r="C4092" i="1"/>
  <c r="D4092" i="1"/>
  <c r="C4093" i="1"/>
  <c r="D4093" i="1"/>
  <c r="C4094" i="1"/>
  <c r="D4094" i="1"/>
  <c r="C4095" i="1"/>
  <c r="D4095" i="1"/>
  <c r="C4096" i="1"/>
  <c r="D4096" i="1"/>
  <c r="C4097" i="1"/>
  <c r="D4097" i="1"/>
  <c r="C4098" i="1"/>
  <c r="D4098" i="1"/>
  <c r="C4099" i="1"/>
  <c r="D4099" i="1"/>
  <c r="C4100" i="1"/>
  <c r="D4100" i="1"/>
  <c r="C4101" i="1"/>
  <c r="D4101" i="1"/>
  <c r="C4102" i="1"/>
  <c r="D4102" i="1"/>
  <c r="C4103" i="1"/>
  <c r="D4103" i="1"/>
  <c r="C4104" i="1"/>
  <c r="D4104" i="1"/>
  <c r="C4105" i="1"/>
  <c r="D4105" i="1"/>
  <c r="C4106" i="1"/>
  <c r="D4106" i="1"/>
  <c r="C4107" i="1"/>
  <c r="D4107" i="1"/>
  <c r="C4108" i="1"/>
  <c r="D4108" i="1"/>
  <c r="C4109" i="1"/>
  <c r="D4109" i="1"/>
  <c r="C4110" i="1"/>
  <c r="D4110" i="1"/>
  <c r="C4111" i="1"/>
  <c r="D4111" i="1"/>
  <c r="C4112" i="1"/>
  <c r="D4112" i="1"/>
  <c r="C4113" i="1"/>
  <c r="D4113" i="1"/>
  <c r="C4114" i="1"/>
  <c r="D4114" i="1"/>
  <c r="C4115" i="1"/>
  <c r="D4115" i="1"/>
  <c r="C4116" i="1"/>
  <c r="D4116" i="1"/>
  <c r="C4117" i="1"/>
  <c r="D4117" i="1"/>
  <c r="C4118" i="1"/>
  <c r="D4118" i="1"/>
  <c r="C4119" i="1"/>
  <c r="D4119" i="1"/>
  <c r="C4120" i="1"/>
  <c r="D4120" i="1"/>
  <c r="C4121" i="1"/>
  <c r="D4121" i="1"/>
  <c r="C4122" i="1"/>
  <c r="D4122" i="1"/>
  <c r="C4123" i="1"/>
  <c r="D4123" i="1"/>
  <c r="C4124" i="1"/>
  <c r="D4124" i="1"/>
  <c r="C4125" i="1"/>
  <c r="D4125" i="1"/>
  <c r="C4126" i="1"/>
  <c r="D4126" i="1"/>
  <c r="C4127" i="1"/>
  <c r="D4127" i="1"/>
  <c r="C4128" i="1"/>
  <c r="D4128" i="1"/>
  <c r="C4129" i="1"/>
  <c r="D4129" i="1"/>
  <c r="C4130" i="1"/>
  <c r="D4130" i="1"/>
  <c r="C4131" i="1"/>
  <c r="D4131" i="1"/>
  <c r="C4132" i="1"/>
  <c r="D4132" i="1"/>
  <c r="C4133" i="1"/>
  <c r="D4133" i="1"/>
  <c r="C4134" i="1"/>
  <c r="D4134" i="1"/>
  <c r="C4135" i="1"/>
  <c r="D4135" i="1"/>
  <c r="C4136" i="1"/>
  <c r="D4136" i="1"/>
  <c r="C4137" i="1"/>
  <c r="D4137" i="1"/>
  <c r="C4138" i="1"/>
  <c r="D4138" i="1"/>
  <c r="C4139" i="1"/>
  <c r="D4139" i="1"/>
  <c r="C4140" i="1"/>
  <c r="D4140" i="1"/>
  <c r="C4141" i="1"/>
  <c r="D4141" i="1"/>
  <c r="C4142" i="1"/>
  <c r="D4142" i="1"/>
  <c r="C4143" i="1"/>
  <c r="D4143" i="1"/>
  <c r="C4144" i="1"/>
  <c r="D4144" i="1"/>
  <c r="C4145" i="1"/>
  <c r="D4145" i="1"/>
  <c r="C4146" i="1"/>
  <c r="D4146" i="1"/>
  <c r="C4147" i="1"/>
  <c r="D4147" i="1"/>
  <c r="C4148" i="1"/>
  <c r="D4148" i="1"/>
  <c r="C4149" i="1"/>
  <c r="D4149" i="1"/>
  <c r="C4150" i="1"/>
  <c r="D4150" i="1"/>
  <c r="C4151" i="1"/>
  <c r="D4151" i="1"/>
  <c r="C4152" i="1"/>
  <c r="D4152" i="1"/>
  <c r="C4153" i="1"/>
  <c r="D4153" i="1"/>
  <c r="C4154" i="1"/>
  <c r="D4154" i="1"/>
  <c r="C4155" i="1"/>
  <c r="D4155" i="1"/>
  <c r="C4156" i="1"/>
  <c r="D4156" i="1"/>
  <c r="C4157" i="1"/>
  <c r="D4157" i="1"/>
  <c r="C4158" i="1"/>
  <c r="D4158" i="1"/>
  <c r="C4159" i="1"/>
  <c r="D4159" i="1"/>
  <c r="C4160" i="1"/>
  <c r="D4160" i="1"/>
  <c r="C4161" i="1"/>
  <c r="D4161" i="1"/>
  <c r="C4162" i="1"/>
  <c r="D4162" i="1"/>
  <c r="C4163" i="1"/>
  <c r="D4163" i="1"/>
  <c r="C4164" i="1"/>
  <c r="D4164" i="1"/>
  <c r="C4165" i="1"/>
  <c r="D4165" i="1"/>
  <c r="C4166" i="1"/>
  <c r="D4166" i="1"/>
  <c r="C4167" i="1"/>
  <c r="D4167" i="1"/>
  <c r="C4168" i="1"/>
  <c r="D4168" i="1"/>
  <c r="C4169" i="1"/>
  <c r="D4169" i="1"/>
  <c r="C4170" i="1"/>
  <c r="D4170" i="1"/>
  <c r="C4171" i="1"/>
  <c r="D4171" i="1"/>
  <c r="C4172" i="1"/>
  <c r="D4172" i="1"/>
  <c r="C4173" i="1"/>
  <c r="D4173" i="1"/>
  <c r="C4174" i="1"/>
  <c r="D4174" i="1"/>
  <c r="C4175" i="1"/>
  <c r="D4175" i="1"/>
  <c r="C4176" i="1"/>
  <c r="D4176" i="1"/>
  <c r="C4177" i="1"/>
  <c r="D4177" i="1"/>
  <c r="C4178" i="1"/>
  <c r="D4178" i="1"/>
  <c r="C4179" i="1"/>
  <c r="D4179" i="1"/>
  <c r="C4180" i="1"/>
  <c r="D4180" i="1"/>
  <c r="C4181" i="1"/>
  <c r="D4181" i="1"/>
  <c r="C4182" i="1"/>
  <c r="D4182" i="1"/>
  <c r="C4183" i="1"/>
  <c r="D4183" i="1"/>
  <c r="C4184" i="1"/>
  <c r="D4184" i="1"/>
  <c r="C4185" i="1"/>
  <c r="D4185" i="1"/>
  <c r="C4186" i="1"/>
  <c r="D4186" i="1"/>
  <c r="C4187" i="1"/>
  <c r="D4187" i="1"/>
  <c r="C4188" i="1"/>
  <c r="D4188" i="1"/>
  <c r="C4189" i="1"/>
  <c r="D4189" i="1"/>
  <c r="C4190" i="1"/>
  <c r="D4190" i="1"/>
  <c r="C4191" i="1"/>
  <c r="D4191" i="1"/>
  <c r="C4192" i="1"/>
  <c r="D4192" i="1"/>
  <c r="C4193" i="1"/>
  <c r="D4193" i="1"/>
  <c r="C4194" i="1"/>
  <c r="D4194" i="1"/>
  <c r="C4195" i="1"/>
  <c r="D4195" i="1"/>
  <c r="C4196" i="1"/>
  <c r="D4196" i="1"/>
  <c r="C4197" i="1"/>
  <c r="D4197" i="1"/>
  <c r="C4198" i="1"/>
  <c r="D4198" i="1"/>
  <c r="C4199" i="1"/>
  <c r="D4199" i="1"/>
  <c r="C4200" i="1"/>
  <c r="D4200" i="1"/>
  <c r="C4201" i="1"/>
  <c r="D4201" i="1"/>
  <c r="C4202" i="1"/>
  <c r="D4202" i="1"/>
  <c r="C4203" i="1"/>
  <c r="D4203" i="1"/>
  <c r="C4204" i="1"/>
  <c r="D4204" i="1"/>
  <c r="C4205" i="1"/>
  <c r="D4205" i="1"/>
  <c r="C4206" i="1"/>
  <c r="D4206" i="1"/>
  <c r="C4207" i="1"/>
  <c r="D4207" i="1"/>
  <c r="C4208" i="1"/>
  <c r="D4208" i="1"/>
  <c r="C4209" i="1"/>
  <c r="D4209" i="1"/>
  <c r="C4210" i="1"/>
  <c r="D4210" i="1"/>
  <c r="C4211" i="1"/>
  <c r="D4211" i="1"/>
  <c r="C4212" i="1"/>
  <c r="D4212" i="1"/>
  <c r="C4213" i="1"/>
  <c r="D4213" i="1"/>
  <c r="C4214" i="1"/>
  <c r="D4214" i="1"/>
  <c r="C4215" i="1"/>
  <c r="D4215" i="1"/>
  <c r="C4216" i="1"/>
  <c r="D4216" i="1"/>
  <c r="C4217" i="1"/>
  <c r="D4217" i="1"/>
  <c r="C4218" i="1"/>
  <c r="D4218" i="1"/>
  <c r="C4219" i="1"/>
  <c r="D4219" i="1"/>
  <c r="C4220" i="1"/>
  <c r="D4220" i="1"/>
  <c r="C4221" i="1"/>
  <c r="D4221" i="1"/>
  <c r="C4222" i="1"/>
  <c r="D4222" i="1"/>
  <c r="C4223" i="1"/>
  <c r="D4223" i="1"/>
  <c r="C4224" i="1"/>
  <c r="D4224" i="1"/>
  <c r="C4225" i="1"/>
  <c r="D4225" i="1"/>
  <c r="C4226" i="1"/>
  <c r="D4226" i="1"/>
  <c r="C4227" i="1"/>
  <c r="D4227" i="1"/>
  <c r="C4228" i="1"/>
  <c r="D4228" i="1"/>
  <c r="C4229" i="1"/>
  <c r="D4229" i="1"/>
  <c r="C4230" i="1"/>
  <c r="D4230" i="1"/>
  <c r="C4231" i="1"/>
  <c r="D4231" i="1"/>
  <c r="C4232" i="1"/>
  <c r="D4232" i="1"/>
  <c r="C4233" i="1"/>
  <c r="D4233" i="1"/>
  <c r="C4234" i="1"/>
  <c r="D4234" i="1"/>
  <c r="C4235" i="1"/>
  <c r="D4235" i="1"/>
  <c r="C4236" i="1"/>
  <c r="D4236" i="1"/>
  <c r="C4237" i="1"/>
  <c r="D4237" i="1"/>
  <c r="C4238" i="1"/>
  <c r="D4238" i="1"/>
  <c r="C4239" i="1"/>
  <c r="D4239" i="1"/>
  <c r="C4240" i="1"/>
  <c r="D4240" i="1"/>
  <c r="C4241" i="1"/>
  <c r="D4241" i="1"/>
  <c r="C4242" i="1"/>
  <c r="D4242" i="1"/>
  <c r="C4243" i="1"/>
  <c r="D4243" i="1"/>
  <c r="C4244" i="1"/>
  <c r="D4244" i="1"/>
  <c r="C4245" i="1"/>
  <c r="D4245" i="1"/>
  <c r="C4246" i="1"/>
  <c r="D4246" i="1"/>
  <c r="C4247" i="1"/>
  <c r="D4247" i="1"/>
  <c r="C4248" i="1"/>
  <c r="D4248" i="1"/>
  <c r="C4249" i="1"/>
  <c r="D4249" i="1"/>
  <c r="C4250" i="1"/>
  <c r="D4250" i="1"/>
  <c r="C4251" i="1"/>
  <c r="D4251" i="1"/>
  <c r="C4252" i="1"/>
  <c r="D4252" i="1"/>
  <c r="C4253" i="1"/>
  <c r="D4253" i="1"/>
  <c r="C4254" i="1"/>
  <c r="D4254" i="1"/>
  <c r="C4255" i="1"/>
  <c r="D4255" i="1"/>
  <c r="C4256" i="1"/>
  <c r="D4256" i="1"/>
  <c r="C4257" i="1"/>
  <c r="D4257" i="1"/>
  <c r="C4258" i="1"/>
  <c r="D4258" i="1"/>
  <c r="C4259" i="1"/>
  <c r="D4259" i="1"/>
  <c r="C4260" i="1"/>
  <c r="D4260" i="1"/>
  <c r="C4261" i="1"/>
  <c r="D4261" i="1"/>
  <c r="C4262" i="1"/>
  <c r="D4262" i="1"/>
  <c r="C4263" i="1"/>
  <c r="D4263" i="1"/>
  <c r="C4264" i="1"/>
  <c r="D4264" i="1"/>
  <c r="C4265" i="1"/>
  <c r="D4265" i="1"/>
  <c r="C4266" i="1"/>
  <c r="D4266" i="1"/>
  <c r="C4267" i="1"/>
  <c r="D4267" i="1"/>
  <c r="C4268" i="1"/>
  <c r="D4268" i="1"/>
  <c r="C4269" i="1"/>
  <c r="D4269" i="1"/>
  <c r="C4270" i="1"/>
  <c r="D4270" i="1"/>
  <c r="C4271" i="1"/>
  <c r="D4271" i="1"/>
  <c r="C4272" i="1"/>
  <c r="D4272" i="1"/>
  <c r="C4273" i="1"/>
  <c r="D4273" i="1"/>
  <c r="C4274" i="1"/>
  <c r="D4274" i="1"/>
  <c r="C4275" i="1"/>
  <c r="D4275" i="1"/>
  <c r="C4276" i="1"/>
  <c r="D4276" i="1"/>
  <c r="C4277" i="1"/>
  <c r="D4277" i="1"/>
  <c r="C4278" i="1"/>
  <c r="D4278" i="1"/>
  <c r="C4279" i="1"/>
  <c r="D4279" i="1"/>
  <c r="C4280" i="1"/>
  <c r="D4280" i="1"/>
  <c r="C4281" i="1"/>
  <c r="D4281" i="1"/>
  <c r="C4282" i="1"/>
  <c r="D4282" i="1"/>
  <c r="C4283" i="1"/>
  <c r="D4283" i="1"/>
  <c r="C4284" i="1"/>
  <c r="D4284" i="1"/>
  <c r="C4285" i="1"/>
  <c r="D4285" i="1"/>
  <c r="C4286" i="1"/>
  <c r="D4286" i="1"/>
  <c r="C4287" i="1"/>
  <c r="D4287" i="1"/>
  <c r="C4288" i="1"/>
  <c r="D4288" i="1"/>
  <c r="C4289" i="1"/>
  <c r="D4289" i="1"/>
  <c r="C4290" i="1"/>
  <c r="D4290" i="1"/>
  <c r="C4291" i="1"/>
  <c r="D4291" i="1"/>
  <c r="C4292" i="1"/>
  <c r="D4292" i="1"/>
  <c r="C4293" i="1"/>
  <c r="D4293" i="1"/>
  <c r="C4294" i="1"/>
  <c r="D4294" i="1"/>
  <c r="C4295" i="1"/>
  <c r="D4295" i="1"/>
  <c r="C4296" i="1"/>
  <c r="D4296" i="1"/>
  <c r="C4297" i="1"/>
  <c r="D4297" i="1"/>
  <c r="C4298" i="1"/>
  <c r="D4298" i="1"/>
  <c r="C4299" i="1"/>
  <c r="D4299" i="1"/>
  <c r="C4300" i="1"/>
  <c r="D4300" i="1"/>
  <c r="C4301" i="1"/>
  <c r="D4301" i="1"/>
  <c r="C4302" i="1"/>
  <c r="D4302" i="1"/>
  <c r="C4303" i="1"/>
  <c r="D4303" i="1"/>
  <c r="C4304" i="1"/>
  <c r="D4304" i="1"/>
  <c r="C4305" i="1"/>
  <c r="D4305" i="1"/>
  <c r="C4306" i="1"/>
  <c r="D4306" i="1"/>
  <c r="C4307" i="1"/>
  <c r="D4307" i="1"/>
  <c r="C4308" i="1"/>
  <c r="D4308" i="1"/>
  <c r="C4309" i="1"/>
  <c r="D4309" i="1"/>
  <c r="C4310" i="1"/>
  <c r="D4310" i="1"/>
  <c r="C4311" i="1"/>
  <c r="D4311" i="1"/>
  <c r="C4312" i="1"/>
  <c r="D4312" i="1"/>
  <c r="C4313" i="1"/>
  <c r="D4313" i="1"/>
  <c r="C4314" i="1"/>
  <c r="D4314" i="1"/>
  <c r="C4315" i="1"/>
  <c r="D4315" i="1"/>
  <c r="C4316" i="1"/>
  <c r="D4316" i="1"/>
  <c r="C4317" i="1"/>
  <c r="D4317" i="1"/>
  <c r="C4318" i="1"/>
  <c r="D4318" i="1"/>
  <c r="C4319" i="1"/>
  <c r="D4319" i="1"/>
  <c r="C4320" i="1"/>
  <c r="D4320" i="1"/>
  <c r="C4321" i="1"/>
  <c r="D4321" i="1"/>
  <c r="C4322" i="1"/>
  <c r="D4322" i="1"/>
  <c r="C4323" i="1"/>
  <c r="D4323" i="1"/>
  <c r="C4324" i="1"/>
  <c r="D4324" i="1"/>
  <c r="C4325" i="1"/>
  <c r="D4325" i="1"/>
  <c r="C4326" i="1"/>
  <c r="D4326" i="1"/>
  <c r="C4327" i="1"/>
  <c r="D4327" i="1"/>
  <c r="C4328" i="1"/>
  <c r="D4328" i="1"/>
  <c r="C4329" i="1"/>
  <c r="D4329" i="1"/>
  <c r="C4330" i="1"/>
  <c r="D4330" i="1"/>
  <c r="C4331" i="1"/>
  <c r="D4331" i="1"/>
  <c r="C4332" i="1"/>
  <c r="D4332" i="1"/>
  <c r="C4333" i="1"/>
  <c r="D4333" i="1"/>
  <c r="C4334" i="1"/>
  <c r="D4334" i="1"/>
  <c r="C4335" i="1"/>
  <c r="D4335" i="1"/>
  <c r="C4336" i="1"/>
  <c r="D4336" i="1"/>
  <c r="C4337" i="1"/>
  <c r="D4337" i="1"/>
  <c r="C4338" i="1"/>
  <c r="D4338" i="1"/>
  <c r="C4339" i="1"/>
  <c r="D4339" i="1"/>
  <c r="C4340" i="1"/>
  <c r="D4340" i="1"/>
  <c r="C4341" i="1"/>
  <c r="D4341" i="1"/>
  <c r="C4342" i="1"/>
  <c r="D4342" i="1"/>
  <c r="C4343" i="1"/>
  <c r="D4343" i="1"/>
  <c r="C4344" i="1"/>
  <c r="D4344" i="1"/>
  <c r="C4345" i="1"/>
  <c r="D4345" i="1"/>
  <c r="C4346" i="1"/>
  <c r="D4346" i="1"/>
  <c r="C4347" i="1"/>
  <c r="D4347" i="1"/>
  <c r="C4348" i="1"/>
  <c r="D4348" i="1"/>
  <c r="C4349" i="1"/>
  <c r="D4349" i="1"/>
  <c r="C4350" i="1"/>
  <c r="D4350" i="1"/>
  <c r="C4351" i="1"/>
  <c r="D4351" i="1"/>
  <c r="C4352" i="1"/>
  <c r="D4352" i="1"/>
  <c r="C4353" i="1"/>
  <c r="D4353" i="1"/>
  <c r="C4354" i="1"/>
  <c r="D4354" i="1"/>
  <c r="C4355" i="1"/>
  <c r="D4355" i="1"/>
  <c r="C4356" i="1"/>
  <c r="D4356" i="1"/>
  <c r="C4357" i="1"/>
  <c r="D4357" i="1"/>
  <c r="C4358" i="1"/>
  <c r="D4358" i="1"/>
  <c r="C4359" i="1"/>
  <c r="D4359" i="1"/>
  <c r="C4360" i="1"/>
  <c r="D4360" i="1"/>
  <c r="C4361" i="1"/>
  <c r="D4361" i="1"/>
  <c r="C4362" i="1"/>
  <c r="D4362" i="1"/>
  <c r="C4363" i="1"/>
  <c r="D4363" i="1"/>
  <c r="C4364" i="1"/>
  <c r="D4364" i="1"/>
  <c r="C4365" i="1"/>
  <c r="D4365" i="1"/>
  <c r="C4366" i="1"/>
  <c r="D4366" i="1"/>
  <c r="C4367" i="1"/>
  <c r="D4367" i="1"/>
  <c r="C4368" i="1"/>
  <c r="D4368" i="1"/>
  <c r="C4369" i="1"/>
  <c r="D4369" i="1"/>
  <c r="C4370" i="1"/>
  <c r="D4370" i="1"/>
  <c r="C4371" i="1"/>
  <c r="D4371" i="1"/>
  <c r="C4372" i="1"/>
  <c r="D4372" i="1"/>
  <c r="C4373" i="1"/>
  <c r="D4373" i="1"/>
  <c r="C4374" i="1"/>
  <c r="D4374" i="1"/>
  <c r="C4375" i="1"/>
  <c r="D4375" i="1"/>
  <c r="C4376" i="1"/>
  <c r="D4376" i="1"/>
  <c r="C4377" i="1"/>
  <c r="D4377" i="1"/>
  <c r="C4378" i="1"/>
  <c r="D4378" i="1"/>
  <c r="C4379" i="1"/>
  <c r="D4379" i="1"/>
  <c r="C4380" i="1"/>
  <c r="D4380" i="1"/>
  <c r="C4381" i="1"/>
  <c r="D4381" i="1"/>
  <c r="C4382" i="1"/>
  <c r="D4382" i="1"/>
  <c r="C4383" i="1"/>
  <c r="D4383" i="1"/>
  <c r="C4384" i="1"/>
  <c r="D4384" i="1"/>
  <c r="C4385" i="1"/>
  <c r="D4385" i="1"/>
  <c r="C4386" i="1"/>
  <c r="D4386" i="1"/>
  <c r="C4387" i="1"/>
  <c r="D4387" i="1"/>
  <c r="C4388" i="1"/>
  <c r="D4388" i="1"/>
  <c r="C4389" i="1"/>
  <c r="D4389" i="1"/>
  <c r="C4390" i="1"/>
  <c r="D4390" i="1"/>
  <c r="C4391" i="1"/>
  <c r="D4391" i="1"/>
  <c r="C4392" i="1"/>
  <c r="D4392" i="1"/>
  <c r="C4393" i="1"/>
  <c r="D4393" i="1"/>
  <c r="C4394" i="1"/>
  <c r="D4394" i="1"/>
  <c r="C4395" i="1"/>
  <c r="D4395" i="1"/>
  <c r="C4396" i="1"/>
  <c r="D4396" i="1"/>
  <c r="C4397" i="1"/>
  <c r="D4397" i="1"/>
  <c r="C4398" i="1"/>
  <c r="D4398" i="1"/>
  <c r="C4399" i="1"/>
  <c r="D4399" i="1"/>
  <c r="C4400" i="1"/>
  <c r="D4400" i="1"/>
  <c r="C4401" i="1"/>
  <c r="D4401" i="1"/>
  <c r="C4402" i="1"/>
  <c r="D4402" i="1"/>
  <c r="C4403" i="1"/>
  <c r="D4403" i="1"/>
  <c r="C4404" i="1"/>
  <c r="D4404" i="1"/>
  <c r="C4405" i="1"/>
  <c r="D4405" i="1"/>
  <c r="C4406" i="1"/>
  <c r="D4406" i="1"/>
  <c r="C4407" i="1"/>
  <c r="D4407" i="1"/>
  <c r="C4408" i="1"/>
  <c r="D4408" i="1"/>
  <c r="C4409" i="1"/>
  <c r="D4409" i="1"/>
  <c r="C4410" i="1"/>
  <c r="D4410" i="1"/>
  <c r="C4411" i="1"/>
  <c r="D4411" i="1"/>
  <c r="C4412" i="1"/>
  <c r="D4412" i="1"/>
  <c r="C4413" i="1"/>
  <c r="D4413" i="1"/>
  <c r="C4414" i="1"/>
  <c r="D4414" i="1"/>
  <c r="C4415" i="1"/>
  <c r="D4415" i="1"/>
  <c r="C4416" i="1"/>
  <c r="D4416" i="1"/>
  <c r="C4417" i="1"/>
  <c r="D4417" i="1"/>
  <c r="C4418" i="1"/>
  <c r="D4418" i="1"/>
  <c r="C4419" i="1"/>
  <c r="D4419" i="1"/>
  <c r="C4420" i="1"/>
  <c r="D4420" i="1"/>
  <c r="C4421" i="1"/>
  <c r="D4421" i="1"/>
  <c r="C4422" i="1"/>
  <c r="D4422" i="1"/>
  <c r="C4423" i="1"/>
  <c r="D4423" i="1"/>
  <c r="C4424" i="1"/>
  <c r="D4424" i="1"/>
  <c r="C4425" i="1"/>
  <c r="D4425" i="1"/>
  <c r="C4426" i="1"/>
  <c r="D4426" i="1"/>
  <c r="C4427" i="1"/>
  <c r="D4427" i="1"/>
  <c r="C4428" i="1"/>
  <c r="D4428" i="1"/>
  <c r="C4429" i="1"/>
  <c r="D4429" i="1"/>
  <c r="C4430" i="1"/>
  <c r="D4430" i="1"/>
  <c r="C4431" i="1"/>
  <c r="D4431" i="1"/>
  <c r="C4432" i="1"/>
  <c r="D4432" i="1"/>
  <c r="C4433" i="1"/>
  <c r="D4433" i="1"/>
  <c r="C4434" i="1"/>
  <c r="D4434" i="1"/>
  <c r="C4435" i="1"/>
  <c r="D4435" i="1"/>
  <c r="C4436" i="1"/>
  <c r="D4436" i="1"/>
  <c r="C4437" i="1"/>
  <c r="D4437" i="1"/>
  <c r="C4438" i="1"/>
  <c r="D4438" i="1"/>
  <c r="C4439" i="1"/>
  <c r="D4439" i="1"/>
  <c r="C4440" i="1"/>
  <c r="D4440" i="1"/>
  <c r="C4441" i="1"/>
  <c r="D4441" i="1"/>
  <c r="C4442" i="1"/>
  <c r="D4442" i="1"/>
  <c r="C4443" i="1"/>
  <c r="D4443" i="1"/>
  <c r="C4444" i="1"/>
  <c r="D4444" i="1"/>
  <c r="C4445" i="1"/>
  <c r="D4445" i="1"/>
  <c r="C4446" i="1"/>
  <c r="D4446" i="1"/>
  <c r="C4447" i="1"/>
  <c r="D4447" i="1"/>
  <c r="C4448" i="1"/>
  <c r="D4448" i="1"/>
  <c r="C4449" i="1"/>
  <c r="D4449" i="1"/>
  <c r="C4450" i="1"/>
  <c r="D4450" i="1"/>
  <c r="C4451" i="1"/>
  <c r="D4451" i="1"/>
  <c r="C4452" i="1"/>
  <c r="D4452" i="1"/>
  <c r="C4453" i="1"/>
  <c r="D4453" i="1"/>
  <c r="C4454" i="1"/>
  <c r="D4454" i="1"/>
  <c r="C4455" i="1"/>
  <c r="D4455" i="1"/>
  <c r="C4456" i="1"/>
  <c r="D4456" i="1"/>
  <c r="C4457" i="1"/>
  <c r="D4457" i="1"/>
  <c r="C4458" i="1"/>
  <c r="D4458" i="1"/>
  <c r="C4459" i="1"/>
  <c r="D4459" i="1"/>
  <c r="C4460" i="1"/>
  <c r="D4460" i="1"/>
  <c r="C4461" i="1"/>
  <c r="D4461" i="1"/>
  <c r="C4462" i="1"/>
  <c r="D4462" i="1"/>
  <c r="C4463" i="1"/>
  <c r="D4463" i="1"/>
  <c r="C4464" i="1"/>
  <c r="D4464" i="1"/>
  <c r="C4465" i="1"/>
  <c r="D4465" i="1"/>
  <c r="C4466" i="1"/>
  <c r="D4466" i="1"/>
  <c r="C4467" i="1"/>
  <c r="D4467" i="1"/>
  <c r="C4468" i="1"/>
  <c r="D4468" i="1"/>
  <c r="C4469" i="1"/>
  <c r="D4469" i="1"/>
  <c r="C4470" i="1"/>
  <c r="D4470" i="1"/>
  <c r="C4471" i="1"/>
  <c r="D4471" i="1"/>
  <c r="C4472" i="1"/>
  <c r="D4472" i="1"/>
  <c r="C4473" i="1"/>
  <c r="D4473" i="1"/>
  <c r="C4474" i="1"/>
  <c r="D4474" i="1"/>
  <c r="C4475" i="1"/>
  <c r="D4475" i="1"/>
  <c r="C4476" i="1"/>
  <c r="D4476" i="1"/>
  <c r="C4477" i="1"/>
  <c r="D4477" i="1"/>
  <c r="C4478" i="1"/>
  <c r="D4478" i="1"/>
  <c r="C4479" i="1"/>
  <c r="D4479" i="1"/>
  <c r="C4480" i="1"/>
  <c r="D4480" i="1"/>
  <c r="C4481" i="1"/>
  <c r="D4481" i="1"/>
  <c r="C4482" i="1"/>
  <c r="D4482" i="1"/>
  <c r="C4483" i="1"/>
  <c r="D4483" i="1"/>
  <c r="C4484" i="1"/>
  <c r="D4484" i="1"/>
  <c r="C4485" i="1"/>
  <c r="D4485" i="1"/>
  <c r="C4486" i="1"/>
  <c r="D4486" i="1"/>
  <c r="C4487" i="1"/>
  <c r="D4487" i="1"/>
  <c r="C4488" i="1"/>
  <c r="D4488" i="1"/>
  <c r="C4489" i="1"/>
  <c r="D4489" i="1"/>
  <c r="C4490" i="1"/>
  <c r="D4490" i="1"/>
  <c r="C4491" i="1"/>
  <c r="D4491" i="1"/>
  <c r="C4492" i="1"/>
  <c r="D4492" i="1"/>
  <c r="C4493" i="1"/>
  <c r="D4493" i="1"/>
  <c r="C4494" i="1"/>
  <c r="D4494" i="1"/>
  <c r="C4495" i="1"/>
  <c r="D4495" i="1"/>
  <c r="C4496" i="1"/>
  <c r="D4496" i="1"/>
  <c r="C4497" i="1"/>
  <c r="D4497" i="1"/>
  <c r="C4498" i="1"/>
  <c r="D4498" i="1"/>
  <c r="C4499" i="1"/>
  <c r="D4499" i="1"/>
  <c r="C4500" i="1"/>
  <c r="D4500" i="1"/>
  <c r="C4501" i="1"/>
  <c r="D4501" i="1"/>
  <c r="C4502" i="1"/>
  <c r="D4502" i="1"/>
  <c r="C4503" i="1"/>
  <c r="D4503" i="1"/>
  <c r="C4504" i="1"/>
  <c r="D4504" i="1"/>
  <c r="C4505" i="1"/>
  <c r="D4505" i="1"/>
  <c r="C4506" i="1"/>
  <c r="D4506" i="1"/>
  <c r="C4507" i="1"/>
  <c r="D4507" i="1"/>
  <c r="C4508" i="1"/>
  <c r="D4508" i="1"/>
  <c r="C4509" i="1"/>
  <c r="D4509" i="1"/>
  <c r="C4510" i="1"/>
  <c r="D4510" i="1"/>
  <c r="C4511" i="1"/>
  <c r="D4511" i="1"/>
  <c r="C4512" i="1"/>
  <c r="D4512" i="1"/>
  <c r="C4513" i="1"/>
  <c r="D4513" i="1"/>
  <c r="C4514" i="1"/>
  <c r="D4514" i="1"/>
  <c r="C4515" i="1"/>
  <c r="D4515" i="1"/>
  <c r="C4516" i="1"/>
  <c r="D4516" i="1"/>
  <c r="C4517" i="1"/>
  <c r="D4517" i="1"/>
  <c r="C4518" i="1"/>
  <c r="D4518" i="1"/>
  <c r="C4519" i="1"/>
  <c r="D4519" i="1"/>
  <c r="C4520" i="1"/>
  <c r="D4520" i="1"/>
  <c r="C4521" i="1"/>
  <c r="D4521" i="1"/>
  <c r="C4522" i="1"/>
  <c r="D4522" i="1"/>
  <c r="C4523" i="1"/>
  <c r="D4523" i="1"/>
  <c r="C4524" i="1"/>
  <c r="D4524" i="1"/>
  <c r="C4525" i="1"/>
  <c r="D4525" i="1"/>
  <c r="C4526" i="1"/>
  <c r="D4526" i="1"/>
  <c r="C4527" i="1"/>
  <c r="D4527" i="1"/>
  <c r="C4528" i="1"/>
  <c r="D4528" i="1"/>
  <c r="C4529" i="1"/>
  <c r="D4529" i="1"/>
  <c r="C4530" i="1"/>
  <c r="D4530" i="1"/>
  <c r="C4531" i="1"/>
  <c r="D4531" i="1"/>
  <c r="C4532" i="1"/>
  <c r="D4532" i="1"/>
  <c r="C4533" i="1"/>
  <c r="D4533" i="1"/>
  <c r="C4534" i="1"/>
  <c r="D4534" i="1"/>
  <c r="C4535" i="1"/>
  <c r="D4535" i="1"/>
  <c r="C4536" i="1"/>
  <c r="D4536" i="1"/>
  <c r="C4537" i="1"/>
  <c r="D4537" i="1"/>
  <c r="C4538" i="1"/>
  <c r="D4538" i="1"/>
  <c r="C4539" i="1"/>
  <c r="D4539" i="1"/>
  <c r="C4540" i="1"/>
  <c r="D4540" i="1"/>
  <c r="C4541" i="1"/>
  <c r="D4541" i="1"/>
  <c r="C4542" i="1"/>
  <c r="D4542" i="1"/>
  <c r="C4543" i="1"/>
  <c r="D4543" i="1"/>
  <c r="C4544" i="1"/>
  <c r="D4544" i="1"/>
  <c r="C4545" i="1"/>
  <c r="D4545" i="1"/>
  <c r="C4546" i="1"/>
  <c r="D4546" i="1"/>
  <c r="C4547" i="1"/>
  <c r="D4547" i="1"/>
  <c r="C4548" i="1"/>
  <c r="D4548" i="1"/>
  <c r="C4549" i="1"/>
  <c r="D4549" i="1"/>
  <c r="C4550" i="1"/>
  <c r="D4550" i="1"/>
  <c r="C4551" i="1"/>
  <c r="D4551" i="1"/>
  <c r="C4552" i="1"/>
  <c r="D4552" i="1"/>
  <c r="C4553" i="1"/>
  <c r="D4553" i="1"/>
  <c r="C4554" i="1"/>
  <c r="D4554" i="1"/>
  <c r="C4555" i="1"/>
  <c r="D4555" i="1"/>
  <c r="C4556" i="1"/>
  <c r="D4556" i="1"/>
  <c r="C4557" i="1"/>
  <c r="D4557" i="1"/>
  <c r="C4558" i="1"/>
  <c r="D4558" i="1"/>
  <c r="C4559" i="1"/>
  <c r="D4559" i="1"/>
  <c r="C4560" i="1"/>
  <c r="D4560" i="1"/>
  <c r="C4561" i="1"/>
  <c r="D4561" i="1"/>
  <c r="C4562" i="1"/>
  <c r="D4562" i="1"/>
  <c r="C4563" i="1"/>
  <c r="D4563" i="1"/>
  <c r="C4564" i="1"/>
  <c r="D4564" i="1"/>
  <c r="C4565" i="1"/>
  <c r="D4565" i="1"/>
  <c r="C4566" i="1"/>
  <c r="D4566" i="1"/>
  <c r="C4567" i="1"/>
  <c r="D4567" i="1"/>
  <c r="C4568" i="1"/>
  <c r="D4568" i="1"/>
  <c r="C4569" i="1"/>
  <c r="D4569" i="1"/>
  <c r="C4570" i="1"/>
  <c r="D4570" i="1"/>
  <c r="C4571" i="1"/>
  <c r="D4571" i="1"/>
  <c r="C4572" i="1"/>
  <c r="D4572" i="1"/>
  <c r="C4573" i="1"/>
  <c r="D4573" i="1"/>
  <c r="C4574" i="1"/>
  <c r="D4574" i="1"/>
  <c r="C4575" i="1"/>
  <c r="D4575" i="1"/>
  <c r="C4576" i="1"/>
  <c r="D4576" i="1"/>
  <c r="C4577" i="1"/>
  <c r="D4577" i="1"/>
  <c r="C4578" i="1"/>
  <c r="D4578" i="1"/>
  <c r="C4579" i="1"/>
  <c r="D4579" i="1"/>
  <c r="C4580" i="1"/>
  <c r="D4580" i="1"/>
  <c r="C4581" i="1"/>
  <c r="D4581" i="1"/>
  <c r="C4582" i="1"/>
  <c r="D4582" i="1"/>
  <c r="C4583" i="1"/>
  <c r="D4583" i="1"/>
  <c r="C4584" i="1"/>
  <c r="D4584" i="1"/>
  <c r="C4585" i="1"/>
  <c r="D4585" i="1"/>
  <c r="C4586" i="1"/>
  <c r="D4586" i="1"/>
  <c r="C4587" i="1"/>
  <c r="D4587" i="1"/>
  <c r="C4588" i="1"/>
  <c r="D4588" i="1"/>
  <c r="C4589" i="1"/>
  <c r="D4589" i="1"/>
  <c r="C4590" i="1"/>
  <c r="D4590" i="1"/>
  <c r="C4591" i="1"/>
  <c r="D4591" i="1"/>
  <c r="C4592" i="1"/>
  <c r="D4592" i="1"/>
  <c r="C4593" i="1"/>
  <c r="D4593" i="1"/>
  <c r="C4594" i="1"/>
  <c r="D4594" i="1"/>
  <c r="C4595" i="1"/>
  <c r="D4595" i="1"/>
  <c r="C4596" i="1"/>
  <c r="D4596" i="1"/>
  <c r="C4597" i="1"/>
  <c r="D4597" i="1"/>
  <c r="C4598" i="1"/>
  <c r="D4598" i="1"/>
  <c r="C4599" i="1"/>
  <c r="D4599" i="1"/>
  <c r="C4600" i="1"/>
  <c r="D4600" i="1"/>
  <c r="C4601" i="1"/>
  <c r="D4601" i="1"/>
  <c r="C4602" i="1"/>
  <c r="D4602" i="1"/>
  <c r="C4603" i="1"/>
  <c r="D4603" i="1"/>
  <c r="C4604" i="1"/>
  <c r="D4604" i="1"/>
  <c r="C4605" i="1"/>
  <c r="D4605" i="1"/>
  <c r="C4606" i="1"/>
  <c r="D4606" i="1"/>
  <c r="C4607" i="1"/>
  <c r="D4607" i="1"/>
  <c r="C4608" i="1"/>
  <c r="D4608" i="1"/>
  <c r="C4609" i="1"/>
  <c r="D4609" i="1"/>
  <c r="C4610" i="1"/>
  <c r="D4610" i="1"/>
  <c r="C4611" i="1"/>
  <c r="D4611" i="1"/>
  <c r="C4612" i="1"/>
  <c r="D4612" i="1"/>
  <c r="C4613" i="1"/>
  <c r="D4613" i="1"/>
  <c r="C4614" i="1"/>
  <c r="D4614" i="1"/>
  <c r="C4615" i="1"/>
  <c r="D4615" i="1"/>
  <c r="C4616" i="1"/>
  <c r="D4616" i="1"/>
  <c r="C4617" i="1"/>
  <c r="D4617" i="1"/>
  <c r="C4618" i="1"/>
  <c r="D4618" i="1"/>
  <c r="C4619" i="1"/>
  <c r="D4619" i="1"/>
  <c r="C4620" i="1"/>
  <c r="D4620" i="1"/>
  <c r="C4621" i="1"/>
  <c r="D4621" i="1"/>
  <c r="C4622" i="1"/>
  <c r="D4622" i="1"/>
  <c r="C4623" i="1"/>
  <c r="D4623" i="1"/>
  <c r="C4624" i="1"/>
  <c r="D4624" i="1"/>
  <c r="C4625" i="1"/>
  <c r="D4625" i="1"/>
  <c r="C4626" i="1"/>
  <c r="D4626" i="1"/>
  <c r="C4627" i="1"/>
  <c r="D4627" i="1"/>
  <c r="C4628" i="1"/>
  <c r="D4628" i="1"/>
  <c r="C4629" i="1"/>
  <c r="D4629" i="1"/>
  <c r="C4630" i="1"/>
  <c r="D4630" i="1"/>
  <c r="C4631" i="1"/>
  <c r="D4631" i="1"/>
  <c r="C4632" i="1"/>
  <c r="D4632" i="1"/>
  <c r="C4633" i="1"/>
  <c r="D4633" i="1"/>
  <c r="C4634" i="1"/>
  <c r="D4634" i="1"/>
  <c r="C4635" i="1"/>
  <c r="D4635" i="1"/>
  <c r="C4636" i="1"/>
  <c r="D4636" i="1"/>
  <c r="C4637" i="1"/>
  <c r="D4637" i="1"/>
  <c r="C4638" i="1"/>
  <c r="D4638" i="1"/>
  <c r="C4639" i="1"/>
  <c r="D4639" i="1"/>
  <c r="C4640" i="1"/>
  <c r="D4640" i="1"/>
  <c r="C4641" i="1"/>
  <c r="D4641" i="1"/>
  <c r="C4642" i="1"/>
  <c r="D4642" i="1"/>
  <c r="C4643" i="1"/>
  <c r="D4643" i="1"/>
  <c r="C4644" i="1"/>
  <c r="D4644" i="1"/>
  <c r="C4645" i="1"/>
  <c r="D4645" i="1"/>
  <c r="C4646" i="1"/>
  <c r="D4646" i="1"/>
  <c r="C4647" i="1"/>
  <c r="D4647" i="1"/>
  <c r="C4648" i="1"/>
  <c r="D4648" i="1"/>
  <c r="C4649" i="1"/>
  <c r="D4649" i="1"/>
  <c r="C4650" i="1"/>
  <c r="D4650" i="1"/>
  <c r="C4651" i="1"/>
  <c r="D4651" i="1"/>
  <c r="C4652" i="1"/>
  <c r="D4652" i="1"/>
  <c r="C4653" i="1"/>
  <c r="D4653" i="1"/>
  <c r="C4654" i="1"/>
  <c r="D4654" i="1"/>
  <c r="C4655" i="1"/>
  <c r="D4655" i="1"/>
  <c r="C4656" i="1"/>
  <c r="D4656" i="1"/>
  <c r="C4657" i="1"/>
  <c r="D4657" i="1"/>
  <c r="C4658" i="1"/>
  <c r="D4658" i="1"/>
  <c r="C4659" i="1"/>
  <c r="D4659" i="1"/>
  <c r="C4660" i="1"/>
  <c r="D4660" i="1"/>
  <c r="C4661" i="1"/>
  <c r="D4661" i="1"/>
  <c r="C4662" i="1"/>
  <c r="D4662" i="1"/>
  <c r="C4663" i="1"/>
  <c r="D4663" i="1"/>
  <c r="C4664" i="1"/>
  <c r="D4664" i="1"/>
  <c r="C4665" i="1"/>
  <c r="D4665" i="1"/>
  <c r="C4666" i="1"/>
  <c r="D4666" i="1"/>
  <c r="C4667" i="1"/>
  <c r="D4667" i="1"/>
  <c r="C4668" i="1"/>
  <c r="D4668" i="1"/>
  <c r="C4669" i="1"/>
  <c r="D4669" i="1"/>
  <c r="C4670" i="1"/>
  <c r="D4670" i="1"/>
  <c r="C4671" i="1"/>
  <c r="D4671" i="1"/>
  <c r="C4672" i="1"/>
  <c r="D4672" i="1"/>
  <c r="C4673" i="1"/>
  <c r="D4673" i="1"/>
  <c r="C4674" i="1"/>
  <c r="D4674" i="1"/>
  <c r="C4675" i="1"/>
  <c r="D4675" i="1"/>
  <c r="C4676" i="1"/>
  <c r="D4676" i="1"/>
  <c r="C4677" i="1"/>
  <c r="D4677" i="1"/>
  <c r="C4678" i="1"/>
  <c r="D4678" i="1"/>
  <c r="C4679" i="1"/>
  <c r="D4679" i="1"/>
  <c r="C4680" i="1"/>
  <c r="D4680" i="1"/>
  <c r="C4681" i="1"/>
  <c r="D4681" i="1"/>
  <c r="C4682" i="1"/>
  <c r="D4682" i="1"/>
  <c r="C4683" i="1"/>
  <c r="D4683" i="1"/>
  <c r="C4684" i="1"/>
  <c r="D4684" i="1"/>
  <c r="C4685" i="1"/>
  <c r="D4685" i="1"/>
  <c r="C4686" i="1"/>
  <c r="D4686" i="1"/>
  <c r="C4687" i="1"/>
  <c r="D4687" i="1"/>
  <c r="C4688" i="1"/>
  <c r="D4688" i="1"/>
  <c r="C4689" i="1"/>
  <c r="D4689" i="1"/>
  <c r="C4690" i="1"/>
  <c r="D4690" i="1"/>
  <c r="C4691" i="1"/>
  <c r="D4691" i="1"/>
  <c r="C4692" i="1"/>
  <c r="D4692" i="1"/>
  <c r="C4693" i="1"/>
  <c r="D4693" i="1"/>
  <c r="C4694" i="1"/>
  <c r="D4694" i="1"/>
  <c r="C4695" i="1"/>
  <c r="D4695" i="1"/>
  <c r="C4696" i="1"/>
  <c r="D4696" i="1"/>
  <c r="C4697" i="1"/>
  <c r="D4697" i="1"/>
  <c r="C4698" i="1"/>
  <c r="D4698" i="1"/>
  <c r="C4699" i="1"/>
  <c r="D4699" i="1"/>
  <c r="C4700" i="1"/>
  <c r="D4700" i="1"/>
  <c r="C4701" i="1"/>
  <c r="D4701" i="1"/>
  <c r="C4702" i="1"/>
  <c r="D4702" i="1"/>
  <c r="C4703" i="1"/>
  <c r="D4703" i="1"/>
  <c r="C4704" i="1"/>
  <c r="D4704" i="1"/>
  <c r="C4705" i="1"/>
  <c r="D4705" i="1"/>
  <c r="C4706" i="1"/>
  <c r="D4706" i="1"/>
  <c r="C4707" i="1"/>
  <c r="D4707" i="1"/>
  <c r="C4708" i="1"/>
  <c r="D4708" i="1"/>
  <c r="C4709" i="1"/>
  <c r="D4709" i="1"/>
  <c r="C4710" i="1"/>
  <c r="D4710" i="1"/>
  <c r="C4711" i="1"/>
  <c r="D4711" i="1"/>
  <c r="C4712" i="1"/>
  <c r="D4712" i="1"/>
  <c r="C4713" i="1"/>
  <c r="D4713" i="1"/>
  <c r="C4714" i="1"/>
  <c r="D4714" i="1"/>
  <c r="C4715" i="1"/>
  <c r="D4715" i="1"/>
  <c r="C4716" i="1"/>
  <c r="D4716" i="1"/>
  <c r="C4717" i="1"/>
  <c r="D4717" i="1"/>
  <c r="C4718" i="1"/>
  <c r="D4718" i="1"/>
  <c r="C4719" i="1"/>
  <c r="D4719" i="1"/>
  <c r="C4720" i="1"/>
  <c r="D4720" i="1"/>
  <c r="C4721" i="1"/>
  <c r="D4721" i="1"/>
  <c r="C4722" i="1"/>
  <c r="D4722" i="1"/>
  <c r="C4723" i="1"/>
  <c r="D4723" i="1"/>
  <c r="C4724" i="1"/>
  <c r="D4724" i="1"/>
  <c r="C4725" i="1"/>
  <c r="D4725" i="1"/>
  <c r="C4726" i="1"/>
  <c r="D4726" i="1"/>
  <c r="C4727" i="1"/>
  <c r="D4727" i="1"/>
  <c r="C4728" i="1"/>
  <c r="D4728" i="1"/>
  <c r="C4729" i="1"/>
  <c r="D4729" i="1"/>
  <c r="C4730" i="1"/>
  <c r="D4730" i="1"/>
  <c r="C4731" i="1"/>
  <c r="D4731" i="1"/>
  <c r="C4732" i="1"/>
  <c r="D4732" i="1"/>
  <c r="C4733" i="1"/>
  <c r="D4733" i="1"/>
  <c r="C4734" i="1"/>
  <c r="D4734" i="1"/>
  <c r="C4735" i="1"/>
  <c r="D4735" i="1"/>
  <c r="C4736" i="1"/>
  <c r="D4736" i="1"/>
  <c r="C4737" i="1"/>
  <c r="D4737" i="1"/>
  <c r="C4738" i="1"/>
  <c r="D4738" i="1"/>
  <c r="C4739" i="1"/>
  <c r="D4739" i="1"/>
  <c r="C4740" i="1"/>
  <c r="D4740" i="1"/>
  <c r="C4741" i="1"/>
  <c r="D4741" i="1"/>
  <c r="C4742" i="1"/>
  <c r="D4742" i="1"/>
  <c r="C4743" i="1"/>
  <c r="D4743" i="1"/>
  <c r="C4744" i="1"/>
  <c r="D4744" i="1"/>
  <c r="C4745" i="1"/>
  <c r="D4745" i="1"/>
  <c r="C4746" i="1"/>
  <c r="D4746" i="1"/>
  <c r="C4747" i="1"/>
  <c r="D4747" i="1"/>
  <c r="C4748" i="1"/>
  <c r="D4748" i="1"/>
  <c r="C4749" i="1"/>
  <c r="D4749" i="1"/>
  <c r="C4750" i="1"/>
  <c r="D4750" i="1"/>
  <c r="C4751" i="1"/>
  <c r="D4751" i="1"/>
  <c r="C4752" i="1"/>
  <c r="D4752" i="1"/>
  <c r="C4753" i="1"/>
  <c r="D4753" i="1"/>
  <c r="C4754" i="1"/>
  <c r="D4754" i="1"/>
  <c r="C4755" i="1"/>
  <c r="D4755" i="1"/>
  <c r="C4756" i="1"/>
  <c r="D4756" i="1"/>
  <c r="C4757" i="1"/>
  <c r="D4757" i="1"/>
  <c r="C4758" i="1"/>
  <c r="D4758" i="1"/>
  <c r="C4759" i="1"/>
  <c r="D4759" i="1"/>
  <c r="C4760" i="1"/>
  <c r="D4760" i="1"/>
  <c r="C4761" i="1"/>
  <c r="D4761" i="1"/>
  <c r="C4762" i="1"/>
  <c r="D4762" i="1"/>
  <c r="C4763" i="1"/>
  <c r="D4763" i="1"/>
  <c r="C4764" i="1"/>
  <c r="D4764" i="1"/>
  <c r="C4765" i="1"/>
  <c r="D4765" i="1"/>
  <c r="C4766" i="1"/>
  <c r="D4766" i="1"/>
  <c r="C4767" i="1"/>
  <c r="D4767" i="1"/>
  <c r="C4768" i="1"/>
  <c r="D4768" i="1"/>
  <c r="C4769" i="1"/>
  <c r="D4769" i="1"/>
  <c r="C4770" i="1"/>
  <c r="D4770" i="1"/>
  <c r="C4771" i="1"/>
  <c r="D4771" i="1"/>
  <c r="C4772" i="1"/>
  <c r="D4772" i="1"/>
  <c r="C4773" i="1"/>
  <c r="D4773" i="1"/>
  <c r="C4774" i="1"/>
  <c r="D4774" i="1"/>
  <c r="C4775" i="1"/>
  <c r="D4775" i="1"/>
  <c r="C4776" i="1"/>
  <c r="D4776" i="1"/>
  <c r="C4777" i="1"/>
  <c r="D4777" i="1"/>
  <c r="C4778" i="1"/>
  <c r="D4778" i="1"/>
  <c r="C4779" i="1"/>
  <c r="D4779" i="1"/>
  <c r="C4780" i="1"/>
  <c r="D4780" i="1"/>
  <c r="C4781" i="1"/>
  <c r="D4781" i="1"/>
  <c r="C4782" i="1"/>
  <c r="D4782" i="1"/>
  <c r="C4783" i="1"/>
  <c r="D4783" i="1"/>
  <c r="C4784" i="1"/>
  <c r="D4784" i="1"/>
  <c r="C4785" i="1"/>
  <c r="D4785" i="1"/>
  <c r="C4786" i="1"/>
  <c r="D4786" i="1"/>
  <c r="C4787" i="1"/>
  <c r="D4787" i="1"/>
  <c r="C4788" i="1"/>
  <c r="D4788" i="1"/>
  <c r="C4789" i="1"/>
  <c r="D4789" i="1"/>
  <c r="C4790" i="1"/>
  <c r="D4790" i="1"/>
  <c r="C4791" i="1"/>
  <c r="D4791" i="1"/>
  <c r="C4792" i="1"/>
  <c r="D4792" i="1"/>
  <c r="C4793" i="1"/>
  <c r="D4793" i="1"/>
  <c r="C4794" i="1"/>
  <c r="D4794" i="1"/>
  <c r="C4795" i="1"/>
  <c r="D4795" i="1"/>
  <c r="C4796" i="1"/>
  <c r="D4796" i="1"/>
  <c r="C4797" i="1"/>
  <c r="D4797" i="1"/>
  <c r="C4798" i="1"/>
  <c r="D4798" i="1"/>
  <c r="C4799" i="1"/>
  <c r="D4799" i="1"/>
  <c r="C4800" i="1"/>
  <c r="D4800" i="1"/>
  <c r="C4801" i="1"/>
  <c r="D4801" i="1"/>
  <c r="C4802" i="1"/>
  <c r="D4802" i="1"/>
  <c r="C4803" i="1"/>
  <c r="D4803" i="1"/>
  <c r="C4804" i="1"/>
  <c r="D4804" i="1"/>
  <c r="C4805" i="1"/>
  <c r="D4805" i="1"/>
  <c r="C4806" i="1"/>
  <c r="D4806" i="1"/>
  <c r="C4807" i="1"/>
  <c r="D4807" i="1"/>
  <c r="C4808" i="1"/>
  <c r="D4808" i="1"/>
  <c r="C4809" i="1"/>
  <c r="D4809" i="1"/>
  <c r="C4810" i="1"/>
  <c r="D4810" i="1"/>
  <c r="C4811" i="1"/>
  <c r="D4811" i="1"/>
  <c r="C4812" i="1"/>
  <c r="D4812" i="1"/>
  <c r="C4813" i="1"/>
  <c r="D4813" i="1"/>
  <c r="C4814" i="1"/>
  <c r="D4814" i="1"/>
  <c r="C4815" i="1"/>
  <c r="D4815" i="1"/>
  <c r="C4816" i="1"/>
  <c r="D4816" i="1"/>
  <c r="C4817" i="1"/>
  <c r="D4817" i="1"/>
  <c r="C4818" i="1"/>
  <c r="D4818" i="1"/>
  <c r="C4819" i="1"/>
  <c r="D4819" i="1"/>
  <c r="C4820" i="1"/>
  <c r="D4820" i="1"/>
  <c r="C4821" i="1"/>
  <c r="D4821" i="1"/>
  <c r="C4822" i="1"/>
  <c r="D4822" i="1"/>
  <c r="C4823" i="1"/>
  <c r="D4823" i="1"/>
  <c r="C4824" i="1"/>
  <c r="D4824" i="1"/>
  <c r="C4825" i="1"/>
  <c r="D4825" i="1"/>
  <c r="C4826" i="1"/>
  <c r="D4826" i="1"/>
  <c r="C4827" i="1"/>
  <c r="D4827" i="1"/>
  <c r="C4828" i="1"/>
  <c r="D4828" i="1"/>
  <c r="C4829" i="1"/>
  <c r="D4829" i="1"/>
  <c r="C4830" i="1"/>
  <c r="D4830" i="1"/>
  <c r="C4831" i="1"/>
  <c r="D4831" i="1"/>
  <c r="C4832" i="1"/>
  <c r="D4832" i="1"/>
  <c r="C4833" i="1"/>
  <c r="D4833" i="1"/>
  <c r="C4834" i="1"/>
  <c r="D4834" i="1"/>
  <c r="C4835" i="1"/>
  <c r="D4835" i="1"/>
  <c r="C4836" i="1"/>
  <c r="D4836" i="1"/>
  <c r="C4837" i="1"/>
  <c r="D4837" i="1"/>
  <c r="C4838" i="1"/>
  <c r="D4838" i="1"/>
  <c r="C4839" i="1"/>
  <c r="D4839" i="1"/>
  <c r="C4840" i="1"/>
  <c r="D4840" i="1"/>
  <c r="C4841" i="1"/>
  <c r="D4841" i="1"/>
  <c r="C4842" i="1"/>
  <c r="D4842" i="1"/>
  <c r="C4843" i="1"/>
  <c r="D4843" i="1"/>
  <c r="C4844" i="1"/>
  <c r="D4844" i="1"/>
  <c r="C4845" i="1"/>
  <c r="D4845" i="1"/>
  <c r="C4846" i="1"/>
  <c r="D4846" i="1"/>
  <c r="C4847" i="1"/>
  <c r="D4847" i="1"/>
  <c r="C4848" i="1"/>
  <c r="D4848" i="1"/>
  <c r="C4849" i="1"/>
  <c r="D4849" i="1"/>
  <c r="C4850" i="1"/>
  <c r="D4850" i="1"/>
  <c r="C4851" i="1"/>
  <c r="D4851" i="1"/>
  <c r="C4852" i="1"/>
  <c r="D4852" i="1"/>
  <c r="C4853" i="1"/>
  <c r="D4853" i="1"/>
  <c r="C4854" i="1"/>
  <c r="D4854" i="1"/>
  <c r="C4855" i="1"/>
  <c r="D4855" i="1"/>
  <c r="C4856" i="1"/>
  <c r="D4856" i="1"/>
  <c r="C4857" i="1"/>
  <c r="D4857" i="1"/>
  <c r="C4858" i="1"/>
  <c r="D4858" i="1"/>
  <c r="C4859" i="1"/>
  <c r="D4859" i="1"/>
  <c r="C4860" i="1"/>
  <c r="D4860" i="1"/>
  <c r="C4861" i="1"/>
  <c r="D4861" i="1"/>
  <c r="C4862" i="1"/>
  <c r="D4862" i="1"/>
  <c r="C4863" i="1"/>
  <c r="D4863" i="1"/>
  <c r="C4864" i="1"/>
  <c r="D4864" i="1"/>
  <c r="C4865" i="1"/>
  <c r="D4865" i="1"/>
  <c r="C4866" i="1"/>
  <c r="D4866" i="1"/>
  <c r="C4867" i="1"/>
  <c r="D4867" i="1"/>
  <c r="C4868" i="1"/>
  <c r="D4868" i="1"/>
  <c r="C4869" i="1"/>
  <c r="D4869" i="1"/>
  <c r="C4870" i="1"/>
  <c r="D4870" i="1"/>
  <c r="C4871" i="1"/>
  <c r="D4871" i="1"/>
  <c r="C4872" i="1"/>
  <c r="D4872" i="1"/>
  <c r="C4873" i="1"/>
  <c r="D4873" i="1"/>
  <c r="C4874" i="1"/>
  <c r="D4874" i="1"/>
  <c r="C4875" i="1"/>
  <c r="D4875" i="1"/>
  <c r="C4876" i="1"/>
  <c r="D4876" i="1"/>
  <c r="C4877" i="1"/>
  <c r="D4877" i="1"/>
  <c r="C4878" i="1"/>
  <c r="D4878" i="1"/>
  <c r="C4879" i="1"/>
  <c r="D4879" i="1"/>
  <c r="C4880" i="1"/>
  <c r="D4880" i="1"/>
  <c r="C4881" i="1"/>
  <c r="D4881" i="1"/>
  <c r="C4882" i="1"/>
  <c r="D4882" i="1"/>
  <c r="C4883" i="1"/>
  <c r="D4883" i="1"/>
  <c r="C4884" i="1"/>
  <c r="D4884" i="1"/>
  <c r="C4885" i="1"/>
  <c r="D4885" i="1"/>
  <c r="C4886" i="1"/>
  <c r="D4886" i="1"/>
  <c r="C4887" i="1"/>
  <c r="D4887" i="1"/>
  <c r="C4888" i="1"/>
  <c r="D4888" i="1"/>
  <c r="C4889" i="1"/>
  <c r="D4889" i="1"/>
  <c r="C4890" i="1"/>
  <c r="D4890" i="1"/>
  <c r="C4891" i="1"/>
  <c r="D4891" i="1"/>
  <c r="C4892" i="1"/>
  <c r="D4892" i="1"/>
  <c r="C4893" i="1"/>
  <c r="D4893" i="1"/>
  <c r="C4894" i="1"/>
  <c r="D4894" i="1"/>
  <c r="C4895" i="1"/>
  <c r="D4895" i="1"/>
  <c r="C4896" i="1"/>
  <c r="D4896" i="1"/>
  <c r="C4897" i="1"/>
  <c r="D4897" i="1"/>
  <c r="C4898" i="1"/>
  <c r="D4898" i="1"/>
  <c r="C4899" i="1"/>
  <c r="D4899" i="1"/>
  <c r="C4900" i="1"/>
  <c r="D4900" i="1"/>
  <c r="C4901" i="1"/>
  <c r="D4901" i="1"/>
  <c r="C4902" i="1"/>
  <c r="D4902" i="1"/>
  <c r="C4903" i="1"/>
  <c r="D4903" i="1"/>
  <c r="C4904" i="1"/>
  <c r="D4904" i="1"/>
  <c r="C4905" i="1"/>
  <c r="D4905" i="1"/>
  <c r="C4906" i="1"/>
  <c r="D4906" i="1"/>
  <c r="C4907" i="1"/>
  <c r="D4907" i="1"/>
  <c r="C4908" i="1"/>
  <c r="D4908" i="1"/>
  <c r="C4909" i="1"/>
  <c r="D4909" i="1"/>
  <c r="C4910" i="1"/>
  <c r="D4910" i="1"/>
  <c r="C4911" i="1"/>
  <c r="D4911" i="1"/>
  <c r="C4912" i="1"/>
  <c r="D4912" i="1"/>
  <c r="C4913" i="1"/>
  <c r="D4913" i="1"/>
  <c r="C4914" i="1"/>
  <c r="D4914" i="1"/>
  <c r="C4915" i="1"/>
  <c r="D4915" i="1"/>
  <c r="C4916" i="1"/>
  <c r="D4916" i="1"/>
  <c r="C4917" i="1"/>
  <c r="D4917" i="1"/>
  <c r="C4918" i="1"/>
  <c r="D4918" i="1"/>
  <c r="C4919" i="1"/>
  <c r="D4919" i="1"/>
  <c r="C4920" i="1"/>
  <c r="D4920" i="1"/>
  <c r="C4921" i="1"/>
  <c r="D4921" i="1"/>
  <c r="C4922" i="1"/>
  <c r="D4922" i="1"/>
  <c r="C4923" i="1"/>
  <c r="D4923" i="1"/>
  <c r="C4924" i="1"/>
  <c r="D4924" i="1"/>
  <c r="C4925" i="1"/>
  <c r="D4925" i="1"/>
  <c r="C4926" i="1"/>
  <c r="D4926" i="1"/>
  <c r="C4927" i="1"/>
  <c r="D4927" i="1"/>
  <c r="C4928" i="1"/>
  <c r="D4928" i="1"/>
  <c r="C4929" i="1"/>
  <c r="D4929" i="1"/>
  <c r="C4930" i="1"/>
  <c r="D4930" i="1"/>
  <c r="C4931" i="1"/>
  <c r="D4931" i="1"/>
  <c r="C4932" i="1"/>
  <c r="D4932" i="1"/>
  <c r="C4933" i="1"/>
  <c r="D4933" i="1"/>
  <c r="C4934" i="1"/>
  <c r="D4934" i="1"/>
  <c r="C4935" i="1"/>
  <c r="D4935" i="1"/>
  <c r="C4936" i="1"/>
  <c r="D4936" i="1"/>
  <c r="C4937" i="1"/>
  <c r="D4937" i="1"/>
  <c r="C4938" i="1"/>
  <c r="D4938" i="1"/>
  <c r="C4939" i="1"/>
  <c r="D4939" i="1"/>
  <c r="C4940" i="1"/>
  <c r="D4940" i="1"/>
  <c r="C4941" i="1"/>
  <c r="D4941" i="1"/>
  <c r="C4942" i="1"/>
  <c r="D4942" i="1"/>
  <c r="C4943" i="1"/>
  <c r="D4943" i="1"/>
  <c r="C4944" i="1"/>
  <c r="D4944" i="1"/>
  <c r="C4945" i="1"/>
  <c r="D4945" i="1"/>
  <c r="C4946" i="1"/>
  <c r="D4946" i="1"/>
  <c r="C4947" i="1"/>
  <c r="D4947" i="1"/>
  <c r="C4948" i="1"/>
  <c r="D4948" i="1"/>
  <c r="C4949" i="1"/>
  <c r="D4949" i="1"/>
  <c r="C4950" i="1"/>
  <c r="D4950" i="1"/>
  <c r="C4951" i="1"/>
  <c r="D4951" i="1"/>
  <c r="C4952" i="1"/>
  <c r="D4952" i="1"/>
  <c r="C4953" i="1"/>
  <c r="D4953" i="1"/>
  <c r="C4954" i="1"/>
  <c r="D4954" i="1"/>
  <c r="C4955" i="1"/>
  <c r="D4955" i="1"/>
  <c r="C4957" i="1"/>
  <c r="D4957" i="1"/>
  <c r="C4958" i="1"/>
  <c r="D4958" i="1"/>
  <c r="C4959" i="1"/>
  <c r="D4959" i="1"/>
  <c r="C4960" i="1"/>
  <c r="D4960" i="1"/>
  <c r="C4961" i="1"/>
  <c r="D4961" i="1"/>
  <c r="C4962" i="1"/>
  <c r="D4962" i="1"/>
  <c r="C4963" i="1"/>
  <c r="D4963" i="1"/>
  <c r="C4964" i="1"/>
  <c r="D4964" i="1"/>
  <c r="C4965" i="1"/>
  <c r="D4965" i="1"/>
  <c r="C4966" i="1"/>
  <c r="D4966" i="1"/>
  <c r="C4967" i="1"/>
  <c r="D4967" i="1"/>
  <c r="C4968" i="1"/>
  <c r="D4968" i="1"/>
  <c r="C4969" i="1"/>
  <c r="D4969" i="1"/>
  <c r="C4970" i="1"/>
  <c r="D4970" i="1"/>
  <c r="C4971" i="1"/>
  <c r="D4971" i="1"/>
  <c r="C4972" i="1"/>
  <c r="D4972" i="1"/>
  <c r="C4973" i="1"/>
  <c r="D4973" i="1"/>
  <c r="C4974" i="1"/>
  <c r="D4974" i="1"/>
  <c r="C4975" i="1"/>
  <c r="D4975" i="1"/>
  <c r="C4976" i="1"/>
  <c r="D4976" i="1"/>
  <c r="C4977" i="1"/>
  <c r="D4977" i="1"/>
  <c r="C4978" i="1"/>
  <c r="D4978" i="1"/>
  <c r="C4979" i="1"/>
  <c r="D4979" i="1"/>
  <c r="C4980" i="1"/>
  <c r="D4980" i="1"/>
  <c r="C4981" i="1"/>
  <c r="D4981" i="1"/>
  <c r="C4982" i="1"/>
  <c r="D4982" i="1"/>
  <c r="C4983" i="1"/>
  <c r="D4983" i="1"/>
  <c r="C4984" i="1"/>
  <c r="D4984" i="1"/>
  <c r="C4985" i="1"/>
  <c r="D4985" i="1"/>
  <c r="C4986" i="1"/>
  <c r="D4986" i="1"/>
  <c r="C4987" i="1"/>
  <c r="D4987" i="1"/>
  <c r="C4988" i="1"/>
  <c r="D4988" i="1"/>
  <c r="C4989" i="1"/>
  <c r="D4989" i="1"/>
  <c r="C4990" i="1"/>
  <c r="D4990" i="1"/>
  <c r="C4991" i="1"/>
  <c r="D4991" i="1"/>
  <c r="C4992" i="1"/>
  <c r="D4992" i="1"/>
  <c r="C4993" i="1"/>
  <c r="D4993" i="1"/>
  <c r="C4994" i="1"/>
  <c r="D4994" i="1"/>
  <c r="C4995" i="1"/>
  <c r="D4995" i="1"/>
  <c r="C4996" i="1"/>
  <c r="D4996" i="1"/>
  <c r="C4997" i="1"/>
  <c r="D4997" i="1"/>
  <c r="C4998" i="1"/>
  <c r="D4998" i="1"/>
  <c r="C4999" i="1"/>
  <c r="D4999" i="1"/>
  <c r="C5000" i="1"/>
  <c r="D5000" i="1"/>
  <c r="C5001" i="1"/>
  <c r="D5001" i="1"/>
  <c r="C5002" i="1"/>
  <c r="D5002" i="1"/>
  <c r="C5003" i="1"/>
  <c r="D5003" i="1"/>
  <c r="C5004" i="1"/>
  <c r="D5004" i="1"/>
  <c r="C5005" i="1"/>
  <c r="D5005" i="1"/>
  <c r="C5006" i="1"/>
  <c r="D5006" i="1"/>
  <c r="C5007" i="1"/>
  <c r="D5007" i="1"/>
  <c r="C5008" i="1"/>
  <c r="D5008" i="1"/>
  <c r="C5009" i="1"/>
  <c r="D5009" i="1"/>
  <c r="C5010" i="1"/>
  <c r="D5010" i="1"/>
  <c r="C5011" i="1"/>
  <c r="D5011" i="1"/>
  <c r="C5012" i="1"/>
  <c r="D5012" i="1"/>
  <c r="C5013" i="1"/>
  <c r="D5013" i="1"/>
  <c r="C5014" i="1"/>
  <c r="D5014" i="1"/>
  <c r="C5015" i="1"/>
  <c r="D5015" i="1"/>
  <c r="C5016" i="1"/>
  <c r="D5016" i="1"/>
  <c r="C5017" i="1"/>
  <c r="D5017" i="1"/>
  <c r="C5018" i="1"/>
  <c r="D5018" i="1"/>
  <c r="C5019" i="1"/>
  <c r="D5019" i="1"/>
  <c r="C5020" i="1"/>
  <c r="D5020" i="1"/>
  <c r="C5021" i="1"/>
  <c r="D5021" i="1"/>
  <c r="C5022" i="1"/>
  <c r="D5022" i="1"/>
  <c r="C5023" i="1"/>
  <c r="D5023" i="1"/>
  <c r="C5024" i="1"/>
  <c r="D5024" i="1"/>
  <c r="C5025" i="1"/>
  <c r="D5025" i="1"/>
  <c r="C5026" i="1"/>
  <c r="D5026" i="1"/>
  <c r="C5027" i="1"/>
  <c r="D5027" i="1"/>
  <c r="C5028" i="1"/>
  <c r="D5028" i="1"/>
  <c r="C5029" i="1"/>
  <c r="D5029" i="1"/>
  <c r="C5030" i="1"/>
  <c r="D5030" i="1"/>
  <c r="C5031" i="1"/>
  <c r="D5031" i="1"/>
  <c r="C5032" i="1"/>
  <c r="D5032" i="1"/>
  <c r="C5033" i="1"/>
  <c r="D5033" i="1"/>
  <c r="C5034" i="1"/>
  <c r="D5034" i="1"/>
  <c r="C5035" i="1"/>
  <c r="D5035" i="1"/>
  <c r="C5036" i="1"/>
  <c r="D5036" i="1"/>
  <c r="C5037" i="1"/>
  <c r="D5037" i="1"/>
  <c r="C5038" i="1"/>
  <c r="D5038" i="1"/>
  <c r="C5039" i="1"/>
  <c r="D5039" i="1"/>
  <c r="C5040" i="1"/>
  <c r="D5040" i="1"/>
  <c r="C5041" i="1"/>
  <c r="D5041" i="1"/>
  <c r="C5042" i="1"/>
  <c r="D5042" i="1"/>
  <c r="C5043" i="1"/>
  <c r="D5043" i="1"/>
  <c r="C5044" i="1"/>
  <c r="D5044" i="1"/>
  <c r="C5045" i="1"/>
  <c r="D5045" i="1"/>
  <c r="C5046" i="1"/>
  <c r="D5046" i="1"/>
  <c r="C5047" i="1"/>
  <c r="D5047" i="1"/>
  <c r="C5048" i="1"/>
  <c r="D5048" i="1"/>
  <c r="C5049" i="1"/>
  <c r="D5049" i="1"/>
  <c r="C5050" i="1"/>
  <c r="D5050" i="1"/>
  <c r="C5051" i="1"/>
  <c r="D5051" i="1"/>
  <c r="C5052" i="1"/>
  <c r="D5052" i="1"/>
  <c r="C5053" i="1"/>
  <c r="D5053" i="1"/>
  <c r="C5054" i="1"/>
  <c r="D5054" i="1"/>
  <c r="C5055" i="1"/>
  <c r="D5055" i="1"/>
  <c r="C5056" i="1"/>
  <c r="D5056" i="1"/>
  <c r="C5057" i="1"/>
  <c r="D5057" i="1"/>
  <c r="C5058" i="1"/>
  <c r="D5058" i="1"/>
  <c r="C5059" i="1"/>
  <c r="D5059" i="1"/>
  <c r="C5060" i="1"/>
  <c r="D5060" i="1"/>
  <c r="C5061" i="1"/>
  <c r="D5061" i="1"/>
  <c r="C5062" i="1"/>
  <c r="D5062" i="1"/>
  <c r="C5063" i="1"/>
  <c r="D5063" i="1"/>
  <c r="C5064" i="1"/>
  <c r="D5064" i="1"/>
  <c r="C5065" i="1"/>
  <c r="D5065" i="1"/>
  <c r="C5066" i="1"/>
  <c r="D5066" i="1"/>
  <c r="C5067" i="1"/>
  <c r="D5067" i="1"/>
  <c r="C5068" i="1"/>
  <c r="D5068" i="1"/>
  <c r="C5069" i="1"/>
  <c r="D5069" i="1"/>
  <c r="C5070" i="1"/>
  <c r="D5070" i="1"/>
  <c r="C5071" i="1"/>
  <c r="D5071" i="1"/>
  <c r="C5072" i="1"/>
  <c r="D5072" i="1"/>
  <c r="C5073" i="1"/>
  <c r="D5073" i="1"/>
  <c r="C5074" i="1"/>
  <c r="D5074" i="1"/>
  <c r="C5075" i="1"/>
  <c r="D5075" i="1"/>
  <c r="C5076" i="1"/>
  <c r="D5076" i="1"/>
  <c r="C5077" i="1"/>
  <c r="D5077" i="1"/>
  <c r="C5078" i="1"/>
  <c r="D5078" i="1"/>
  <c r="C5079" i="1"/>
  <c r="D5079" i="1"/>
  <c r="C5080" i="1"/>
  <c r="D5080" i="1"/>
  <c r="C5081" i="1"/>
  <c r="D5081" i="1"/>
  <c r="C5082" i="1"/>
  <c r="D5082" i="1"/>
  <c r="C5083" i="1"/>
  <c r="D5083" i="1"/>
  <c r="C5084" i="1"/>
  <c r="D5084" i="1"/>
  <c r="C5085" i="1"/>
  <c r="D5085" i="1"/>
  <c r="C5086" i="1"/>
  <c r="D5086" i="1"/>
  <c r="C5087" i="1"/>
  <c r="D5087" i="1"/>
  <c r="C5088" i="1"/>
  <c r="D5088" i="1"/>
  <c r="C5089" i="1"/>
  <c r="D5089" i="1"/>
  <c r="C5090" i="1"/>
  <c r="D5090" i="1"/>
  <c r="C5091" i="1"/>
  <c r="D5091" i="1"/>
  <c r="C5092" i="1"/>
  <c r="D5092" i="1"/>
  <c r="C5093" i="1"/>
  <c r="D5093" i="1"/>
  <c r="C5094" i="1"/>
  <c r="D5094" i="1"/>
  <c r="C5095" i="1"/>
  <c r="D5095" i="1"/>
  <c r="C5096" i="1"/>
  <c r="D5096" i="1"/>
  <c r="C5097" i="1"/>
  <c r="D5097" i="1"/>
  <c r="C5098" i="1"/>
  <c r="D5098" i="1"/>
  <c r="C5099" i="1"/>
  <c r="D5099" i="1"/>
  <c r="C5100" i="1"/>
  <c r="D5100" i="1"/>
  <c r="C5101" i="1"/>
  <c r="D5101" i="1"/>
  <c r="C5102" i="1"/>
  <c r="D5102" i="1"/>
  <c r="C5103" i="1"/>
  <c r="D5103" i="1"/>
  <c r="C5104" i="1"/>
  <c r="D5104" i="1"/>
  <c r="C5105" i="1"/>
  <c r="D5105" i="1"/>
  <c r="C5106" i="1"/>
  <c r="D5106" i="1"/>
  <c r="C5107" i="1"/>
  <c r="D5107" i="1"/>
  <c r="C5108" i="1"/>
  <c r="D5108" i="1"/>
  <c r="C5109" i="1"/>
  <c r="D5109" i="1"/>
  <c r="C5110" i="1"/>
  <c r="D5110" i="1"/>
  <c r="C5111" i="1"/>
  <c r="D5111" i="1"/>
  <c r="C5112" i="1"/>
  <c r="D5112" i="1"/>
  <c r="C5113" i="1"/>
  <c r="D5113" i="1"/>
  <c r="C5114" i="1"/>
  <c r="D5114" i="1"/>
  <c r="C5115" i="1"/>
  <c r="D5115" i="1"/>
  <c r="C5116" i="1"/>
  <c r="D5116" i="1"/>
  <c r="C5117" i="1"/>
  <c r="D5117" i="1"/>
  <c r="C5118" i="1"/>
  <c r="D5118" i="1"/>
  <c r="C5119" i="1"/>
  <c r="D5119" i="1"/>
  <c r="C5120" i="1"/>
  <c r="D5120" i="1"/>
  <c r="C5121" i="1"/>
  <c r="D5121" i="1"/>
  <c r="C5122" i="1"/>
  <c r="D5122" i="1"/>
  <c r="C5123" i="1"/>
  <c r="D5123" i="1"/>
  <c r="C5124" i="1"/>
  <c r="D5124" i="1"/>
  <c r="C5125" i="1"/>
  <c r="D5125" i="1"/>
  <c r="C5126" i="1"/>
  <c r="D5126" i="1"/>
  <c r="C5127" i="1"/>
  <c r="D5127" i="1"/>
  <c r="C5128" i="1"/>
  <c r="D5128" i="1"/>
  <c r="C5129" i="1"/>
  <c r="D5129" i="1"/>
  <c r="C5130" i="1"/>
  <c r="D5130" i="1"/>
  <c r="C5131" i="1"/>
  <c r="D5131" i="1"/>
  <c r="C5132" i="1"/>
  <c r="D5132" i="1"/>
  <c r="C5133" i="1"/>
  <c r="D5133" i="1"/>
  <c r="C5134" i="1"/>
  <c r="D5134" i="1"/>
  <c r="C5135" i="1"/>
  <c r="D5135" i="1"/>
  <c r="C5136" i="1"/>
  <c r="D5136" i="1"/>
  <c r="C5137" i="1"/>
  <c r="D5137" i="1"/>
  <c r="C5138" i="1"/>
  <c r="D5138" i="1"/>
  <c r="C5139" i="1"/>
  <c r="D5139" i="1"/>
  <c r="C5140" i="1"/>
  <c r="D5140" i="1"/>
  <c r="C5141" i="1"/>
  <c r="D5141" i="1"/>
  <c r="C5142" i="1"/>
  <c r="D5142" i="1"/>
  <c r="C5143" i="1"/>
  <c r="D5143" i="1"/>
  <c r="C5144" i="1"/>
  <c r="D5144" i="1"/>
  <c r="C5145" i="1"/>
  <c r="D5145" i="1"/>
  <c r="C5146" i="1"/>
  <c r="D5146" i="1"/>
  <c r="C5147" i="1"/>
  <c r="D5147" i="1"/>
  <c r="C5148" i="1"/>
  <c r="D5148" i="1"/>
  <c r="C5149" i="1"/>
  <c r="D5149" i="1"/>
  <c r="C5150" i="1"/>
  <c r="D5150" i="1"/>
  <c r="C5151" i="1"/>
  <c r="D5151" i="1"/>
  <c r="C5152" i="1"/>
  <c r="D5152" i="1"/>
  <c r="C5153" i="1"/>
  <c r="D5153" i="1"/>
  <c r="C5154" i="1"/>
  <c r="D5154" i="1"/>
  <c r="C5155" i="1"/>
  <c r="D5155" i="1"/>
  <c r="C5156" i="1"/>
  <c r="D5156" i="1"/>
  <c r="C5157" i="1"/>
  <c r="D5157" i="1"/>
  <c r="C5158" i="1"/>
  <c r="D5158" i="1"/>
  <c r="C5159" i="1"/>
  <c r="D5159" i="1"/>
  <c r="C5160" i="1"/>
  <c r="D5160" i="1"/>
  <c r="C5161" i="1"/>
  <c r="D5161" i="1"/>
  <c r="C5162" i="1"/>
  <c r="D5162" i="1"/>
  <c r="C5163" i="1"/>
  <c r="D5163" i="1"/>
  <c r="C5164" i="1"/>
  <c r="D5164" i="1"/>
  <c r="C5165" i="1"/>
  <c r="D5165" i="1"/>
  <c r="C5166" i="1"/>
  <c r="D5166" i="1"/>
  <c r="C5167" i="1"/>
  <c r="D5167" i="1"/>
  <c r="C5168" i="1"/>
  <c r="D5168" i="1"/>
  <c r="C5169" i="1"/>
  <c r="D5169" i="1"/>
  <c r="C5170" i="1"/>
  <c r="D5170" i="1"/>
  <c r="C5171" i="1"/>
  <c r="D5171" i="1"/>
  <c r="C5172" i="1"/>
  <c r="D5172" i="1"/>
  <c r="C5173" i="1"/>
  <c r="D5173" i="1"/>
  <c r="C5174" i="1"/>
  <c r="D5174" i="1"/>
  <c r="C5175" i="1"/>
  <c r="D5175" i="1"/>
  <c r="C5176" i="1"/>
  <c r="D5176" i="1"/>
  <c r="C5177" i="1"/>
  <c r="D5177" i="1"/>
  <c r="C5178" i="1"/>
  <c r="D5178" i="1"/>
  <c r="C5179" i="1"/>
  <c r="D5179" i="1"/>
  <c r="C5180" i="1"/>
  <c r="D5180" i="1"/>
  <c r="C5181" i="1"/>
  <c r="D5181" i="1"/>
  <c r="C5182" i="1"/>
  <c r="D5182" i="1"/>
  <c r="C5183" i="1"/>
  <c r="D5183" i="1"/>
  <c r="C5184" i="1"/>
  <c r="D5184" i="1"/>
  <c r="C5185" i="1"/>
  <c r="D5185" i="1"/>
  <c r="C5186" i="1"/>
  <c r="D5186" i="1"/>
  <c r="C5187" i="1"/>
  <c r="D5187" i="1"/>
  <c r="C5188" i="1"/>
  <c r="D5188" i="1"/>
  <c r="C5189" i="1"/>
  <c r="D5189" i="1"/>
  <c r="C5190" i="1"/>
  <c r="D5190" i="1"/>
  <c r="C5191" i="1"/>
  <c r="D5191" i="1"/>
  <c r="C5192" i="1"/>
  <c r="D5192" i="1"/>
  <c r="C5193" i="1"/>
  <c r="D5193" i="1"/>
  <c r="C5194" i="1"/>
  <c r="D5194" i="1"/>
  <c r="C5195" i="1"/>
  <c r="D5195" i="1"/>
  <c r="C5196" i="1"/>
  <c r="D5196" i="1"/>
  <c r="C5197" i="1"/>
  <c r="D5197" i="1"/>
  <c r="C5198" i="1"/>
  <c r="D5198" i="1"/>
  <c r="C5199" i="1"/>
  <c r="D5199" i="1"/>
  <c r="C5200" i="1"/>
  <c r="D5200" i="1"/>
  <c r="C5201" i="1"/>
  <c r="D5201" i="1"/>
  <c r="C5202" i="1"/>
  <c r="D5202" i="1"/>
  <c r="C5203" i="1"/>
  <c r="D5203" i="1"/>
  <c r="C5204" i="1"/>
  <c r="D5204" i="1"/>
  <c r="C5205" i="1"/>
  <c r="D5205" i="1"/>
  <c r="C5206" i="1"/>
  <c r="D5206" i="1"/>
  <c r="C5207" i="1"/>
  <c r="D5207" i="1"/>
  <c r="C5208" i="1"/>
  <c r="D5208" i="1"/>
  <c r="C5209" i="1"/>
  <c r="D5209" i="1"/>
  <c r="C5210" i="1"/>
  <c r="D5210" i="1"/>
  <c r="C5211" i="1"/>
  <c r="D5211" i="1"/>
  <c r="C5212" i="1"/>
  <c r="D5212" i="1"/>
  <c r="C5213" i="1"/>
  <c r="D5213" i="1"/>
  <c r="C5214" i="1"/>
  <c r="D5214" i="1"/>
  <c r="C5215" i="1"/>
  <c r="D5215" i="1"/>
  <c r="C5216" i="1"/>
  <c r="D5216" i="1"/>
  <c r="C5217" i="1"/>
  <c r="D5217" i="1"/>
  <c r="C5218" i="1"/>
  <c r="D5218" i="1"/>
  <c r="C5219" i="1"/>
  <c r="D5219" i="1"/>
  <c r="C5220" i="1"/>
  <c r="D5220" i="1"/>
  <c r="C5221" i="1"/>
  <c r="D5221" i="1"/>
  <c r="C5223" i="1"/>
  <c r="D5223" i="1"/>
  <c r="C5224" i="1"/>
  <c r="D5224" i="1"/>
  <c r="C5225" i="1"/>
  <c r="D5225" i="1"/>
  <c r="C5226" i="1"/>
  <c r="D5226" i="1"/>
  <c r="C5227" i="1"/>
  <c r="D5227" i="1"/>
  <c r="C5228" i="1"/>
  <c r="D5228" i="1"/>
  <c r="C5229" i="1"/>
  <c r="D5229" i="1"/>
  <c r="C5230" i="1"/>
  <c r="D5230" i="1"/>
  <c r="C5231" i="1"/>
  <c r="D5231" i="1"/>
  <c r="C5232" i="1"/>
  <c r="D5232" i="1"/>
  <c r="C5233" i="1"/>
  <c r="D5233" i="1"/>
  <c r="C5234" i="1"/>
  <c r="D5234" i="1"/>
  <c r="C5235" i="1"/>
  <c r="D5235" i="1"/>
  <c r="C5236" i="1"/>
  <c r="D5236" i="1"/>
  <c r="C5237" i="1"/>
  <c r="D5237" i="1"/>
  <c r="C5238" i="1"/>
  <c r="D5238" i="1"/>
  <c r="C5239" i="1"/>
  <c r="D5239" i="1"/>
  <c r="C5240" i="1"/>
  <c r="D5240" i="1"/>
  <c r="C5241" i="1"/>
  <c r="D5241" i="1"/>
  <c r="C5242" i="1"/>
  <c r="D5242" i="1"/>
  <c r="C5243" i="1"/>
  <c r="D5243" i="1"/>
  <c r="C5244" i="1"/>
  <c r="D5244" i="1"/>
  <c r="C5245" i="1"/>
  <c r="D5245" i="1"/>
  <c r="C5246" i="1"/>
  <c r="D5246" i="1"/>
  <c r="C5247" i="1"/>
  <c r="D5247" i="1"/>
  <c r="C5248" i="1"/>
  <c r="D5248" i="1"/>
  <c r="C5249" i="1"/>
  <c r="D5249" i="1"/>
  <c r="C5250" i="1"/>
  <c r="D5250" i="1"/>
  <c r="C5251" i="1"/>
  <c r="D5251" i="1"/>
  <c r="C5252" i="1"/>
  <c r="D5252" i="1"/>
  <c r="C5253" i="1"/>
  <c r="D5253" i="1"/>
  <c r="C5254" i="1"/>
  <c r="D5254" i="1"/>
  <c r="C5255" i="1"/>
  <c r="D5255" i="1"/>
  <c r="C5256" i="1"/>
  <c r="D5256" i="1"/>
  <c r="C5257" i="1"/>
  <c r="D5257" i="1"/>
  <c r="C5258" i="1"/>
  <c r="D5258" i="1"/>
  <c r="C5259" i="1"/>
  <c r="D5259" i="1"/>
  <c r="C5260" i="1"/>
  <c r="D5260" i="1"/>
  <c r="C5261" i="1"/>
  <c r="D5261" i="1"/>
  <c r="C5262" i="1"/>
  <c r="D5262" i="1"/>
  <c r="C5263" i="1"/>
  <c r="D5263" i="1"/>
  <c r="C5264" i="1"/>
  <c r="D5264" i="1"/>
  <c r="C5265" i="1"/>
  <c r="D5265" i="1"/>
  <c r="C5266" i="1"/>
  <c r="D5266" i="1"/>
  <c r="C5267" i="1"/>
  <c r="D5267" i="1"/>
  <c r="C5268" i="1"/>
  <c r="D5268" i="1"/>
  <c r="C5269" i="1"/>
  <c r="D5269" i="1"/>
  <c r="C5270" i="1"/>
  <c r="D5270" i="1"/>
</calcChain>
</file>

<file path=xl/sharedStrings.xml><?xml version="1.0" encoding="utf-8"?>
<sst xmlns="http://schemas.openxmlformats.org/spreadsheetml/2006/main" count="67854" uniqueCount="13763">
  <si>
    <t>Bergin, Joseph</t>
  </si>
  <si>
    <t>Lawler, Peter</t>
  </si>
  <si>
    <t>Metcalfe, Stan</t>
  </si>
  <si>
    <t>Leppin, Hartmut</t>
  </si>
  <si>
    <t>Günther, Frieder</t>
  </si>
  <si>
    <t>Fielding, Steven</t>
  </si>
  <si>
    <t>Papadimitriou, Dimitris</t>
  </si>
  <si>
    <t>Hrachovec, Herbert</t>
  </si>
  <si>
    <t>Pichler, Alois</t>
  </si>
  <si>
    <t>Krönung, Bettina</t>
  </si>
  <si>
    <t>Löhr, Isabella</t>
  </si>
  <si>
    <t>Adams, Jonathan</t>
  </si>
  <si>
    <t>Keil, Wilfried E.</t>
  </si>
  <si>
    <t>Schultz, Sandra</t>
  </si>
  <si>
    <t>Riva, Giuseppe</t>
  </si>
  <si>
    <t>Spieß, Constanze</t>
  </si>
  <si>
    <t>Martín-Monje, Elena</t>
  </si>
  <si>
    <t>Schröder, Bianca-Jeanette</t>
  </si>
  <si>
    <t>Schneider, Hans</t>
  </si>
  <si>
    <t>Tomuschat, Christian</t>
  </si>
  <si>
    <t>Starck, Christian</t>
  </si>
  <si>
    <t>Steinberger, Helmut</t>
  </si>
  <si>
    <t>Anschütz, Gerhard</t>
  </si>
  <si>
    <t>Denninger, Erhard</t>
  </si>
  <si>
    <t>Götz, Volkmar</t>
  </si>
  <si>
    <t>Papier, Hans-Jürgen</t>
  </si>
  <si>
    <t>Saladin, Peter</t>
  </si>
  <si>
    <t>Bülck, Hartwig</t>
  </si>
  <si>
    <t>Hippel, Ernst von</t>
  </si>
  <si>
    <t>Bernhardt, Rudolf</t>
  </si>
  <si>
    <t>Leibholz, Gerhard</t>
  </si>
  <si>
    <t>Bäumlin, Richard</t>
  </si>
  <si>
    <t>Eibl, Franz</t>
  </si>
  <si>
    <t>Lindemann, Mechthild</t>
  </si>
  <si>
    <t>Lopez-Vazquez, C. M.</t>
  </si>
  <si>
    <t>Gossman, Lionel</t>
  </si>
  <si>
    <t>Warman, Caroline</t>
  </si>
  <si>
    <t>Cruz, Jean-François</t>
  </si>
  <si>
    <t>Gasselin, Pierre</t>
  </si>
  <si>
    <t>Brunner, Detlev</t>
  </si>
  <si>
    <t>Kosthorst, Daniel</t>
  </si>
  <si>
    <t>Meyrav, Yoav</t>
  </si>
  <si>
    <t>Bergeret, Pascal</t>
  </si>
  <si>
    <t>Foitzik, Jan</t>
  </si>
  <si>
    <t>Kimmich, Flora</t>
  </si>
  <si>
    <t>Bricas, Nicolas</t>
  </si>
  <si>
    <t>Daviron, Benoit</t>
  </si>
  <si>
    <t>Valceschini, Egizio</t>
  </si>
  <si>
    <t>Küpper, Joachim</t>
  </si>
  <si>
    <t>Veltri, Giuseppe</t>
  </si>
  <si>
    <t>Pawlita, Leonie</t>
  </si>
  <si>
    <t>Council of Europe / Conseil de l'Europe, Council of</t>
  </si>
  <si>
    <t>Bulgarelli, Daniela</t>
  </si>
  <si>
    <t>Bolle, Katharina</t>
  </si>
  <si>
    <t>Opdenhoff, Fanny</t>
  </si>
  <si>
    <t>Friedrich, Michael</t>
  </si>
  <si>
    <t>Hrncal, Christine</t>
  </si>
  <si>
    <t>van Schendel, Willem</t>
  </si>
  <si>
    <t>Locane, Jorge J.</t>
  </si>
  <si>
    <t>de Lange, Michiel</t>
  </si>
  <si>
    <t>Leipziger, Jonas</t>
  </si>
  <si>
    <t>Filatkina, Natalia</t>
  </si>
  <si>
    <t>O'Higgins, Timothy G.</t>
  </si>
  <si>
    <t>Klauber, Jürgen</t>
  </si>
  <si>
    <t>Nisky, Ilana</t>
  </si>
  <si>
    <t>Curry, Edward</t>
  </si>
  <si>
    <t>Gilbert, Claude</t>
  </si>
  <si>
    <t>Hodler, Juerg</t>
  </si>
  <si>
    <t>Meusburger, Peter</t>
  </si>
  <si>
    <t>Chaturvedi, Sachin</t>
  </si>
  <si>
    <t>von Braun, Joachim</t>
  </si>
  <si>
    <t>Knorre, Susanne</t>
  </si>
  <si>
    <t>Neuenschwander, Markus P.</t>
  </si>
  <si>
    <t>Jankowicz-Cieslak, Joanna</t>
  </si>
  <si>
    <t>Fraillon, Julian</t>
  </si>
  <si>
    <t>Domingue, John</t>
  </si>
  <si>
    <t>Galis, Alex</t>
  </si>
  <si>
    <t>Schmidt, Werner</t>
  </si>
  <si>
    <t>Simonson, Julia</t>
  </si>
  <si>
    <t>Schulz, Wolfram</t>
  </si>
  <si>
    <t>Mütze-Niewöhner, Susanne</t>
  </si>
  <si>
    <t>Syvertsen, Trine</t>
  </si>
  <si>
    <t>Peters, Anne</t>
  </si>
  <si>
    <t>Lepiller, Olivier</t>
  </si>
  <si>
    <t>Wang, Chi-yuen</t>
  </si>
  <si>
    <t>Leal Filho, Walter</t>
  </si>
  <si>
    <t>Gamerschlag, Thomas</t>
  </si>
  <si>
    <t>Haliva, Racheli</t>
  </si>
  <si>
    <t>Olk, Claudia</t>
  </si>
  <si>
    <t>Haug, Annette</t>
  </si>
  <si>
    <t>Imo, Wolfgang</t>
  </si>
  <si>
    <t>Havard, Michel</t>
  </si>
  <si>
    <t>Morand, Serge</t>
  </si>
  <si>
    <t>Brunnengräber, Achim</t>
  </si>
  <si>
    <t>Peterlini, Hans Karl</t>
  </si>
  <si>
    <t>Higgins, Marc</t>
  </si>
  <si>
    <t>Geschwind, Lars</t>
  </si>
  <si>
    <t>Uesugi, Yuji</t>
  </si>
  <si>
    <t>Doležalová, Lenka</t>
  </si>
  <si>
    <t>Stadlerová, Hana</t>
  </si>
  <si>
    <t>Pořízková, Kateřina</t>
  </si>
  <si>
    <t>Artimová, Jozefa</t>
  </si>
  <si>
    <t>Švanda, Libor</t>
  </si>
  <si>
    <t>Janík, Tomáš</t>
  </si>
  <si>
    <t>Adámková, Lenka</t>
  </si>
  <si>
    <t>Hanuš, Jiří</t>
  </si>
  <si>
    <t>Svobodová, Hana</t>
  </si>
  <si>
    <t>Lazarová, Bohumíra</t>
  </si>
  <si>
    <t>Odehnalová, Lenka</t>
  </si>
  <si>
    <t>Činčera, Jan</t>
  </si>
  <si>
    <t>Brücknerová, Karla</t>
  </si>
  <si>
    <t>Bakešová, Václava</t>
  </si>
  <si>
    <t>Campos, Hugo</t>
  </si>
  <si>
    <t>Hollstein, Betina</t>
  </si>
  <si>
    <t>Brdjanovic, Damir</t>
  </si>
  <si>
    <t>Quartly, Marian</t>
  </si>
  <si>
    <t>Mannion, Aaron</t>
  </si>
  <si>
    <t>Bertagnolli, Frank</t>
  </si>
  <si>
    <t>Jarke, Juliane</t>
  </si>
  <si>
    <t>Allner, Lukas</t>
  </si>
  <si>
    <t>Müller-Tamm, Jutta</t>
  </si>
  <si>
    <t>Ciotti, Giovanni</t>
  </si>
  <si>
    <t>Gerland, Doris</t>
  </si>
  <si>
    <t>Dell'Anno, Sina</t>
  </si>
  <si>
    <t>Zgoll, Annette</t>
  </si>
  <si>
    <t>Zgoll, Christian</t>
  </si>
  <si>
    <t>Bidmon, Agnes</t>
  </si>
  <si>
    <t>Gertzen, Thomas L.</t>
  </si>
  <si>
    <t>Kiyanrad, Sarah</t>
  </si>
  <si>
    <t>Hasse-Ungeheuer, Alexandra</t>
  </si>
  <si>
    <t>Harm, Volker</t>
  </si>
  <si>
    <t>Hielscher, Adrian</t>
  </si>
  <si>
    <t>Sejdini, Zekirija</t>
  </si>
  <si>
    <t>Petras, Maximilian</t>
  </si>
  <si>
    <t>Ifenthaler, Dirk</t>
  </si>
  <si>
    <t>Thalheim, Karl C.</t>
  </si>
  <si>
    <t>Gieseck, Arne</t>
  </si>
  <si>
    <t>Sering, Max</t>
  </si>
  <si>
    <t>Wilbrandt, Robert</t>
  </si>
  <si>
    <t>Fuchs, Carl Johannes</t>
  </si>
  <si>
    <t>Palyi, Melchior</t>
  </si>
  <si>
    <t>Diehl, Karl</t>
  </si>
  <si>
    <t>Somary, Felix</t>
  </si>
  <si>
    <t>Lotz, Walther</t>
  </si>
  <si>
    <t>Briefs, Goetz</t>
  </si>
  <si>
    <t>Jahn, Georg</t>
  </si>
  <si>
    <t>Hornkohl, Aaron D.</t>
  </si>
  <si>
    <t>Document ID</t>
  </si>
  <si>
    <t>Title</t>
  </si>
  <si>
    <t>PrintIsbn</t>
  </si>
  <si>
    <t>EIsbn</t>
  </si>
  <si>
    <t>Publisher</t>
  </si>
  <si>
    <t>Imprint</t>
  </si>
  <si>
    <t>PublicationDate</t>
  </si>
  <si>
    <t>Date Added</t>
  </si>
  <si>
    <t>Document Type</t>
  </si>
  <si>
    <t>Title Edition</t>
  </si>
  <si>
    <t>Series Title</t>
  </si>
  <si>
    <t>Authors</t>
  </si>
  <si>
    <t>Subject</t>
  </si>
  <si>
    <t>Lcc</t>
  </si>
  <si>
    <t>Dewey</t>
  </si>
  <si>
    <t>Lcsh</t>
  </si>
  <si>
    <t>Language</t>
  </si>
  <si>
    <t>Available for Sale</t>
  </si>
  <si>
    <t>Digital Course Reserve</t>
  </si>
  <si>
    <t>Max Concurrent Users</t>
  </si>
  <si>
    <t>DDA Available</t>
  </si>
  <si>
    <t>Full Download Available</t>
  </si>
  <si>
    <t>EPUB Full Download Only</t>
  </si>
  <si>
    <t>STL Available</t>
  </si>
  <si>
    <t>DRM Free Available for Sale</t>
  </si>
  <si>
    <t>Price Non-Linear USD</t>
  </si>
  <si>
    <t>Price 3-User USD</t>
  </si>
  <si>
    <t>Price 1-User USD</t>
  </si>
  <si>
    <t>Price Unlimited USD</t>
  </si>
  <si>
    <t>Full MARC Available</t>
  </si>
  <si>
    <t>ebrary ID</t>
  </si>
  <si>
    <t>MiL ID</t>
  </si>
  <si>
    <t>Fund Code</t>
  </si>
  <si>
    <t>Subscribed</t>
  </si>
  <si>
    <t>DRM Free Subscribed</t>
  </si>
  <si>
    <t>Owned</t>
  </si>
  <si>
    <t>DRM Free Owned</t>
  </si>
  <si>
    <t>NL Days Remaining</t>
  </si>
  <si>
    <t>Visible</t>
  </si>
  <si>
    <t>Full Record URL</t>
  </si>
  <si>
    <t>Witchcraft Narratives in Germany : Rothenburg, 1561-1652</t>
  </si>
  <si>
    <t>Manchester University Press</t>
  </si>
  <si>
    <t>Book</t>
  </si>
  <si>
    <t>Studies in Early Modern European History Ser.</t>
  </si>
  <si>
    <t>Rowlands, Alison</t>
  </si>
  <si>
    <t>Market Relations and the Competitive Process : New Dynamics of Innovation &amp; Competition</t>
  </si>
  <si>
    <t>New Dynamics of Innovation and Competition Ser.</t>
  </si>
  <si>
    <t>The Israeli Response to Jewish Extremism and Violence</t>
  </si>
  <si>
    <t>New Approaches to Conflict Analysis Ser.</t>
  </si>
  <si>
    <t>Pedahzur, Ami</t>
  </si>
  <si>
    <t>Aesthetics and Subjectivity : From Kant to Neitzsche</t>
  </si>
  <si>
    <t>Bowie, Andrew</t>
  </si>
  <si>
    <t>Philosophy</t>
  </si>
  <si>
    <t>BH221.G33 -- B68 2003eb</t>
  </si>
  <si>
    <t>111.85</t>
  </si>
  <si>
    <t xml:space="preserve">Aesthetics, German -- 18th century. </t>
  </si>
  <si>
    <t>Innovation by Demand : An Interdisciplinary Approach to the Study of Demand and Its Role in Innovation</t>
  </si>
  <si>
    <t>McMeekin, Andrew</t>
  </si>
  <si>
    <t>More Than a Game : The Computer Game As Fictional Form</t>
  </si>
  <si>
    <t>Atkins, Barry</t>
  </si>
  <si>
    <t>Sport &amp;amp</t>
  </si>
  <si>
    <t>Federalism and Democratisation in Russia</t>
  </si>
  <si>
    <t>Ross, Cameron</t>
  </si>
  <si>
    <t>Political Science</t>
  </si>
  <si>
    <t>JN6693.5.S8 -- R66 2002eb</t>
  </si>
  <si>
    <t xml:space="preserve">Federal government -- Russia (Federation) </t>
  </si>
  <si>
    <t>The Ideology of the Extreme Right</t>
  </si>
  <si>
    <t>Mudde, Cas</t>
  </si>
  <si>
    <t>The Culture of Toleration in Diverse Societies : Reasonable Tolerance</t>
  </si>
  <si>
    <t>McKinnon, Catriona</t>
  </si>
  <si>
    <t>R. S. Thomas : Identity, Environment, Deity</t>
  </si>
  <si>
    <t>Morgan, Christopher</t>
  </si>
  <si>
    <t>Literature</t>
  </si>
  <si>
    <t>PQ6039.H618 -- Z78 2003eb</t>
  </si>
  <si>
    <t>821.9/14</t>
  </si>
  <si>
    <t xml:space="preserve">Thomas, R. S. -- (Ronald Stuart), -- 1913-2000 -- Criticism and interpretation. </t>
  </si>
  <si>
    <t>Theory and Reform in the EU</t>
  </si>
  <si>
    <t>Europe in Change Ser.</t>
  </si>
  <si>
    <t>Chryssochoou, Dimitris N.</t>
  </si>
  <si>
    <t>Implementing International Environmental Agreements in Russia</t>
  </si>
  <si>
    <t>Issues in Environmental Politics Ser.</t>
  </si>
  <si>
    <t>Hønneland, Geir</t>
  </si>
  <si>
    <t>The Politics Today Companion to West European Politics</t>
  </si>
  <si>
    <t>Politics Today Ser.</t>
  </si>
  <si>
    <t>Jones, Bill</t>
  </si>
  <si>
    <t>Samuel Beckett and the Primacy of Love</t>
  </si>
  <si>
    <t>Keller, John Robert</t>
  </si>
  <si>
    <t>PR6003.E282 -- Z75395 2002eb</t>
  </si>
  <si>
    <t>848/.91409</t>
  </si>
  <si>
    <t xml:space="preserve">Beckett, Samuel, -- 1906-1989 -- Criticism and interpretation. </t>
  </si>
  <si>
    <t>A War of Individuals : Bloomsbury Attitudes to the Great War</t>
  </si>
  <si>
    <t>Atkin, Jonathan</t>
  </si>
  <si>
    <t>History</t>
  </si>
  <si>
    <t>Republican Learning : John Toland and the Crisis of Christian Culture, 1696-1722</t>
  </si>
  <si>
    <t>Politics, Culture and Society in Early Modern Britain Ser.</t>
  </si>
  <si>
    <t>Champion, Justin</t>
  </si>
  <si>
    <t>Gender at Stake : Male Witches in Early Modern Europe</t>
  </si>
  <si>
    <t>Apps, Lara</t>
  </si>
  <si>
    <t>Postcolonial Contraventions : Cultural Readings of Race, Imperalism and Transnationalism</t>
  </si>
  <si>
    <t>Chrisman, Laura</t>
  </si>
  <si>
    <t>Globalisation Contested : An International Political Economy of Work</t>
  </si>
  <si>
    <t>Amoore, Louise</t>
  </si>
  <si>
    <t>Business/Management</t>
  </si>
  <si>
    <t>Understanding British and European Political Issues</t>
  </si>
  <si>
    <t>McNaughton, Neil</t>
  </si>
  <si>
    <t>JN231 -- .M39 2003eb</t>
  </si>
  <si>
    <t>320/.6/0941</t>
  </si>
  <si>
    <t xml:space="preserve">Great Britain -- Economic conditions -- 20th century. </t>
  </si>
  <si>
    <t>George III : King and Politicians 1760-1770</t>
  </si>
  <si>
    <t>Thomas, Peter</t>
  </si>
  <si>
    <t>DA506.A2 -- T47 2002eb</t>
  </si>
  <si>
    <t>941.07/3/092 B</t>
  </si>
  <si>
    <t>George</t>
  </si>
  <si>
    <t>English</t>
  </si>
  <si>
    <t>No</t>
  </si>
  <si>
    <t>Yes</t>
  </si>
  <si>
    <t>https://ebookcentral.proquest.com/lib/istinye/detail.action?docID=242633</t>
  </si>
  <si>
    <t>The International Politics of the Middle East</t>
  </si>
  <si>
    <t>Regional International Politics Ser.</t>
  </si>
  <si>
    <t>Hinnebusch, Raymond</t>
  </si>
  <si>
    <t>Half the Battle : Civilian Morale in Britain During the Second World War</t>
  </si>
  <si>
    <t>Mackay, Robert</t>
  </si>
  <si>
    <t>D759 -- .M24 2002eb</t>
  </si>
  <si>
    <t>940.53/41</t>
  </si>
  <si>
    <t xml:space="preserve">World War, 1939-1945 -- Great Britain. </t>
  </si>
  <si>
    <t>The United States Congress</t>
  </si>
  <si>
    <t>English, Ross</t>
  </si>
  <si>
    <t>JK1021 -- .E54 2003eb</t>
  </si>
  <si>
    <t>328.73</t>
  </si>
  <si>
    <t>United States. -- Congress.</t>
  </si>
  <si>
    <t>https://ebookcentral.proquest.com/lib/istinye/detail.action?docID=242636</t>
  </si>
  <si>
    <t>Fragmenting Modernism : Ford Madox Ford, the Novel and the Great War</t>
  </si>
  <si>
    <t>Haslam, Sara</t>
  </si>
  <si>
    <t>The Asian Financial Crisis : Crisis, Reform and Recovery</t>
  </si>
  <si>
    <t>Sharma, Shalendra</t>
  </si>
  <si>
    <t>Economics</t>
  </si>
  <si>
    <t>Mainstreaming Gender, Democratizing the State</t>
  </si>
  <si>
    <t>Perspectives on Democratic Practice MUP Ser.</t>
  </si>
  <si>
    <t>Rai, Shirin</t>
  </si>
  <si>
    <t>Noblewomen, Aristocracy and Power in the Twelfth-Century Anglo-Norman Realm</t>
  </si>
  <si>
    <t>Gender in History Ser.</t>
  </si>
  <si>
    <t>Johns, Susan M.</t>
  </si>
  <si>
    <t>Fifteen into One? : The European Union and Its Member States</t>
  </si>
  <si>
    <t>European Politics Ser.</t>
  </si>
  <si>
    <t>Special Relationships : Anglo-American Affinities and Antagonisms 1854-1936</t>
  </si>
  <si>
    <t>Beer, Janet</t>
  </si>
  <si>
    <t>Political Concepts</t>
  </si>
  <si>
    <t>Bellamy, Richard</t>
  </si>
  <si>
    <t>Francis Bacon's New Atlantis : New Interdisciplinary Essays</t>
  </si>
  <si>
    <t>Texts in Culture Ser.</t>
  </si>
  <si>
    <t>Wallace, Jeff</t>
  </si>
  <si>
    <t>The New Aestheticism</t>
  </si>
  <si>
    <t>Joughin, John J.</t>
  </si>
  <si>
    <t>Women's Writing in Contemporary France : New Writers, New Literatures in The 1990s</t>
  </si>
  <si>
    <t>Rye, Gill</t>
  </si>
  <si>
    <t>The End of Irish History? : Reflections on the Celtic Tiger</t>
  </si>
  <si>
    <t>Coulter, Colin</t>
  </si>
  <si>
    <t>Redefining Security in the Middle East</t>
  </si>
  <si>
    <t>Mapping European Security after Kosovo</t>
  </si>
  <si>
    <t>Van Ham, Peter</t>
  </si>
  <si>
    <t>Potentials of Disorder : Explaining Conflict and Stability in the Caucasus and in the Former Yugoslavia</t>
  </si>
  <si>
    <t>Koehler, Jan</t>
  </si>
  <si>
    <t>Judicial Tribunals in England and Europe, 1200-1700 : The Trial in History, Volume I</t>
  </si>
  <si>
    <t>Mulholland, Maureen</t>
  </si>
  <si>
    <t>Memory and Popular Film</t>
  </si>
  <si>
    <t>Inside Popular Film Ser.</t>
  </si>
  <si>
    <t>Jancovich, Mark</t>
  </si>
  <si>
    <t>Domestic and International Trials, 1700-2000 : The trial in history, vol. II</t>
  </si>
  <si>
    <t>Melikan, Rose</t>
  </si>
  <si>
    <t>Law</t>
  </si>
  <si>
    <t>KD370 -- .D66 2003eb</t>
  </si>
  <si>
    <t>British Cinema of The 1950s : A Celebration</t>
  </si>
  <si>
    <t>Mackillop, Ian</t>
  </si>
  <si>
    <t>Comprehending Columbine</t>
  </si>
  <si>
    <t>Temple University Press</t>
  </si>
  <si>
    <t>Larkin, Ralph W.</t>
  </si>
  <si>
    <t>Education</t>
  </si>
  <si>
    <t>LB3013</t>
  </si>
  <si>
    <t>373.17/820978882</t>
  </si>
  <si>
    <t xml:space="preserve">Columbine High School (Littleton, Colo.) </t>
  </si>
  <si>
    <t>Hybridity : The Cultural Logic of Globalization</t>
  </si>
  <si>
    <t>Kraidy, Marwan</t>
  </si>
  <si>
    <t>Social Science</t>
  </si>
  <si>
    <t>HM1272</t>
  </si>
  <si>
    <t xml:space="preserve">Cultural fusion. </t>
  </si>
  <si>
    <t>Just a Dog : Animal Cruelty, Self, and Society</t>
  </si>
  <si>
    <t>Animals Culture and Society Ser.</t>
  </si>
  <si>
    <t>Arluke, Arnold</t>
  </si>
  <si>
    <t>The Public Life of the Fetal Sonogram : Technology, Consumption, and the Politics of Reproduction</t>
  </si>
  <si>
    <t>Rutgers University Press</t>
  </si>
  <si>
    <t>Studies in Medical Anthropology Ser.</t>
  </si>
  <si>
    <t>Taylor, Janelle S.</t>
  </si>
  <si>
    <t>Medicine</t>
  </si>
  <si>
    <t>RG628</t>
  </si>
  <si>
    <t>93.00</t>
  </si>
  <si>
    <t>62.00</t>
  </si>
  <si>
    <t>186.00</t>
  </si>
  <si>
    <t>https://ebookcentral.proquest.com/lib/istinye/detail.action?docID=361675</t>
  </si>
  <si>
    <t>Managing Technologies and Automated Library Systems in Developing Countries: Open Source vs Commercial Options : Proceedings of the IFLA Pre-Conference Satellite Meeting Dakar, Sénégal, August 15-16 2007</t>
  </si>
  <si>
    <t>De Gruyter, Inc.</t>
  </si>
  <si>
    <t>IFLA Publications</t>
  </si>
  <si>
    <t>Dione, Bernard</t>
  </si>
  <si>
    <t>Measuring Quality : Performance Measurement in Libraries. 2nd Revised Edition</t>
  </si>
  <si>
    <t>Poll, Roswitha</t>
  </si>
  <si>
    <t>Libraries and Information Services Towards the Attainment of the un Millennium Development Goals</t>
  </si>
  <si>
    <t>Njobvu, Benson</t>
  </si>
  <si>
    <t>Kaiser Julian 'Apostata' und Die Philosophische Reaktion Gegen das Christentum</t>
  </si>
  <si>
    <t>Millennium-Studien / Millennium Studies</t>
  </si>
  <si>
    <t>Schäfer, Christian</t>
  </si>
  <si>
    <t>Inzestverbot und Gesetzgebung : Die Konstruktion Eines Verbrechens (300-1100)</t>
  </si>
  <si>
    <t>Ubl, Karl</t>
  </si>
  <si>
    <t>HV6570.6.U25 2008</t>
  </si>
  <si>
    <t xml:space="preserve">Incest -- Law and legislation -- History. </t>
  </si>
  <si>
    <t>The Netherlands in a Nutshell : Highlights from Dutch History and Culture</t>
  </si>
  <si>
    <t>Amsterdam University Press</t>
  </si>
  <si>
    <t>van Oostrom, Frits</t>
  </si>
  <si>
    <t>Sounding Off : Rhythm, Music, and Identity in West African and Caribbean Francophone Novels</t>
  </si>
  <si>
    <t>African Soundscapes Ser.</t>
  </si>
  <si>
    <t>Huntington, Julie</t>
  </si>
  <si>
    <t>PQ3984</t>
  </si>
  <si>
    <t>840.9/35780966</t>
  </si>
  <si>
    <t>Rhythm in literature</t>
  </si>
  <si>
    <t>66.95</t>
  </si>
  <si>
    <t>64.38</t>
  </si>
  <si>
    <t>51.50</t>
  </si>
  <si>
    <t>77.25</t>
  </si>
  <si>
    <t>https://ebookcentral.proquest.com/lib/istinye/detail.action?docID=449818</t>
  </si>
  <si>
    <t>Unchopping a Tree : Reconciliation in the Aftermath of Political Violence</t>
  </si>
  <si>
    <t>Politics History and Social Chan Ser.</t>
  </si>
  <si>
    <t>Verdeja, Ernesto</t>
  </si>
  <si>
    <t>Global Library and Information Science : A Textbook for Students and Educators. with Contributions from Africa, Asia, Australia, New Zealand, Europe, Latin America and the Carribean, the Middle East, and North America</t>
  </si>
  <si>
    <t>Abdullahi, Ismail</t>
  </si>
  <si>
    <t>Library Science</t>
  </si>
  <si>
    <t>Z721.G56 2009</t>
  </si>
  <si>
    <t xml:space="preserve">Comparative librarianship. </t>
  </si>
  <si>
    <t>Library Statistics for the Twenty-First Century World : Proceedings of the Conference Held in Montréal on 18-19 August 2008 Reporting on the Global Library Statistics Project</t>
  </si>
  <si>
    <t>Heaney, Michael</t>
  </si>
  <si>
    <t>Z669.8.L53 2009</t>
  </si>
  <si>
    <t>020.21</t>
  </si>
  <si>
    <t xml:space="preserve">Library statistics -- Congresses. </t>
  </si>
  <si>
    <t>Umstrittene Vergangenheit : Historische Argumente in der Auseinandersetzung Augustins Mit Den Donatisten</t>
  </si>
  <si>
    <t>Hogrefe, Arne</t>
  </si>
  <si>
    <t>Religion</t>
  </si>
  <si>
    <t>BR65.A9H64 2009</t>
  </si>
  <si>
    <t xml:space="preserve">Donatists. </t>
  </si>
  <si>
    <t>Strategies for Regenerating the Library and Information Profession</t>
  </si>
  <si>
    <t>Varlejs, Jana</t>
  </si>
  <si>
    <t>Jenseits der Grenzen : Beiträge Zur Spätantiken und Frühmittelalterlichen Geschichtsschreibung</t>
  </si>
  <si>
    <t>Goltz, Andreas</t>
  </si>
  <si>
    <t>Theodor Heuss, Aufbruch Im Kaiserreich : Briefe 1892-1917</t>
  </si>
  <si>
    <t>Guidelines for Legislative Libraries : 2nd, Completely Updated and Enlarged Edition</t>
  </si>
  <si>
    <t>Cuninghame, Keith</t>
  </si>
  <si>
    <t>Z675.L45C865 2009</t>
  </si>
  <si>
    <t>027.65</t>
  </si>
  <si>
    <t xml:space="preserve">Legislative libraries. </t>
  </si>
  <si>
    <t>The History and Cultural Heritage of Chinese Calligraphy, Printing and Library Work</t>
  </si>
  <si>
    <t>Allen, Susan M.</t>
  </si>
  <si>
    <t>Erzbischof Hinkmar und Die Folgen : Der Vierhundertjährige Weg Historischer Erinnerungsbilder Von Reims Nach Trier</t>
  </si>
  <si>
    <t>Schneider, Olaf</t>
  </si>
  <si>
    <t>BR163.S36 2010</t>
  </si>
  <si>
    <t>History.</t>
  </si>
  <si>
    <t>German</t>
  </si>
  <si>
    <t>0.00</t>
  </si>
  <si>
    <t>https://ebookcentral.proquest.com/lib/istinye/detail.action?docID=533665</t>
  </si>
  <si>
    <t>Hochverehrter Herr Bundespräsident! : Der Briefwechsel Mit der Bevölkerung 1949 - 1959</t>
  </si>
  <si>
    <t>Theodor Heuss. Stuttgarter Ausgabe. Briefe</t>
  </si>
  <si>
    <t>Heuss, Theodor</t>
  </si>
  <si>
    <t>Social Science Libraries : Interdisciplinary Collections, Services, Networks</t>
  </si>
  <si>
    <t>Walter de Gruyter GmbH</t>
  </si>
  <si>
    <t>De Gruyter Saur</t>
  </si>
  <si>
    <t>Witt, Steve W.</t>
  </si>
  <si>
    <t>IFLA Public Library Service Guidelines</t>
  </si>
  <si>
    <t>Koontz, Christie</t>
  </si>
  <si>
    <t>A History of the University of Manchester, 1973-90</t>
  </si>
  <si>
    <t>Pullan, Brian</t>
  </si>
  <si>
    <t>Changing Anarchism : Anarchist Theory and Practice in a Global Age</t>
  </si>
  <si>
    <t>Purkis, Jonathan</t>
  </si>
  <si>
    <t>Understanding Political Ideas and Movements</t>
  </si>
  <si>
    <t>Understandings Ser.</t>
  </si>
  <si>
    <t>Harrison, Kevin</t>
  </si>
  <si>
    <t>Rethinking European Union Foreign Policy</t>
  </si>
  <si>
    <t>Europe in Change</t>
  </si>
  <si>
    <t>Tonra, Ben</t>
  </si>
  <si>
    <t>Witchcraft Continued : Popular Magic in Modern Europe</t>
  </si>
  <si>
    <t>de Blécourt, Willem</t>
  </si>
  <si>
    <t>EU Development Cooperation : From Model to Symbol</t>
  </si>
  <si>
    <t>Arts, Karin</t>
  </si>
  <si>
    <t>Interpreting the Labour Party : Approaches to Labour Politics and History</t>
  </si>
  <si>
    <t>Critical Labour Movement Studies</t>
  </si>
  <si>
    <t>Callaghan, John</t>
  </si>
  <si>
    <t>Equal Subjects, Unequal Rights : Indigenous People in British Settler Colonies, 1830-1910</t>
  </si>
  <si>
    <t>Studies in Imperialism Ser.</t>
  </si>
  <si>
    <t>Evans, Julie</t>
  </si>
  <si>
    <t>Limiting Institutions? : The Challenge of Eurasian Security Governance</t>
  </si>
  <si>
    <t>Hargreaves, Martin</t>
  </si>
  <si>
    <t>Luther's Lives : Two Contemporary Accounts of Martin Luther</t>
  </si>
  <si>
    <t>Vandiver, Elizabeth</t>
  </si>
  <si>
    <t>The Poor in England 1700-1850 : An Economy of Makeshifts</t>
  </si>
  <si>
    <t>Tomkins, Alannah</t>
  </si>
  <si>
    <t>The Kosovo Crisis and the Evolution of a Post-Cold War European Security : The Evolution of Post Cold War European Security</t>
  </si>
  <si>
    <t>Smith, Martin A.</t>
  </si>
  <si>
    <t>The Third Way and Beyond : Criticisms, Futures and Alternatives</t>
  </si>
  <si>
    <t>Hale, Sarah</t>
  </si>
  <si>
    <t>The Conservatives in Crisis</t>
  </si>
  <si>
    <t>Garnett, Mark</t>
  </si>
  <si>
    <t>Qualities of Food</t>
  </si>
  <si>
    <t>Climate Change and the Oil Industry : Common Problem, Varying Strategies</t>
  </si>
  <si>
    <t>Skjaerseth, Jon Birger</t>
  </si>
  <si>
    <t>The United Nations, Intra-State Peacekeeping and Normative Change</t>
  </si>
  <si>
    <t>Aksu, Esref</t>
  </si>
  <si>
    <t>The Forgotten French : Exiles in the British Isles, 1940-44</t>
  </si>
  <si>
    <t>Atkin, Nicholas</t>
  </si>
  <si>
    <t>DS135.F83 -- A85 2003eb</t>
  </si>
  <si>
    <t>940.53/089/410941</t>
  </si>
  <si>
    <t xml:space="preserve">Refugees -- France -- History. </t>
  </si>
  <si>
    <t>The Enlightenment and Religion : The Myths of Modernity</t>
  </si>
  <si>
    <t>Barnett, S.</t>
  </si>
  <si>
    <t>BR470 -- .B37 2003eb</t>
  </si>
  <si>
    <t>273/.8</t>
  </si>
  <si>
    <t xml:space="preserve">Church history -- 18th century. </t>
  </si>
  <si>
    <t>The Formation of Croatian National Identity</t>
  </si>
  <si>
    <t>Bellamy, Alex</t>
  </si>
  <si>
    <t>The 'Malleus Maleficarum' and the Construction of Witchcraft : Theology and Popular Belief</t>
  </si>
  <si>
    <t>The Truest Form of Patriotism' : Pacifist Feminism in Britain, 1870-1902</t>
  </si>
  <si>
    <t>Brown, Heloise</t>
  </si>
  <si>
    <t>Democratization Through the Looking-Glass : Comparative Perspectives on Democratization</t>
  </si>
  <si>
    <t>Perspectives on Democratic Practice Ser.</t>
  </si>
  <si>
    <t>Burnell, Peter</t>
  </si>
  <si>
    <t>'Special Relationship'? : Harold Wilson, Lyndon B Johnson and Anglo-American Relations 'At the Summit', 1964-8</t>
  </si>
  <si>
    <t>Colman, Jonathan</t>
  </si>
  <si>
    <t>The French Party System</t>
  </si>
  <si>
    <t>Evans, Jocelyn</t>
  </si>
  <si>
    <t>JN2997 -- .F734 2003eb</t>
  </si>
  <si>
    <t>Political parties -- France.</t>
  </si>
  <si>
    <t>https://ebookcentral.proquest.com/lib/istinye/detail.action?docID=589318</t>
  </si>
  <si>
    <t>The Labour Governments 1964-1970 Volume 1 : Labour and Cultural Change</t>
  </si>
  <si>
    <t>After the New Social Democracy : Social Welfare for the 21st Century</t>
  </si>
  <si>
    <t>Fitzpatrick, Tony</t>
  </si>
  <si>
    <t>Fathers, Pastors and Kings : Visions of Episcopacy in Seventeenth-Century France</t>
  </si>
  <si>
    <t>Forrestal, Alison</t>
  </si>
  <si>
    <t>The länder and German Federalism</t>
  </si>
  <si>
    <t>Issues in German Politics Ser.</t>
  </si>
  <si>
    <t>Gunlicks, Arthur</t>
  </si>
  <si>
    <t>Horseracing and the British, 1919-39</t>
  </si>
  <si>
    <t>Studies in Popular Culture Ser.</t>
  </si>
  <si>
    <t>Huggins, Mike</t>
  </si>
  <si>
    <t>Louis XIV and the Parlements : The Assertion of Royal Authority</t>
  </si>
  <si>
    <t>Hurt, John J.</t>
  </si>
  <si>
    <t>DC129 -- .H84 2002eb</t>
  </si>
  <si>
    <t>944/.033/092 B</t>
  </si>
  <si>
    <t xml:space="preserve">Louis -- XIV, -- King of France, -- 1638-1715. </t>
  </si>
  <si>
    <t>Germany and the Use of Force</t>
  </si>
  <si>
    <t>Longhurst, Kerry</t>
  </si>
  <si>
    <t>Sweden and Ecological Governance : Straddling the Fence</t>
  </si>
  <si>
    <t>Lundqvist, Lennart</t>
  </si>
  <si>
    <t>The Other Empire : Metropolis, India and Progress in the Colonial Imagination</t>
  </si>
  <si>
    <t>Marriott, John</t>
  </si>
  <si>
    <t>Pulp Fictions of Medieval England : Essays in Popular Romance</t>
  </si>
  <si>
    <t>McDonald, Nicola</t>
  </si>
  <si>
    <t>Rohinton Mistry</t>
  </si>
  <si>
    <t>Contemporary World Writers Ser.</t>
  </si>
  <si>
    <t>Morey, Peter</t>
  </si>
  <si>
    <t>Turkey: Facing a New Millennium : Coping with Intertwined Conflicts</t>
  </si>
  <si>
    <t>Nachmani, Amikam</t>
  </si>
  <si>
    <t>Sports Law and Policy in the European Union</t>
  </si>
  <si>
    <t>Parrish, Richard</t>
  </si>
  <si>
    <t>Female Imperialism and National Identity : Imperial Order Daughters of the Empire</t>
  </si>
  <si>
    <t>Pickles, Katie</t>
  </si>
  <si>
    <t>The Political Philosophy of Jean-Jacques Rousseau : The Impossibilty of Reason</t>
  </si>
  <si>
    <t>Qvortrup, Matt</t>
  </si>
  <si>
    <t>JC179 -- .Q86 2003eb</t>
  </si>
  <si>
    <t>320/.092</t>
  </si>
  <si>
    <t xml:space="preserve">Rousseau, Jean-Jacques, -- 1712-1778. </t>
  </si>
  <si>
    <t>West Indian Intellectuals in Britain</t>
  </si>
  <si>
    <t>Schwarz, Bill</t>
  </si>
  <si>
    <t>The Victorian Soldier in Africa</t>
  </si>
  <si>
    <t>Spiers, Edward</t>
  </si>
  <si>
    <t>Destination Europe : The Political and Economic Growth of a Continent</t>
  </si>
  <si>
    <t>Torbiorn, Kjell</t>
  </si>
  <si>
    <t>The Labour Party and the World, Volume 1 : The Evolution of Labour's Foreign Policy, 1900-51</t>
  </si>
  <si>
    <t>Vickers, Rhiannon</t>
  </si>
  <si>
    <t>Handbuch Bibliothek 2. 0</t>
  </si>
  <si>
    <t>Bibliotheks- und Informationspraxis Ser.</t>
  </si>
  <si>
    <t>Bergmann, Julia</t>
  </si>
  <si>
    <t>Krise und Kult : Vorderer Orient und Nordafrika Von Aurelian Bis Justinian</t>
  </si>
  <si>
    <t>Kreikenbom, Detlev</t>
  </si>
  <si>
    <t>How Modern Science Came into the World : Four Civilizations, One 17th-Century Breakthrough</t>
  </si>
  <si>
    <t>Cohen, Floris</t>
  </si>
  <si>
    <t>Science</t>
  </si>
  <si>
    <t>Modeling Citizenship : Jewish and Asian American Writing</t>
  </si>
  <si>
    <t>Schlund-Vials, Cathy</t>
  </si>
  <si>
    <t>PS153</t>
  </si>
  <si>
    <t>810.9/8924</t>
  </si>
  <si>
    <t>American literature - Jewish authors - History and criticism</t>
  </si>
  <si>
    <t>92.95</t>
  </si>
  <si>
    <t>89.38</t>
  </si>
  <si>
    <t>71.50</t>
  </si>
  <si>
    <t>107.25</t>
  </si>
  <si>
    <t>https://ebookcentral.proquest.com/lib/istinye/detail.action?docID=686227</t>
  </si>
  <si>
    <t>Militärsiedlungen und Territorialherrschaft in der Antike</t>
  </si>
  <si>
    <t>Topoi - Berlin Studies of the Ancient World/Topoi - Berliner Studien der Alten Welt Ser.</t>
  </si>
  <si>
    <t>Daubner, Frank</t>
  </si>
  <si>
    <t>Bilder Schreiben : Virtuose Ekphrasis in Philostrats Eikones</t>
  </si>
  <si>
    <t>Baumann, Mario</t>
  </si>
  <si>
    <t>Der Schutzauftrag des Rechts : Referate und Diskussionen Auf der Tagung der Vereinigung der Deutschen Staatsrechtslehrer in Berlin Vom 29. September Bis 2. Oktober 2010</t>
  </si>
  <si>
    <t>Veröffentlichungen der Vereinigung der Deutschen Staatsrechtslehrer Ser.</t>
  </si>
  <si>
    <t>Nettesheim, Martin</t>
  </si>
  <si>
    <t>The Asia-Europe Meeting : Contributing to a New Global Governance Architecture: the Eighth ASEM Summit in Brussels (2010)</t>
  </si>
  <si>
    <t>ICAS Publications</t>
  </si>
  <si>
    <t>Bersick, Sebastian</t>
  </si>
  <si>
    <t>Reading Up : Middle-Class Readers and the Culture of Success in the Early Twentieth-Century United States</t>
  </si>
  <si>
    <t>Blair, Amy</t>
  </si>
  <si>
    <t>Spätantiker Staat und Religiöser Konflikt : Imperiale und Lokale Verwaltung und Die Gewalt Gegen Heiligtümer</t>
  </si>
  <si>
    <t>Hahn, Johannes</t>
  </si>
  <si>
    <t>BL805 -- .S63 2011eb</t>
  </si>
  <si>
    <t xml:space="preserve">Religion and state -- Rome. </t>
  </si>
  <si>
    <t>Heinrich Heine - ein Deutscher Europäer Im Französischen Exil : Vortrag, Gehalten Vor der Juristischen Gesellschaft Zu Berlin Am 9. Dezember 2009</t>
  </si>
  <si>
    <t>Schriftenreihe der Juristischen Gesellschaft Zu Berlin Ser.</t>
  </si>
  <si>
    <t>Stein, Ursula</t>
  </si>
  <si>
    <t>PT2328 -- .S74 2010eb</t>
  </si>
  <si>
    <t>831.7</t>
  </si>
  <si>
    <t>Heine, Heinrich, -- 1797-1856.</t>
  </si>
  <si>
    <t>https://ebookcentral.proquest.com/lib/istinye/detail.action?docID=797994</t>
  </si>
  <si>
    <t>Messianic Figures in the Writings of German-Jewish Intellectuals 1900-1933</t>
  </si>
  <si>
    <t>Conditio Judaica Ser.</t>
  </si>
  <si>
    <t>Dubbels, Elke</t>
  </si>
  <si>
    <t>PT169 -- .D83 2011eb</t>
  </si>
  <si>
    <t>830.9</t>
  </si>
  <si>
    <t xml:space="preserve">German literature -- Jewish authors -- History and criticism. </t>
  </si>
  <si>
    <t>Rome and Milan in Late Antiquity : Repräsentationen Städtischer Räume in Literatur, Architektur und Kunst</t>
  </si>
  <si>
    <t>Fuhrer, Therese</t>
  </si>
  <si>
    <t>Fine Arts</t>
  </si>
  <si>
    <t>Tantalisingly Close : An Archaeology of Communication Desires in Discourses of Mobile Wireless Media</t>
  </si>
  <si>
    <t>MediaMatters Ser.</t>
  </si>
  <si>
    <t>de Vries, Imar</t>
  </si>
  <si>
    <t>Computer Science/IT</t>
  </si>
  <si>
    <t>Kindheit in Byzanz : Emotionale, Geistige und Materielle Entwicklung Im Familiären Umfeld Vom 6. Bis Zum 11. Jahrhundert</t>
  </si>
  <si>
    <t>Ariantzi, Despoina</t>
  </si>
  <si>
    <t>HQ767.87 -- .A75 2012eb</t>
  </si>
  <si>
    <t>305.23</t>
  </si>
  <si>
    <t xml:space="preserve">Children -- History. </t>
  </si>
  <si>
    <t>Tiananmen Fictions Outside the Square : The Chinese Literary Diaspora and the Politics of Global Culture</t>
  </si>
  <si>
    <t>Asian American History and Cultu Ser.</t>
  </si>
  <si>
    <t>Kong, Belinda</t>
  </si>
  <si>
    <t>PL3033</t>
  </si>
  <si>
    <t>895.1/3009</t>
  </si>
  <si>
    <t>Authors, Chinese - Foreign countries</t>
  </si>
  <si>
    <t>https://ebookcentral.proquest.com/lib/istinye/detail.action?docID=887890</t>
  </si>
  <si>
    <t>Constituent, Confederate, and Conquered Space : The Emergence of the Mittani State</t>
  </si>
  <si>
    <t>Cancik-Kirschbaum, Eva</t>
  </si>
  <si>
    <t>Gottes Haus : Untersuchungen Zur Kirche Als Heiligem Raum Von der Spätantike Bis Ins Frühmittelalter</t>
  </si>
  <si>
    <t>Czock, Miriam</t>
  </si>
  <si>
    <t>BV598 -- .C96 2012eb</t>
  </si>
  <si>
    <t>246/.9509</t>
  </si>
  <si>
    <t xml:space="preserve">Church -- History of doctrines. </t>
  </si>
  <si>
    <t>Grundsatzfragen der Rechtsetzung und Rechtsfindung : Referate und Diskussionen Auf der Tagung der Vereinigung der Deutschen Staatsrechtslehrer in Münster Vom 5. Bis 8. Oktober 2011</t>
  </si>
  <si>
    <t>Lienbacher, Georg</t>
  </si>
  <si>
    <t>Die Mosaiken der Acheiropoietos-Basilika in Thessaloniki : Eine Vergleichende Analyse Dekorativer Mosaiken des 5. und 6. Jahrhunderts</t>
  </si>
  <si>
    <t>Fourlas, Benjamin</t>
  </si>
  <si>
    <t>Gallien in Spätantike und Frühmittelalter : Kulturgeschichte Einer Region</t>
  </si>
  <si>
    <t>Diefenbach, Steffen</t>
  </si>
  <si>
    <t>Der Bundespräsident : Briefe 1949-1954</t>
  </si>
  <si>
    <t>Population Dynamics in Prehistory and Early History : New Approaches Using Stable Isotopes and Genetics</t>
  </si>
  <si>
    <t>Kaiser, Elke</t>
  </si>
  <si>
    <t>Arbeitsorganisation 2. 0 : Tools Für Den Arbeitsalltag in Kultur- und Bildungseinrichtungen</t>
  </si>
  <si>
    <t>Praxiswissen Ser.</t>
  </si>
  <si>
    <t>Libraries Driving Access to Knowledge</t>
  </si>
  <si>
    <t>Lau, Jesús</t>
  </si>
  <si>
    <t>Thinking and Killing : Philosophical Discourse in the Shadow of the Third Reich</t>
  </si>
  <si>
    <t>Segev, Alon</t>
  </si>
  <si>
    <t>B3181.S53 2013eb</t>
  </si>
  <si>
    <t xml:space="preserve">Holocaust, Jewish (1939-1945) -- Moral and ethical aspects. </t>
  </si>
  <si>
    <t>The Archaeology of Political Spaces : The Upper Mesopotamian Piedmont in the Second Millennium BCE</t>
  </si>
  <si>
    <t>Bonatz, Dominik</t>
  </si>
  <si>
    <t>Babylon : Wissenskultur in Orient und Okzident</t>
  </si>
  <si>
    <t>Spatial Analysis and Social Spaces : Interdisciplinary Approaches to the Interpretation of Prehistoric and Historic Built Environments</t>
  </si>
  <si>
    <t>Paliou, Eleftheria</t>
  </si>
  <si>
    <t>Mobilität und Wissenstransfer in Diachroner und Interdisziplinärer Perspektive</t>
  </si>
  <si>
    <t>(Open) Linked Data in Bibliotheken</t>
  </si>
  <si>
    <t>Danowski, Patrick</t>
  </si>
  <si>
    <t>Germany and Europe: Does What Belongs Together Grow Together? : Wächst zusammen, was zusammen gehört?</t>
  </si>
  <si>
    <t>Abhandlungen der Akademie der Wissenschaften in Hamburg Ser.</t>
  </si>
  <si>
    <t>Akademie der Wissenschaften in Hamburg, Akademie der</t>
  </si>
  <si>
    <t>Oaths and Swearing in Ancient Greece</t>
  </si>
  <si>
    <t>Beiträge Zur Altertumskunde Ser.</t>
  </si>
  <si>
    <t>Sommerstein, Alan H.</t>
  </si>
  <si>
    <t>Bundesstaat und Europäische Union Zwischen Konflikt und Kooperation : Berichte und Diskussionen Auf der Tagung der Vereinigung der Deutschen Staatsrechtslehrer in Rostock Vom 4. Bis 7. Oktober 2006</t>
  </si>
  <si>
    <t>Kadelbach, Stefan</t>
  </si>
  <si>
    <t>Der Sozialstaat in Deutschland und Europa : Berichte und Diskussionen Auf der Tagung der Vereinigung der Deutschen Staatsrechtslehrer in Jena Vom 6. Bis 9. Oktober 2004</t>
  </si>
  <si>
    <t>Enders, Christoph</t>
  </si>
  <si>
    <t>The German President. Letters 19541959 : Briefe 1954–1959</t>
  </si>
  <si>
    <t>Der Kaiser und Konstantinopel : Kommunikation und Konfliktaustrag in Einer Spätantiken Metropole</t>
  </si>
  <si>
    <t>Pfeilschifter, Rene</t>
  </si>
  <si>
    <t>Across the Margins : Cultural Identity and Change in the Atlantic Archipelago</t>
  </si>
  <si>
    <t>Norquay, Glenda</t>
  </si>
  <si>
    <t>Stories of Women : Gender and Narrative in the Postcolonial Nation</t>
  </si>
  <si>
    <t>Boehmer, Elleke</t>
  </si>
  <si>
    <t>Bibliotheken: Innovation Aus Tradition : Rolf Griebel Zum 65. Geburtstag</t>
  </si>
  <si>
    <t>Ceynowa, Klaus</t>
  </si>
  <si>
    <t>Die Basilika in Byzanz : Gestalt, Ausstattung und Funktion Sowie das Verhältnis Zur Kreuzkuppelkirche</t>
  </si>
  <si>
    <t>Altripp, Michael</t>
  </si>
  <si>
    <t>Gaming und Bibliotheken</t>
  </si>
  <si>
    <t>Deeg, Christoph</t>
  </si>
  <si>
    <t>Z716.33 -- .D44 2014eb</t>
  </si>
  <si>
    <t xml:space="preserve">Libraries -- Activity programs. </t>
  </si>
  <si>
    <t>The International Monetary Fund and Latin America : The Argentine Puzzle in Context</t>
  </si>
  <si>
    <t>Kedar, Claudia</t>
  </si>
  <si>
    <t>Antibiotika-Forschung: Probleme und Perspektiven : Stellungnahme</t>
  </si>
  <si>
    <t>Akademie der Wissenschaften Hamburg, Akademie der</t>
  </si>
  <si>
    <t>Active Ageing and Solidarity Between Generations in Europe : First Results from SHARE after the Economic Crisis</t>
  </si>
  <si>
    <t>Börsch-Supan, Axel</t>
  </si>
  <si>
    <t>Jeremiah Smith, Jr. and Hungary, 1924-1926 : The United States, the League of Nations, and the Financial Reconstruction of Hungary</t>
  </si>
  <si>
    <t>De Gruyter Open</t>
  </si>
  <si>
    <t>Peterecz, Zoltán</t>
  </si>
  <si>
    <t>Pioneers of Zionism: Hess, Pinsker, Rülf : Messianism, Settlement Policy, and the Israeli-Palestinian Conflict</t>
  </si>
  <si>
    <t>Europäisch-Jüdische Studien - Kontroversen Ser.</t>
  </si>
  <si>
    <t>Schoeps, Julius H.</t>
  </si>
  <si>
    <t>Jugendbewegung, Antisemitismus und Rechtsradikale Politik : Vom ,,Freideutschen Jugendtag Bis Zur Gegenwart</t>
  </si>
  <si>
    <t>De Gruyter Oldenbourg</t>
  </si>
  <si>
    <t>Europäisch-Jüdische Studien - Beiträge Ser.</t>
  </si>
  <si>
    <t>Botsch, Gideon</t>
  </si>
  <si>
    <t>Repräsentative Demokratie in der Krise? : Referate und Diskussionen Auf der Tagung der Vereinigung der Deutschen Staatsrechtslehrer in Kiel Vom 3. Bis 6. Oktober 2012</t>
  </si>
  <si>
    <t>Walter, Christian</t>
  </si>
  <si>
    <t>On Ancient Grammars of Space : Linguistic Research on the Expression of Spatial Relations and Motion in Ancient Languages</t>
  </si>
  <si>
    <t>Kutscher, Silvia</t>
  </si>
  <si>
    <t>Das Emanzipationsedikt Von 1812 in Preußen : Der Lange Weg der Juden Zu ,,Einländern und ,,preußischen Staatsbürgern</t>
  </si>
  <si>
    <t>Diekmann, Irene A.</t>
  </si>
  <si>
    <t>Constructivist Blended Learning Approach : To Teaching English for Specific Purposes</t>
  </si>
  <si>
    <t>Tarnopolsky, Oleg</t>
  </si>
  <si>
    <t>Language/Linguistics</t>
  </si>
  <si>
    <t>PE1068 .G4</t>
  </si>
  <si>
    <t xml:space="preserve">English language -- Grammar. </t>
  </si>
  <si>
    <t>Before the Museums Came : A Social History of the Fine Arts in the Twin Cities</t>
  </si>
  <si>
    <t>Harris, Leo J.</t>
  </si>
  <si>
    <t>N6494</t>
  </si>
  <si>
    <t xml:space="preserve">Art collector. </t>
  </si>
  <si>
    <t>Tractates Pesahim and Yoma</t>
  </si>
  <si>
    <t>Studia Judaica Ser.</t>
  </si>
  <si>
    <t>Guggenheimer, Heinrich W.</t>
  </si>
  <si>
    <t>Ethnography As Commentary : Writing from the Virtual Archive</t>
  </si>
  <si>
    <t>Duke University Press</t>
  </si>
  <si>
    <t>Fabian, Johannes</t>
  </si>
  <si>
    <t>GN307</t>
  </si>
  <si>
    <t>https://ebookcentral.proquest.com/lib/istinye/detail.action?docID=1167593</t>
  </si>
  <si>
    <t>This Was Not Our War : Bosnian Women Reclaiming the Peace</t>
  </si>
  <si>
    <t>Hunt, Swanee</t>
  </si>
  <si>
    <t>Cinema at the End of Empire : A Politics of Transition in Britain and India</t>
  </si>
  <si>
    <t>Jaikumar, Priya</t>
  </si>
  <si>
    <t>Europe (in Theory)</t>
  </si>
  <si>
    <t>Dainotto, Roberto M.</t>
  </si>
  <si>
    <t>CB203</t>
  </si>
  <si>
    <t>https://ebookcentral.proquest.com/lib/istinye/detail.action?docID=1169866</t>
  </si>
  <si>
    <t>Governing Gaza : Bureaucracy, Authority, and the Work of Rule, 1917-1967</t>
  </si>
  <si>
    <t>Feldman, Ilana</t>
  </si>
  <si>
    <t>DS110</t>
  </si>
  <si>
    <t>351.5'31</t>
  </si>
  <si>
    <t>157.42</t>
  </si>
  <si>
    <t>104.95</t>
  </si>
  <si>
    <t>https://ebookcentral.proquest.com/lib/istinye/detail.action?docID=1169875</t>
  </si>
  <si>
    <t>Lenin Reloaded : Toward a Politics of Truth, Sic Vii</t>
  </si>
  <si>
    <t>[sic] Ser.</t>
  </si>
  <si>
    <t>Budgen, Sebastian</t>
  </si>
  <si>
    <t>Native Americans and the Christian Right : The Gendered Politics of Unlikely Alliances</t>
  </si>
  <si>
    <t>E-Duke Books Scholarly Collection</t>
  </si>
  <si>
    <t>Smith, Andrea</t>
  </si>
  <si>
    <t>Women Build the Welfare State : Performing Charity and Creating Rights in Argentina, 1880-1955</t>
  </si>
  <si>
    <t>Guy, Donna J.</t>
  </si>
  <si>
    <t>HQ1532</t>
  </si>
  <si>
    <t>https://ebookcentral.proquest.com/lib/istinye/detail.action?docID=1169940</t>
  </si>
  <si>
    <t>Conflicted Antiquities : Egyptology, Egyptomania, Egyptian Modernity</t>
  </si>
  <si>
    <t>Colla, Elliott</t>
  </si>
  <si>
    <t>DT60</t>
  </si>
  <si>
    <t>https://ebookcentral.proquest.com/lib/istinye/detail.action?docID=1170470</t>
  </si>
  <si>
    <t>The Culture of Japanese Fascism</t>
  </si>
  <si>
    <t>Asia-Pacific: Culture, Politics, and Society Ser.</t>
  </si>
  <si>
    <t>Tansman, Alan</t>
  </si>
  <si>
    <t>Jacques Rancière : History, Politics, Aesthetics</t>
  </si>
  <si>
    <t>Rockhill, Gabriel</t>
  </si>
  <si>
    <t>Land of Necessity : Consumer Culture in the United States-Mexico Borderlands</t>
  </si>
  <si>
    <t>McCrossen, Alexis</t>
  </si>
  <si>
    <t>Media, Erotics, and Transnational Asia</t>
  </si>
  <si>
    <t>Mankekar, Purnima</t>
  </si>
  <si>
    <t>The Dictator's Seduction : Politics and the Popular Imagination in the Era of Trujillo</t>
  </si>
  <si>
    <t>American Encounters/Global Interactions Ser.</t>
  </si>
  <si>
    <t>Derby, Lauren H.</t>
  </si>
  <si>
    <t>The Provocative Joan Robinson : The Making of a Cambridge Economist</t>
  </si>
  <si>
    <t>Science and Cultural Theory Ser.</t>
  </si>
  <si>
    <t>Aslanbeigui, Nahid</t>
  </si>
  <si>
    <t>The Un-Americans : Jews, the Blacklist, and Stoolpigeon Culture</t>
  </si>
  <si>
    <t>Series Q Ser.</t>
  </si>
  <si>
    <t>Litvak, Joseph</t>
  </si>
  <si>
    <t>A Certain Age : Colonial Jakarta Through the Memories of Its Intellectuals</t>
  </si>
  <si>
    <t>A John Hope Franklin Center Book Ser.</t>
  </si>
  <si>
    <t>ázek, Rudolf</t>
  </si>
  <si>
    <t>DS646</t>
  </si>
  <si>
    <t>959.8/22022</t>
  </si>
  <si>
    <t>https://ebookcentral.proquest.com/lib/istinye/detail.action?docID=1171693</t>
  </si>
  <si>
    <t>Anthropology and the Racial Politics of Culture</t>
  </si>
  <si>
    <t>Baker, Lee D.</t>
  </si>
  <si>
    <t>GN320</t>
  </si>
  <si>
    <t>305.8</t>
  </si>
  <si>
    <t>149.92</t>
  </si>
  <si>
    <t>99.95</t>
  </si>
  <si>
    <t>https://ebookcentral.proquest.com/lib/istinye/detail.action?docID=1171699</t>
  </si>
  <si>
    <t>Bring on the Books for Everybody : How Literary Culture Became Popular Culture</t>
  </si>
  <si>
    <t>Collins, Jim</t>
  </si>
  <si>
    <t>Cosmopolitan Archaeologies</t>
  </si>
  <si>
    <t>Material Worlds Ser.</t>
  </si>
  <si>
    <t>Meskell, Lynn</t>
  </si>
  <si>
    <t>Crash : Cinema and the Politics of Speed and Stasis</t>
  </si>
  <si>
    <t>Redrobe Beckman, Karen</t>
  </si>
  <si>
    <t>PN1997</t>
  </si>
  <si>
    <t>https://ebookcentral.proquest.com/lib/istinye/detail.action?docID=1171722</t>
  </si>
  <si>
    <t>The Indian Craze : Primitivism, Modernism, and Transculturation in American Art, 1890-1915</t>
  </si>
  <si>
    <t>Objects/Histories Ser.</t>
  </si>
  <si>
    <t>Hutchinson, Elizabeth</t>
  </si>
  <si>
    <t>The Sopranos</t>
  </si>
  <si>
    <t>Spin Offs Ser.</t>
  </si>
  <si>
    <t>Polan, Dana</t>
  </si>
  <si>
    <t>PN1992</t>
  </si>
  <si>
    <t>https://ebookcentral.proquest.com/lib/istinye/detail.action?docID=1171778</t>
  </si>
  <si>
    <t>The Speed Handbook : Velocity, Pleasure, Modernism</t>
  </si>
  <si>
    <t>Post-Contemporary Interventions Ser.</t>
  </si>
  <si>
    <t>Duffy, Enda</t>
  </si>
  <si>
    <t>Uneven Encounters : Making Race and Nation in Brazil and the United States</t>
  </si>
  <si>
    <t>Seigel, Micol</t>
  </si>
  <si>
    <t>Women's Experimental Cinema : Critical Frameworks</t>
  </si>
  <si>
    <t>Blaetz, Robin</t>
  </si>
  <si>
    <t>Chinese Circulations : Capital, Commodities, and Networks in Southeast Asia</t>
  </si>
  <si>
    <t>Tagliacozzo, Eric</t>
  </si>
  <si>
    <t>Monumental Matters : The Power, Subjectivity, and Space of India's Mughal Architecture</t>
  </si>
  <si>
    <t>Kavuri-Bauer, Santhi</t>
  </si>
  <si>
    <t>Soldiers' Stories : Military Women in Cinema and Television since World War II</t>
  </si>
  <si>
    <t>Tasker, Yvonne</t>
  </si>
  <si>
    <t>PN1995</t>
  </si>
  <si>
    <t>791.43/6581</t>
  </si>
  <si>
    <t>https://ebookcentral.proquest.com/lib/istinye/detail.action?docID=1172299</t>
  </si>
  <si>
    <t>The Apartment Plot : Urban Living in American Film and Popular Culture, 1945 To 1975</t>
  </si>
  <si>
    <t>Wojcik, Pamela Robertson</t>
  </si>
  <si>
    <t>791.43/658209732</t>
  </si>
  <si>
    <t>https://ebookcentral.proquest.com/lib/istinye/detail.action?docID=1172306</t>
  </si>
  <si>
    <t>Contemporary Carioca : Technologies of Mixing in a Brazilian Music Scene</t>
  </si>
  <si>
    <t>Moehn, Frederick</t>
  </si>
  <si>
    <t>ML3487</t>
  </si>
  <si>
    <t>781.640981/09049</t>
  </si>
  <si>
    <t>https://ebookcentral.proquest.com/lib/istinye/detail.action?docID=1172991</t>
  </si>
  <si>
    <t>Creativity and Its Discontents : China's Creative Industries and Intellectual Property Rights Offenses</t>
  </si>
  <si>
    <t>Pang, Laikwan</t>
  </si>
  <si>
    <t>Decolonizing Native Histories : Collaboration, Knowledge, and Language in the Americas</t>
  </si>
  <si>
    <t>Narrating Native Histories Ser.</t>
  </si>
  <si>
    <t>Mallon, Florencia E.</t>
  </si>
  <si>
    <t>Empire's Garden : Assam and the Making of India</t>
  </si>
  <si>
    <t>Radical Perspectives Ser.</t>
  </si>
  <si>
    <t>Sharma, Jayeeta</t>
  </si>
  <si>
    <t>DS485</t>
  </si>
  <si>
    <t>954/.16203</t>
  </si>
  <si>
    <t>https://ebookcentral.proquest.com/lib/istinye/detail.action?docID=1173000</t>
  </si>
  <si>
    <t>Food, Farms, and Solidarity : French Farmers Challenge Industrial Agriculture and Genetically Modified Crops</t>
  </si>
  <si>
    <t>New Ecologies for the Twenty-First Century Ser.</t>
  </si>
  <si>
    <t>Heller, Chaia</t>
  </si>
  <si>
    <t>Agriculture</t>
  </si>
  <si>
    <t>Migrants and Migration in Modern North America : Cross-Border Lives, Labor Markets, and Politics</t>
  </si>
  <si>
    <t>Hoerder, Dirk</t>
  </si>
  <si>
    <t>Real Folks : Race and Genre in the Great Depression</t>
  </si>
  <si>
    <t>Retman, Sonnet</t>
  </si>
  <si>
    <t>PS228</t>
  </si>
  <si>
    <t>810.9/0052</t>
  </si>
  <si>
    <t>https://ebookcentral.proquest.com/lib/istinye/detail.action?docID=1173032</t>
  </si>
  <si>
    <t>Unearthing Gender : Folksongs of North India</t>
  </si>
  <si>
    <t>Jassal, Smita Tewari</t>
  </si>
  <si>
    <t>What's Left of the Left : Democrats and Social Democrats in Challenging Times</t>
  </si>
  <si>
    <t>Cronin, James E.</t>
  </si>
  <si>
    <t>Worlds Apart : Bosnian Lessons for Global Security</t>
  </si>
  <si>
    <t>DR1313</t>
  </si>
  <si>
    <t>https://ebookcentral.proquest.com/lib/istinye/detail.action?docID=1173076</t>
  </si>
  <si>
    <t>All in the Family : On Community and Incommensurability</t>
  </si>
  <si>
    <t>Ferguson, Kennan</t>
  </si>
  <si>
    <t>HQ515</t>
  </si>
  <si>
    <t>https://ebookcentral.proquest.com/lib/istinye/detail.action?docID=1173226</t>
  </si>
  <si>
    <t>An Historical Account of the Black Empire of Hayti</t>
  </si>
  <si>
    <t>Rainsford, Marcus</t>
  </si>
  <si>
    <t>Culture of Class : Radio and Cinema in the Making of a Divided Argentina, 1920-1946</t>
  </si>
  <si>
    <t>Karush, Matthew B.</t>
  </si>
  <si>
    <t>HN270</t>
  </si>
  <si>
    <t>https://ebookcentral.proquest.com/lib/istinye/detail.action?docID=1173241</t>
  </si>
  <si>
    <t>Mad Men, Mad World : Sex, Politics, Style, and The 1960s</t>
  </si>
  <si>
    <t>Goodlad, Lauren M. E.</t>
  </si>
  <si>
    <t>Odd Couples : Friendships at the Intersection of Gender and Sexual Orientation</t>
  </si>
  <si>
    <t>Muraco, Anna</t>
  </si>
  <si>
    <t>HM1161</t>
  </si>
  <si>
    <t>302.34086/6</t>
  </si>
  <si>
    <t>https://ebookcentral.proquest.com/lib/istinye/detail.action?docID=1173268</t>
  </si>
  <si>
    <t>The Deliverance of Others : Reading Literature in a Global Age</t>
  </si>
  <si>
    <t>Palumbo-Liu, David</t>
  </si>
  <si>
    <t>PN56</t>
  </si>
  <si>
    <t>https://ebookcentral.proquest.com/lib/istinye/detail.action?docID=1173296</t>
  </si>
  <si>
    <t>The Pariahs of Yesterday : Breton Migrants in Paris</t>
  </si>
  <si>
    <t>Moch, Leslie Page</t>
  </si>
  <si>
    <t>Moving to Sustainable Buildings: : Paths to Adopt Green Innovations in Developed Countries</t>
  </si>
  <si>
    <t>Berardi, Umberto</t>
  </si>
  <si>
    <t>Engineering</t>
  </si>
  <si>
    <t>Making the Most of Mess : Reliability and Policy in Today's Management Challenges</t>
  </si>
  <si>
    <t>Roe, Emery</t>
  </si>
  <si>
    <t>The World Jewish Congress During the Holocaust : Between Activism and Restraint</t>
  </si>
  <si>
    <t>New Perspectives on Modern Jewish History Ser.</t>
  </si>
  <si>
    <t>Segev, Zohar</t>
  </si>
  <si>
    <t>D804.3 .S44 2014</t>
  </si>
  <si>
    <t xml:space="preserve">Holocaust, Jewish (1939-1945) </t>
  </si>
  <si>
    <t>The Problem of Relativism in the Sociology of (Scientific) Knowledge</t>
  </si>
  <si>
    <t>Philosophische Analyse / Philosophical Analysis Ser.</t>
  </si>
  <si>
    <t>Schantz, Richard</t>
  </si>
  <si>
    <t>Wittgenstein: the Philosopher and His Works : The Philosopher and His Works</t>
  </si>
  <si>
    <t>Publications of the Austrian Ludwig Wittgenstein Society - New Ser.</t>
  </si>
  <si>
    <t>Substance and Attribute : Western and Islamic Traditions in Dialogue</t>
  </si>
  <si>
    <t>Kanzian, Christian</t>
  </si>
  <si>
    <t>Essays on the Philosophy of Wittgenstein</t>
  </si>
  <si>
    <t>Munz, Volker</t>
  </si>
  <si>
    <t>Time and History : Proceedings of the 28. International Ludwig Wittgenstein Symposium, Kirchberg Am Wechsel, Austria 2005</t>
  </si>
  <si>
    <t>Stadler, Friedrich</t>
  </si>
  <si>
    <t>Phenomenology As Grammar</t>
  </si>
  <si>
    <t>Padilla Gálvez, Jesús</t>
  </si>
  <si>
    <t>Wittgenstein über das Verstehen</t>
  </si>
  <si>
    <t>Tatievskaya, Elena</t>
  </si>
  <si>
    <t>Ethics of Terrorism and Counter-Terrorism</t>
  </si>
  <si>
    <t>Philosophische Forschung / Philosophical Research Ser.</t>
  </si>
  <si>
    <t>Meggle, Georg</t>
  </si>
  <si>
    <t>From Logic to Art : Themes from Nelson Goodman</t>
  </si>
  <si>
    <t>Ernst, Gerhard</t>
  </si>
  <si>
    <t>Volume 2</t>
  </si>
  <si>
    <t>Heinrich, Richard</t>
  </si>
  <si>
    <t>Wittgensteins Sprachphilosophie in Den Philosophischen Untersuchungen : Eine Kommentierende Ersteinführung</t>
  </si>
  <si>
    <t>Kellerwessel, Wulf</t>
  </si>
  <si>
    <t>Volume 1</t>
  </si>
  <si>
    <t>Signs, Minds and Actions</t>
  </si>
  <si>
    <t>Grenzen Grammatischer Willkür Bei Wittgenstein</t>
  </si>
  <si>
    <t>Voß, Henrik</t>
  </si>
  <si>
    <t>Cultures. Conflict - Analysis - Dialogue : Proceedings of the 29th International Ludwig Wittgenstein-Symposium in Kirchberg, Austria</t>
  </si>
  <si>
    <t>Interpreting Philosophy : The Elements of Philosophical Hermeneutics</t>
  </si>
  <si>
    <t>Rescher, Nicholas</t>
  </si>
  <si>
    <t>BD241.R43 2007eb</t>
  </si>
  <si>
    <t>Hermeneutics.</t>
  </si>
  <si>
    <t>https://ebookcentral.proquest.com/lib/istinye/detail.action?docID=1195535</t>
  </si>
  <si>
    <t>Wittgenstein and the Philosophy of Information : Proceedings of the 30th International Ludwig Wittgenstein-Symposium in Kirchberg 2007</t>
  </si>
  <si>
    <t>Philosophy of the Information Society : Proceedings of the 30th International Ludwig Wittgenstein-Symposium in Kirchberg 2007</t>
  </si>
  <si>
    <t>Applied Ontology : An Introduction</t>
  </si>
  <si>
    <t>Metaphysical Research Ser.</t>
  </si>
  <si>
    <t>Munn, Katherine</t>
  </si>
  <si>
    <t>Referenz, Quantifikation und Ontologische Festlegung</t>
  </si>
  <si>
    <t>Reicher, Maria Elisabeth</t>
  </si>
  <si>
    <t>BD331.R45 2005eb</t>
  </si>
  <si>
    <t>113.8</t>
  </si>
  <si>
    <t>Ontology.</t>
  </si>
  <si>
    <t>https://ebookcentral.proquest.com/lib/istinye/detail.action?docID=1195561</t>
  </si>
  <si>
    <t>Fostering the Ontological Turn : Gustav Bergmann (1906-1987)</t>
  </si>
  <si>
    <t>Egidi, Rosaria</t>
  </si>
  <si>
    <t>Ports, Piracy and Maritime War : Piracy in the English Channel and the Atlantic, C. 1280-C. 1330</t>
  </si>
  <si>
    <t>BRILL</t>
  </si>
  <si>
    <t>Medieval Law and Its Practice Ser.</t>
  </si>
  <si>
    <t>Heebll-Holm, Thomas</t>
  </si>
  <si>
    <t>Daten und Phänomene : Ein Beitrag Zur Wissenschaftstheoretischen Realismusdebatte</t>
  </si>
  <si>
    <t>Epistemische Studien / Epistemic Studies</t>
  </si>
  <si>
    <t>Apel, Jochen</t>
  </si>
  <si>
    <t>BD352.A64 2011eb</t>
  </si>
  <si>
    <t xml:space="preserve">Phenomenalism. </t>
  </si>
  <si>
    <t>Theoriebeladenheit und Objektivität : Zur Rolle der Beobachtung in Den Naturwissenschaften</t>
  </si>
  <si>
    <t>Adam, Matthias</t>
  </si>
  <si>
    <t>Das Wertfreiheitsideal in der Sozialen Erkenntnistheorie : Objektivität, Pluralismus und das Beispiel Frauengesundheitsforschung</t>
  </si>
  <si>
    <t>Büter, Anke</t>
  </si>
  <si>
    <t>Consciousness and Subjectivity</t>
  </si>
  <si>
    <t>Miguens, Sofia</t>
  </si>
  <si>
    <t>Universality in Set Theories : A Study in Formal Ontology</t>
  </si>
  <si>
    <t>Bremer, Manuel</t>
  </si>
  <si>
    <t>BD311.B74 2013eb</t>
  </si>
  <si>
    <t>https://ebookcentral.proquest.com/lib/istinye/detail.action?docID=1209347</t>
  </si>
  <si>
    <t>On the Nature of Philosophy and Other Philosophical Essays</t>
  </si>
  <si>
    <t>B29.R47 2012eb</t>
  </si>
  <si>
    <t>Philosophy.</t>
  </si>
  <si>
    <t>https://ebookcentral.proquest.com/lib/istinye/detail.action?docID=1215533</t>
  </si>
  <si>
    <t>Medicine and Philosophy : A Twenty-First Century Introduction</t>
  </si>
  <si>
    <t>Johansson, Ingvar</t>
  </si>
  <si>
    <t>Historische Erkenntnis Zwischen Objektivität und Perspektivität</t>
  </si>
  <si>
    <t>Kistenfeger, Jens</t>
  </si>
  <si>
    <t>Die Praxis des Wissens : Können Als Quelle der Erkenntnis</t>
  </si>
  <si>
    <t>Schubert, Axel</t>
  </si>
  <si>
    <t>BD163.S38 2012eb</t>
  </si>
  <si>
    <t>149.94</t>
  </si>
  <si>
    <t xml:space="preserve">Knowledge, Theory of. </t>
  </si>
  <si>
    <t>A Two-Dimensionalist Guide to Conceptual Analysis</t>
  </si>
  <si>
    <t>Kipper, Jens</t>
  </si>
  <si>
    <t>B840.K57 2012eb</t>
  </si>
  <si>
    <t xml:space="preserve">Semantics (Philosophy) </t>
  </si>
  <si>
    <t>Non-Locality and Possible World : A Counterfactual Perspective on Quantum Entanglement</t>
  </si>
  <si>
    <t>Bigaj, Tomasz F.</t>
  </si>
  <si>
    <t>Von der Physik Zur Metaphysik : Physikalische Vereinheitlichung und Stringansatz</t>
  </si>
  <si>
    <t>Hedrich, Reiner</t>
  </si>
  <si>
    <t>The Necessary Structure of the All-Pervading Aether : Necessary Structure of the All-Pervading Aether</t>
  </si>
  <si>
    <t>Forrest, Peter</t>
  </si>
  <si>
    <t>Science: Physics</t>
  </si>
  <si>
    <t>Relations and Predicates</t>
  </si>
  <si>
    <t>Hochberg, Herbert</t>
  </si>
  <si>
    <t>Reduction : Between the Mind and the Brain</t>
  </si>
  <si>
    <t>Hieke, Alexander</t>
  </si>
  <si>
    <t>Reduction - Abstraction - Analysis : Proceedings of the 31th International Ludwig Wittgenstein-Symposium in Kirchberg 2008</t>
  </si>
  <si>
    <t>Sense and Reality : Essays Out of Swansea</t>
  </si>
  <si>
    <t>Edelman, John</t>
  </si>
  <si>
    <t>Die Natur der Farben</t>
  </si>
  <si>
    <t>Dorsch, Fabian</t>
  </si>
  <si>
    <t>Gottes Werk und Teufels Wirken : Traum, Vision, Imagination in der Frühbyzantinischen Monastischen Literatur</t>
  </si>
  <si>
    <t>Histamine H4 Receptor : A Novel Drug Target for Immunoregulation and Inflammation</t>
  </si>
  <si>
    <t>Stark, Holger</t>
  </si>
  <si>
    <t>Theodor Heuss As Private Citizen and Elder Statesman</t>
  </si>
  <si>
    <t>Bird Ringing Station Manual</t>
  </si>
  <si>
    <t>Busse, Przemyslaw</t>
  </si>
  <si>
    <t>Retirement Timing and Social Stratification : A Comparative Study of Labor Market Exit and Age Norms in Western Europe</t>
  </si>
  <si>
    <t>Radl, Jonas</t>
  </si>
  <si>
    <t>Environmental Democracy at the Global Level: : Rights and Duties for a New Citizenship</t>
  </si>
  <si>
    <t>Parola, Giulia</t>
  </si>
  <si>
    <t>Environmental Studies</t>
  </si>
  <si>
    <t>GE180</t>
  </si>
  <si>
    <t>363.7</t>
  </si>
  <si>
    <t xml:space="preserve">Democracy -- Environmental aspects. </t>
  </si>
  <si>
    <t>Europe and the Gospel : Past Influences, Current Developments, Mission Challenges</t>
  </si>
  <si>
    <t>Van de Poll, Evert</t>
  </si>
  <si>
    <t>BR162</t>
  </si>
  <si>
    <t>270.1</t>
  </si>
  <si>
    <t xml:space="preserve">Gospel. </t>
  </si>
  <si>
    <t>Monumental Polovtsian Statues in Eastern Europe : The Archaeology, Conservation and Protection</t>
  </si>
  <si>
    <t>Golebiowska-Tobiasz, Aneta</t>
  </si>
  <si>
    <t>Russian Policy in the Orthodox East : The Patriarchate of Constantinople (1878-1914)</t>
  </si>
  <si>
    <t>Gerd, Lora</t>
  </si>
  <si>
    <t>BX101</t>
  </si>
  <si>
    <t>Behold Our Moral Body : Psychiatry, Duns Scotus, and Neuroscience</t>
  </si>
  <si>
    <t>Severino, Sally K.</t>
  </si>
  <si>
    <t>BL240.2</t>
  </si>
  <si>
    <t xml:space="preserve">Ethics. </t>
  </si>
  <si>
    <t>Children Disengaged from Armed Groups in Colombia : Integration Processes in Context</t>
  </si>
  <si>
    <t>Villanueva O'Driscoll, Julia</t>
  </si>
  <si>
    <t>The Szczecin Lagoon Ecosystem : The Biotic Community of the Great Lagoon and Its Food Web Model</t>
  </si>
  <si>
    <t>Wolnomiejski, Norbert</t>
  </si>
  <si>
    <t>Musket, Map and Money: : How Military Technology Shaped Geopolitics and Economics</t>
  </si>
  <si>
    <t>Teng, Jimmy</t>
  </si>
  <si>
    <t>Military Science</t>
  </si>
  <si>
    <t>Liberalismus : Zur Historischen Semantik Eines Europäischen Deutungsmusters</t>
  </si>
  <si>
    <t>Veröffentlichungen des Deutschen Historischen Instituts London/ Publications of the German Historical Institute London Ser.</t>
  </si>
  <si>
    <t>Leonhard, Jö</t>
  </si>
  <si>
    <t>Random Differential Equations in Scientific Computing</t>
  </si>
  <si>
    <t>Neckel, Tobias</t>
  </si>
  <si>
    <t>Auf Ewig Feind? : Das Deutschlandbild in Den Britischen Massenmedien Nach Dem Ersten Weltkrieg</t>
  </si>
  <si>
    <t>Wittek, Thomas</t>
  </si>
  <si>
    <t>Der Schatten des Volkes : Benjamin Constant und Die Anfänge Liberaler Repräsentationskultur Im Frankreich der Restaurationszeit 1814-1830</t>
  </si>
  <si>
    <t>Pariser Historische Studien Ser.</t>
  </si>
  <si>
    <t>Geiss, Peter</t>
  </si>
  <si>
    <t>DC148</t>
  </si>
  <si>
    <t xml:space="preserve">Constant, Benjamin, -- 1767-1830. </t>
  </si>
  <si>
    <t>Der Fall Nicolas Fouquet : Mäzenatentum Als Mittel Politischer Selbstdarstellung 1653-1661</t>
  </si>
  <si>
    <t>Howald, Christine</t>
  </si>
  <si>
    <t>Zwischen Paris und Moskau : Kommunistische Vorstadtidentität und Lokale Erinnerungskultur in Ivry-Sur-Seine</t>
  </si>
  <si>
    <t>Léon, Cristina</t>
  </si>
  <si>
    <t>Germany, Russia, and the Comintern. II - Documents (1918e 1943) - After the Archival Revolution : Nach der Archivrevolution: Neuerschlossene Quellen zu der Geschichte der KPD und den deutsch-russischen Beziehungen</t>
  </si>
  <si>
    <t>Archive des Kommunismus - Pfade des XX. Jahrhunderts Ser.</t>
  </si>
  <si>
    <t>Weber, Hermann</t>
  </si>
  <si>
    <t>La Descrizione Dei Tempi All'alba Dell'espansione Islamica : Un'indagine Sulla Storiografia Greca, Siriaca e Araba Fra VII e VIII Secolo</t>
  </si>
  <si>
    <t>Conterno, Maria</t>
  </si>
  <si>
    <t>Deutschland, Russland, Komintern - Überblicke, Analysen, Diskussionen : Neue Perspektiven Auf Die Geschichte der KPD und Die Deutsch-Russischen Beziehungen (1918-1943)</t>
  </si>
  <si>
    <t>Das Römische Spielewesen in der Spätantike</t>
  </si>
  <si>
    <t>Puk, Alexander</t>
  </si>
  <si>
    <t>Learning History in a Transforming Digital World: a Book Project Subjected to Open Peer Review</t>
  </si>
  <si>
    <t>Demantowsky, Marko</t>
  </si>
  <si>
    <t>Arbeit Im Nationalsozialismus</t>
  </si>
  <si>
    <t>Buggeln, Marc</t>
  </si>
  <si>
    <t>Historyblogosphere : Bloggen in Den Geschichtswissenschaften</t>
  </si>
  <si>
    <t>Haber, Peter</t>
  </si>
  <si>
    <t>Umwelt und Herrschaft in der Geschichte. Environnement et Pouvoir: une Approche Historique : Une Approche Historique</t>
  </si>
  <si>
    <t>Ateliers des Deutschen Historischen Instituts Paris Ser.</t>
  </si>
  <si>
    <t>Duceppe-Lamarre, François</t>
  </si>
  <si>
    <t>The Linguistic Worldview : Ethnolinguistics, Cognition, and Culture</t>
  </si>
  <si>
    <t>Glaz, Adam</t>
  </si>
  <si>
    <t>Das 19. Jahrhundert Als Mediengesellschaft</t>
  </si>
  <si>
    <t>Requate, Jörg</t>
  </si>
  <si>
    <t>Tous les Hommes Sont-Ils égaux? : Histoire Comparée des Pensées Raciales 1860-1930</t>
  </si>
  <si>
    <t>Reynaud Paligot, Carole</t>
  </si>
  <si>
    <t>HT1507 -- .T687 2009eb</t>
  </si>
  <si>
    <t xml:space="preserve">Racism -- History -- 19th century -- Congresses. </t>
  </si>
  <si>
    <t>Remy Belleau and the Art of Healing</t>
  </si>
  <si>
    <t>Braybrook, Jean</t>
  </si>
  <si>
    <t>PQ1666</t>
  </si>
  <si>
    <t>841.3</t>
  </si>
  <si>
    <t xml:space="preserve">Belleau, Remy, -- 1528-1577. </t>
  </si>
  <si>
    <t>Michaelis Pselli Chronographia</t>
  </si>
  <si>
    <t>Reinsch, Diether Roderich</t>
  </si>
  <si>
    <t>DF591 -- .M534 2014eb</t>
  </si>
  <si>
    <t>949.5</t>
  </si>
  <si>
    <t xml:space="preserve">Psellus, Michael. -- Chronographia. </t>
  </si>
  <si>
    <t>Nationale Identität und Transnationale Einflüsse : Amerikanisierung, Europäisierung und Globalisierung in Frankreich Nach Dem Zweiten Weltkrieg</t>
  </si>
  <si>
    <t>Marcowitz, Reiner</t>
  </si>
  <si>
    <t>Mutation Breeding in Chickpea: : Perspectives and Prospects for Food Security</t>
  </si>
  <si>
    <t>Kozgar, Imran</t>
  </si>
  <si>
    <t>SB351.C45</t>
  </si>
  <si>
    <t>Chickpea--Mutation breeding.</t>
  </si>
  <si>
    <t>https://ebookcentral.proquest.com/lib/istinye/detail.action?docID=1524378</t>
  </si>
  <si>
    <t>Exploring Cultural Identities in Jean Rhys' Fiction</t>
  </si>
  <si>
    <t>Voicu, Cristina-Georgiana</t>
  </si>
  <si>
    <t>PR6035.H96</t>
  </si>
  <si>
    <t xml:space="preserve">Rhys, Jean -- Criticism and interpretation. </t>
  </si>
  <si>
    <t>Simon of Genoa's Medical Lexicon</t>
  </si>
  <si>
    <t>Zipser, Barbara</t>
  </si>
  <si>
    <t>Russia in the Reign of Aleksei Mikhailovich</t>
  </si>
  <si>
    <t>Kotoshikhin, Grigorii Karpovich</t>
  </si>
  <si>
    <t>150 Jahre Deutsche Verwaltungsgerichtsbarkeit : Vortrag, Gehalten Vor der Juristischen Gesellschaft Zu Berlin Am 9. Oktober 2013 Im OVG Berlin-Brandenburg</t>
  </si>
  <si>
    <t>Hien, Eckart</t>
  </si>
  <si>
    <t>K2120 -- .H54 2014eb</t>
  </si>
  <si>
    <t>342.4</t>
  </si>
  <si>
    <t>Appellate courts -- Germany.</t>
  </si>
  <si>
    <t>https://ebookcentral.proquest.com/lib/istinye/detail.action?docID=1586238</t>
  </si>
  <si>
    <t>A Galileo Forgery : Unmasking the New York Sidereus Nuncius</t>
  </si>
  <si>
    <t>Bredekamp, Horst</t>
  </si>
  <si>
    <t>Biological Relatives : IVF, Stem Cells, and the Future of Kinship</t>
  </si>
  <si>
    <t>Experimental Futures Ser.</t>
  </si>
  <si>
    <t>Franklin, Sarah</t>
  </si>
  <si>
    <t>RG135</t>
  </si>
  <si>
    <t>https://ebookcentral.proquest.com/lib/istinye/detail.action?docID=1603736</t>
  </si>
  <si>
    <t>Borderland Lives in Northern South Asia</t>
  </si>
  <si>
    <t>Gellner, David N.</t>
  </si>
  <si>
    <t>In Search of the Amazon : Brazil, the United States, and the Nature of a Region</t>
  </si>
  <si>
    <t>Garfield, Seth</t>
  </si>
  <si>
    <t>My Voice Is My Weapon : Music, Nationalism, and the Poetics of Palestinian Resistance</t>
  </si>
  <si>
    <t>McDonald, David A.</t>
  </si>
  <si>
    <t>ML3754</t>
  </si>
  <si>
    <t>780.89/9274</t>
  </si>
  <si>
    <t>https://ebookcentral.proquest.com/lib/istinye/detail.action?docID=1603773</t>
  </si>
  <si>
    <t>Return : Nationalizing Transnational Mobility in Asia</t>
  </si>
  <si>
    <t>Xiang, Biao</t>
  </si>
  <si>
    <t>Major Trends in Theoretical and Applied Linguistics 3 : Selected Papers from the 20th ISTAL</t>
  </si>
  <si>
    <t>Lavidas, Nikolaos</t>
  </si>
  <si>
    <t>Major Trends in Theoretical and Applied Linguistics 1 : Selected Papers from the 20th ISTAL</t>
  </si>
  <si>
    <t>Major Trends in Theoretical and Applied Linguistics 2 : Selected Papers from the 20th ISTAL</t>
  </si>
  <si>
    <t>Art from a Fractured Past : Memory and Truth-Telling in Post-Shining Path Peru</t>
  </si>
  <si>
    <t>Milton, Cynthia E.</t>
  </si>
  <si>
    <t>NX180</t>
  </si>
  <si>
    <t>700.985/09048</t>
  </si>
  <si>
    <t>https://ebookcentral.proquest.com/lib/istinye/detail.action?docID=1632035</t>
  </si>
  <si>
    <t>Ever Faithful : Race, Loyalty, and the Ends of Empire in Spanish Cuba</t>
  </si>
  <si>
    <t>Sartorius, David</t>
  </si>
  <si>
    <t>An Experimental Study on Adhesive or Anti-Adhesive, Bio-inspired Experimental Nanomaterials</t>
  </si>
  <si>
    <t>Lepore, Emiliano</t>
  </si>
  <si>
    <t>Skin for Skin : Death and Life for Inuit and Innu</t>
  </si>
  <si>
    <t>Sider, Gerald M.</t>
  </si>
  <si>
    <t>West Germany in the CSCE Process, 1975-1983: the Reversal of Diplomacy : Die Umkehrung der Diplomatie</t>
  </si>
  <si>
    <t>Quellen und Darstellungen Zur Zeitgeschichte Ser.</t>
  </si>
  <si>
    <t>Peter, Matthias</t>
  </si>
  <si>
    <t>Trust As an Element of 20th Century International Relations : Vertrauen, Misstrauen und die Außenpolitik der Bundesrepublik Deutschland</t>
  </si>
  <si>
    <t>Zeitgeschichte Im Gespräch Ser.</t>
  </si>
  <si>
    <t>Kreis, Reinhild</t>
  </si>
  <si>
    <t>Science: Anatomy/Physiology</t>
  </si>
  <si>
    <t>The German Foreign Office under National Socialism</t>
  </si>
  <si>
    <t>Schriftenreihe der Vierteljahrshefte Für Zeitgeschichte Ser.</t>
  </si>
  <si>
    <t>Hürter, Johannes</t>
  </si>
  <si>
    <t>Inszenierte Moderne : Populäres Theater in Berlin und London, 1880-1930</t>
  </si>
  <si>
    <t>Becker, Tobias</t>
  </si>
  <si>
    <t>Energy Efficiency Solutions for Historic Buildings : A Handbook</t>
  </si>
  <si>
    <t>Birkhaüser</t>
  </si>
  <si>
    <t>Troi, Alexandra (EURAC research)</t>
  </si>
  <si>
    <t>Öl und Souveränität : Petroknowledge und Energiepolitik in Den USA und Westeuropa in Den 1970er Jahren</t>
  </si>
  <si>
    <t>Graf, Rüdiger</t>
  </si>
  <si>
    <t>Animating Film Theory</t>
  </si>
  <si>
    <t>NC1765</t>
  </si>
  <si>
    <t>791.43/34</t>
  </si>
  <si>
    <t>https://ebookcentral.proquest.com/lib/istinye/detail.action?docID=1647711</t>
  </si>
  <si>
    <t>Designing Adaptive Virtual Worlds</t>
  </si>
  <si>
    <t>Gu, Ning</t>
  </si>
  <si>
    <t>The Global Commons in the 20th Century : Entwürfe für eine globale Welt</t>
  </si>
  <si>
    <t>Zukunftsgestaltung Durch Öffentliches Recht : Referate und Diskussionen Auf der Tagung der Vereinigung der Deutschen Staatsrechtslehrer in Greifswald Vom 2. Bis 5. Oktober 2013</t>
  </si>
  <si>
    <t>Ehrenzeller, Bernhard</t>
  </si>
  <si>
    <t>An Historical Geography of Tourism in Victoria, Australia : Case Studies</t>
  </si>
  <si>
    <t>Clark, Ian</t>
  </si>
  <si>
    <t>Gender-UseIT : HCI, Usability und UX Unter Gendergesichtspunkten</t>
  </si>
  <si>
    <t>Hochschule Heilbronn, Kompetenzzentrum Technik-Diversity-Chancengleichheit</t>
  </si>
  <si>
    <t>Genuss Als Politikum : Kaffeekonsum in Beiden Deutschen Staaten</t>
  </si>
  <si>
    <t>Studien Zur Zeitgeschichte Ser.</t>
  </si>
  <si>
    <t>Sigmund, Monika</t>
  </si>
  <si>
    <t>Home Economics</t>
  </si>
  <si>
    <t>Coordination Abilities in Volleyball</t>
  </si>
  <si>
    <t>Simonek, Jaromír</t>
  </si>
  <si>
    <t>Abortion in the American Imagination : Before Life and Choice, 1880-1940</t>
  </si>
  <si>
    <t>The American Literatures Initiative Ser.</t>
  </si>
  <si>
    <t>Weingarten, Karen</t>
  </si>
  <si>
    <t>PS169</t>
  </si>
  <si>
    <t>810.9/355</t>
  </si>
  <si>
    <t>281.25</t>
  </si>
  <si>
    <t>187.50</t>
  </si>
  <si>
    <t>562.50</t>
  </si>
  <si>
    <t>https://ebookcentral.proquest.com/lib/istinye/detail.action?docID=1680085</t>
  </si>
  <si>
    <t>State of Ambiguity : Civic Life and Culture in Cuba's First Republic</t>
  </si>
  <si>
    <t>Palmer, Steven</t>
  </si>
  <si>
    <t>Reichenbach's Paradise : Constructing the Realm of Probabilstic Common Causes</t>
  </si>
  <si>
    <t>Wronski, Leszek</t>
  </si>
  <si>
    <t>Tango Lessons : Movement, Sound, Image, and Text in Contemporary Practice</t>
  </si>
  <si>
    <t>Miller, Marilyn G.</t>
  </si>
  <si>
    <t>Médialité et Interprétation Contemporaine des Premières Guerres de Religion</t>
  </si>
  <si>
    <t>Haug-Moritz, Gabriele</t>
  </si>
  <si>
    <t>Fear and Loathing in the North : Jews and Muslims in Medieval Scandinavia and the Baltic Region</t>
  </si>
  <si>
    <t>Heß, Cordelia</t>
  </si>
  <si>
    <t>The Contents of Perceptual Experience: a Kantian Perspective : A Kantian Perspective</t>
  </si>
  <si>
    <t>Tomaszewska, Anna</t>
  </si>
  <si>
    <t>B2798 .T384 2014</t>
  </si>
  <si>
    <t>128.4</t>
  </si>
  <si>
    <t xml:space="preserve">Idealism, German. </t>
  </si>
  <si>
    <t>Youth and Experiences of Ageing among Maa : Models of Society Evoked by the Maasai, Samburu, and Chamus of Kenya</t>
  </si>
  <si>
    <t>Spencer, Paul</t>
  </si>
  <si>
    <t>Palpation for Pelvic Floor Training</t>
  </si>
  <si>
    <t>Hanzal, Engelbert</t>
  </si>
  <si>
    <t>Carolingian Monasteries: Knowledge Transfer and Cultural Innovation : Wissenstransfer und kulturelle Innovation</t>
  </si>
  <si>
    <t>Materiale Textkulturen Ser.</t>
  </si>
  <si>
    <t>Becker, Julia</t>
  </si>
  <si>
    <t>Information and Communications Technology : In the 21st Century Classroom</t>
  </si>
  <si>
    <t>Pérez Marín, Diana</t>
  </si>
  <si>
    <t>Soviet Garrisons and German Administration in the Soviet Occupied Zone and Early East Germany: Documents : Dokumente</t>
  </si>
  <si>
    <t>Texte und Materialien Zur Zeitgeschichte Ser.</t>
  </si>
  <si>
    <t>DD261.4 -- .S695 2015eb</t>
  </si>
  <si>
    <t xml:space="preserve">Germany (East) -- Politics and government. </t>
  </si>
  <si>
    <t>Script-Bearing and Text-bearing Artifacts: on the Material Presence of the Written in Early Societies : Zur Materialen Präsenz des Geschriebenen in Frühen Gesellschaften</t>
  </si>
  <si>
    <t>Kehnel, Annette</t>
  </si>
  <si>
    <t>Appearances and Usages of Holy Scriptures</t>
  </si>
  <si>
    <t>Quack, Joachim Friedrich</t>
  </si>
  <si>
    <t>Verborgen, Unsichtbar, Unlesbar - Zur Problematik Restringierter Schriftpräsenz</t>
  </si>
  <si>
    <t>Frese, Tobias</t>
  </si>
  <si>
    <t>Family Life in Adolescence</t>
  </si>
  <si>
    <t>Noller, Patricia</t>
  </si>
  <si>
    <t>Praxeologie : Beiträge Zur Interdisziplinären Reichweite Praxistheoretischer Ansätze in Den Geistes- und Sozialwissenschaften</t>
  </si>
  <si>
    <t>Elias, Friederike</t>
  </si>
  <si>
    <t>Introduction to Modern Instrumentation : For Hydraulics and Environmental Sciences</t>
  </si>
  <si>
    <t>Guaraglia, Dardo Oscar</t>
  </si>
  <si>
    <t>Copular Clauses and Focus Marking in Sumerian</t>
  </si>
  <si>
    <t>Zólyomi, Gábor</t>
  </si>
  <si>
    <t>Plug&amp;Play Places : Lifeworlds of Multilocal Creative Knowledge Workers</t>
  </si>
  <si>
    <t>Nadler, Robert</t>
  </si>
  <si>
    <t>HM621</t>
  </si>
  <si>
    <t xml:space="preserve">Arts -- Economic aspects. </t>
  </si>
  <si>
    <t>Marine Propulsion Simulation : Methods and Results</t>
  </si>
  <si>
    <t>Martelli, Michele</t>
  </si>
  <si>
    <t>Paper in Medieval Europe: Its Production and Use : Herstellung und Gebrauch</t>
  </si>
  <si>
    <t>Meyer, Carla</t>
  </si>
  <si>
    <t>Lucan und der Prinzipat : Inkonsistenz und Unzuverlässiges Erzählen Im Bellum Civile</t>
  </si>
  <si>
    <t>Kimmerle, Nadja</t>
  </si>
  <si>
    <t>Geography/Travel</t>
  </si>
  <si>
    <t>Turbulence : A Corporate Perspective on Collaborating for Resilience</t>
  </si>
  <si>
    <t>Mullie, Roland</t>
  </si>
  <si>
    <t>Exhibiting Cinema in Contemporary Art</t>
  </si>
  <si>
    <t>Film Culture in Transition Ser.</t>
  </si>
  <si>
    <t>Balsom, Erika</t>
  </si>
  <si>
    <t>PN1995.25.B35 2013eb</t>
  </si>
  <si>
    <t xml:space="preserve">Art and motion pictures. </t>
  </si>
  <si>
    <t>Improvising Cinema</t>
  </si>
  <si>
    <t>Mouëllic, Gilles</t>
  </si>
  <si>
    <t>Fabricating the Absolute Fake - Revised Edition : America in Contemporary Pop Culture - Revised Edition</t>
  </si>
  <si>
    <t>American Studies</t>
  </si>
  <si>
    <t>Kooijman, Jaap</t>
  </si>
  <si>
    <t>Preserving and Exhibiting Media Art : Challenges and Perspectives</t>
  </si>
  <si>
    <t>Framing Film Ser.</t>
  </si>
  <si>
    <t>Saba, Cosetta</t>
  </si>
  <si>
    <t>Educational Mobility of Second-Generation Turks : Cross-National Perspectives</t>
  </si>
  <si>
    <t>IMISCOE Research Ser.</t>
  </si>
  <si>
    <t>Schnell, Philipp</t>
  </si>
  <si>
    <t>https://ebookcentral.proquest.com/lib/istinye/detail.action?docID=1773777</t>
  </si>
  <si>
    <t>Migration from the Middle East and North Africa to Europe : Past Developments, Current Status and Future Potentials</t>
  </si>
  <si>
    <t>Fassmann, Heinz</t>
  </si>
  <si>
    <t>Transit Migration in Europe</t>
  </si>
  <si>
    <t>Molodikova, Irina</t>
  </si>
  <si>
    <t>The Vanguard of the Atlantic World : Creating Modernity, Nation, and Democracy in Nineteenth-Century Latin America</t>
  </si>
  <si>
    <t>Sanders, James E.</t>
  </si>
  <si>
    <t>F1413</t>
  </si>
  <si>
    <t>980.03</t>
  </si>
  <si>
    <t>https://ebookcentral.proquest.com/lib/istinye/detail.action?docID=1782253</t>
  </si>
  <si>
    <t>Gemeinwohl Durch Wettbewerb? : Berichte und Diskussionen Auf der Tagung der Vereinigung der Deutschen Staatsrechtslehrer in Graz Vom 7. Bis 10. Oktober 2009</t>
  </si>
  <si>
    <t>Soziale Elite und Christentum : Studien Zu Ordo-Angehörigen Unter Den Frühen Christen</t>
  </si>
  <si>
    <t>Weiß, Alexander</t>
  </si>
  <si>
    <t>A Typological Perspective on Latvian Grammar</t>
  </si>
  <si>
    <t>Kalnaca, Andra</t>
  </si>
  <si>
    <t>PG8835</t>
  </si>
  <si>
    <t xml:space="preserve">Latvian language -- Grammar -- Outlines, syllabi, etc. </t>
  </si>
  <si>
    <t>Made in Canada, Read in Spain : Essays on the Translation and Circulation of English-Canadian Literature</t>
  </si>
  <si>
    <t>Somacarrera, Pilar</t>
  </si>
  <si>
    <t>P306.8 .C3</t>
  </si>
  <si>
    <t xml:space="preserve">Canadian literature -- Translations -- History and criticism. </t>
  </si>
  <si>
    <t>Biochemistry Laboratory Manual for Undergraduates : An Inquiry-Based Approach</t>
  </si>
  <si>
    <t>Gerczei Fernandez, Timea</t>
  </si>
  <si>
    <t>Antike Mythologie in Christlichen Kontexten der Spätantike</t>
  </si>
  <si>
    <t>Introduction to Paremiology : A Comprehensive Guide to Proverb Studies</t>
  </si>
  <si>
    <t>Hrisztova-Gotthardt, Hrisztalina</t>
  </si>
  <si>
    <t>Materiality, Techniques and Society in Pottery Production : The Technological Study of Archaeological Ceramics Through Paste Analysis</t>
  </si>
  <si>
    <t>Albero Santacreu, Daniel</t>
  </si>
  <si>
    <t>GN799.P6</t>
  </si>
  <si>
    <t>Pottery -- Europe -- Congresses.</t>
  </si>
  <si>
    <t>https://ebookcentral.proquest.com/lib/istinye/detail.action?docID=1787212</t>
  </si>
  <si>
    <t>Creativity: the Actor in Performance : The Actor in Performance</t>
  </si>
  <si>
    <t>Trenos, Helen</t>
  </si>
  <si>
    <t>Mathematics for the Physical Sciences</t>
  </si>
  <si>
    <t>Copley, Leslie</t>
  </si>
  <si>
    <t>Interacting with Presence : HCI and the Sense of Presence in Computer-Mediated Environments</t>
  </si>
  <si>
    <t>Miniaturization in Sample Preparation</t>
  </si>
  <si>
    <t>Pena Pereira, Francisco</t>
  </si>
  <si>
    <t>Science: Chemistry</t>
  </si>
  <si>
    <t>Enabling Positive Change : Flow and Complexity in Daily Experience</t>
  </si>
  <si>
    <t>Inghilleri, Paolo</t>
  </si>
  <si>
    <t>Arab Women in Algeria</t>
  </si>
  <si>
    <t>Auclert, Hubertine</t>
  </si>
  <si>
    <t>Irregular Migrants in Belgium and the Netherlands : Aspirations and Incorporation</t>
  </si>
  <si>
    <t>van Meeteren, Masja</t>
  </si>
  <si>
    <t>JV8149</t>
  </si>
  <si>
    <t>https://ebookcentral.proquest.com/lib/istinye/detail.action?docID=1791733</t>
  </si>
  <si>
    <t>The Making of the Humanities, Volume III : The Modern Humanities</t>
  </si>
  <si>
    <t>Bod, Rens</t>
  </si>
  <si>
    <t>Textbook of Cortical Brain Stimulation</t>
  </si>
  <si>
    <t>Canavero, Sergio</t>
  </si>
  <si>
    <t>RC332 .C384 2015</t>
  </si>
  <si>
    <t xml:space="preserve">Brain stimulation -- Therapeutic use. </t>
  </si>
  <si>
    <t>Body Law and the Body of Law : A Comparative Study of Social Norm Inclusion in Norwegian and American Laws</t>
  </si>
  <si>
    <t>Hassenstab, Christine M.</t>
  </si>
  <si>
    <t>Galeni in Hippocratis Epidemiarum Librum I Commentariorum I-III Versio Arabica : Edidit, in Linguam Anglicam Vertit, Commentatus Est</t>
  </si>
  <si>
    <t>De Gruyter Akademie Forschung</t>
  </si>
  <si>
    <t>Corpus Medicorum Graecorum - Supplementum Orientale Ser.</t>
  </si>
  <si>
    <t>Vagelpohl, Uwe</t>
  </si>
  <si>
    <t>R126.H6 -- .E6 2014eb</t>
  </si>
  <si>
    <t xml:space="preserve">Hippocrates. -- Epidemics. -- Book 1. -- Parts 1-3. </t>
  </si>
  <si>
    <t>Metapher und Metonymie : Theoretische, Methodische und Empirische Zugänge</t>
  </si>
  <si>
    <t>Empirische Linguistik / Empirical Linguistics Ser.</t>
  </si>
  <si>
    <t>Modern Slavery : A Comparative Study of the Definition of Trafficking in Persons</t>
  </si>
  <si>
    <t>International Studies in Human Rights Ser.</t>
  </si>
  <si>
    <t>Jansson, Dominika Borg</t>
  </si>
  <si>
    <t>K5297 .J36 2014</t>
  </si>
  <si>
    <t>345/.025</t>
  </si>
  <si>
    <t>Human trafficking -- Comparative studies.</t>
  </si>
  <si>
    <t>https://ebookcentral.proquest.com/lib/istinye/detail.action?docID=1826875</t>
  </si>
  <si>
    <t>Reproductive Justice : The Politics of Health Care for Native American Women</t>
  </si>
  <si>
    <t>Gurr, Barbara</t>
  </si>
  <si>
    <t>How Climate Change Comes to Matter : The Communal Life of Facts</t>
  </si>
  <si>
    <t>Callison, Candis</t>
  </si>
  <si>
    <t>Portrait of a Young Painter : Pepe Zuniga and Mexico City's Rebel Generation</t>
  </si>
  <si>
    <t>Vaughan, Mary Kay</t>
  </si>
  <si>
    <t>ND259</t>
  </si>
  <si>
    <t>https://ebookcentral.proquest.com/lib/istinye/detail.action?docID=1866480</t>
  </si>
  <si>
    <t>Why Do We Do What We Do? : Motivation in History and the Social Sciences</t>
  </si>
  <si>
    <t>MacMullen, Ramsay</t>
  </si>
  <si>
    <t>Language MOOCs : Providing Learning, Transcending Boundaries</t>
  </si>
  <si>
    <t>The Erosion of Constitutional Requirements. Reports and Discussions from the Meeting of the Association of German Constitutional Law Teachers in Erlangen from 1st to 4th of October 2008 : Berichte und Diskussionen Auf der Tagung der Vereinigung der Deutschen Staatsrechtslehrer in Erlangen Vom 1. Bis 4. Oktober 2008</t>
  </si>
  <si>
    <t>Sacksofsky, Ute</t>
  </si>
  <si>
    <t>Dionysos in Classical Athens : An Understanding Through Images</t>
  </si>
  <si>
    <t>Religions in the Graeco-Roman World Ser.</t>
  </si>
  <si>
    <t>Isler-Kerényi, Cornelia</t>
  </si>
  <si>
    <t>BL820.B2 I7 2014</t>
  </si>
  <si>
    <t>292.2/113</t>
  </si>
  <si>
    <t xml:space="preserve">Dionysus -- (Greek deity) </t>
  </si>
  <si>
    <t>Globalization and Minority Cultures : The Role of Minor Cultural Groups in Shaping Our Global Future</t>
  </si>
  <si>
    <t>Studies in International Minority and Group Rights Ser.</t>
  </si>
  <si>
    <t>Croisy, Sophie</t>
  </si>
  <si>
    <t>Engineering: Electrical</t>
  </si>
  <si>
    <t>Documents and the History of the Early Islamic World : 3rd Conference of the International Society for Arabic Papyrology, Alexandria, 23-26 March 2006</t>
  </si>
  <si>
    <t>Islamic History and Civilization Ser.</t>
  </si>
  <si>
    <t>International Society for Arabyic Papyrology, Conference Staff</t>
  </si>
  <si>
    <t>Materiale Textkulturen : Konzepte - Materialien - Praktiken</t>
  </si>
  <si>
    <t>Meier, Thomas</t>
  </si>
  <si>
    <t>An Introduction to Nonlinear Optimization Theory</t>
  </si>
  <si>
    <t>Durea, Marius</t>
  </si>
  <si>
    <t>Commercial Orchids</t>
  </si>
  <si>
    <t>De, Lakshman Chandra</t>
  </si>
  <si>
    <t>SB409</t>
  </si>
  <si>
    <t>635.9</t>
  </si>
  <si>
    <t>L' historiographie Tardo-Antique et la Transmission des Savoirs</t>
  </si>
  <si>
    <t>Blaudeau, Philippe</t>
  </si>
  <si>
    <t>Riemann-Roch Spaces and Computation</t>
  </si>
  <si>
    <t>Alvanos, Paraskevas</t>
  </si>
  <si>
    <t>Mathematics</t>
  </si>
  <si>
    <t>QA246 .A384 2015</t>
  </si>
  <si>
    <t>516.35</t>
  </si>
  <si>
    <t xml:space="preserve">Geometry. </t>
  </si>
  <si>
    <t>Educational Reception in Rotterdam and Barcelona : Policies, Practices and Gaps</t>
  </si>
  <si>
    <t>Bruquetas Callejo, Maria</t>
  </si>
  <si>
    <t>LC93</t>
  </si>
  <si>
    <t>https://ebookcentral.proquest.com/lib/istinye/detail.action?docID=1882336</t>
  </si>
  <si>
    <t>New Publication Cultures in the Humanities : Exploring the Paradigm Shift</t>
  </si>
  <si>
    <t>Dávidházi, Péter</t>
  </si>
  <si>
    <t>Publishing</t>
  </si>
  <si>
    <t>Z286</t>
  </si>
  <si>
    <t>https://ebookcentral.proquest.com/lib/istinye/detail.action?docID=1882337</t>
  </si>
  <si>
    <t>The Work of Authorship</t>
  </si>
  <si>
    <t>van Eechoud, Mireille</t>
  </si>
  <si>
    <t>https://ebookcentral.proquest.com/lib/istinye/detail.action?docID=1882338</t>
  </si>
  <si>
    <t>The Practice of Philology in the Nineteenth-Century Netherlands</t>
  </si>
  <si>
    <t>History of Science and Scholarship in the Netherlands Ser.</t>
  </si>
  <si>
    <t>van Kalmthout, Ton</t>
  </si>
  <si>
    <t>Bilingual Europe : Latin and Vernacular Cultures - Examples of Bilingualism and Multilingualism C. 1300-1800</t>
  </si>
  <si>
    <t>Brill's Studies in Intellectual History Ser.</t>
  </si>
  <si>
    <t>Bloemendal, Jan</t>
  </si>
  <si>
    <t>PA2055.E8 -- .B56 2015eb</t>
  </si>
  <si>
    <t>470/.42</t>
  </si>
  <si>
    <t xml:space="preserve">Bilingualism -- Europe -- History. </t>
  </si>
  <si>
    <t>Playful Identities : The Ludification of Digital Media Cultures</t>
  </si>
  <si>
    <t>Anfangsjahre der Berlin-Krise (Herbst 1958 Bis Herbst 1960)</t>
  </si>
  <si>
    <t>Wettig, Gerhard</t>
  </si>
  <si>
    <t>Inspice Diligenter Codices : Philologische Studien Zu Augustins Umgang Mit Bibelhandschriften Und -übersetzungen</t>
  </si>
  <si>
    <t>Schirner, Rebekka S.</t>
  </si>
  <si>
    <t>BS4 -- .S357 2015eb</t>
  </si>
  <si>
    <t>220.4</t>
  </si>
  <si>
    <t>Bible -- Manuscripts.</t>
  </si>
  <si>
    <t>https://ebookcentral.proquest.com/lib/istinye/detail.action?docID=2035733</t>
  </si>
  <si>
    <t>The Densification Process of Wood Waste</t>
  </si>
  <si>
    <t>Krizan, Peter</t>
  </si>
  <si>
    <t>Engineering: Chemical</t>
  </si>
  <si>
    <t>The Far Horizons of Time : Time and Mind in the Universe</t>
  </si>
  <si>
    <t>Ransford, H. Chris</t>
  </si>
  <si>
    <t>Emerging Memory : Photographs of Colonial Atrocity in Dutch Cultural Remembrance</t>
  </si>
  <si>
    <t>Heritage and Memory Studies</t>
  </si>
  <si>
    <t>Bijl, Paul</t>
  </si>
  <si>
    <t>DS643</t>
  </si>
  <si>
    <t>959.8/03</t>
  </si>
  <si>
    <t>https://ebookcentral.proquest.com/lib/istinye/detail.action?docID=2042160</t>
  </si>
  <si>
    <t>Issue Mapping for an Ageing Europe</t>
  </si>
  <si>
    <t>Rogers, Richard</t>
  </si>
  <si>
    <t>The Integration of Descendants of Migrants from Turkey in Stockholm : The TIES Study in Sweden</t>
  </si>
  <si>
    <t>Westin, Charles</t>
  </si>
  <si>
    <t>Exercises with Solutions in Radiation Physics</t>
  </si>
  <si>
    <t>Nilsson, Bo N.</t>
  </si>
  <si>
    <t>Peace Through Communication: the Genscher System and the Policy of détente During the Second Cold War (1979-1982/3) : Das System Genscher und die Entspannungspolitik im Zweiten Kalten Krieg 1979–1982/83</t>
  </si>
  <si>
    <t>Bresselau von Bressensdorf, Agnes</t>
  </si>
  <si>
    <t>The Habsburg Monarchy's Many-Languaged Soul : Translating and Interpreting, 1848-1918</t>
  </si>
  <si>
    <t>John Benjamins Publishing Company</t>
  </si>
  <si>
    <t>Benjamins Translation Library</t>
  </si>
  <si>
    <t>Wolf, Michaela</t>
  </si>
  <si>
    <t>Zukünfte : Aufstieg und Krise der Zukunftsforschung 1945-1980</t>
  </si>
  <si>
    <t>Seefried, Elke</t>
  </si>
  <si>
    <t>KZ3410</t>
  </si>
  <si>
    <t xml:space="preserve">International law. </t>
  </si>
  <si>
    <t>Erinnerung an Diktatur und Krieg : Brennpunkte des Kulturellen Gedächtnisses Zwischen Russland und Deutschland Seit 1945</t>
  </si>
  <si>
    <t>Wirsching, Andreas</t>
  </si>
  <si>
    <t>Mahnen und Regieren : Die Metapher des Hirten Im Früheren Mittelalter</t>
  </si>
  <si>
    <t>Suchan, Monika</t>
  </si>
  <si>
    <t>JN7 .S83 2015</t>
  </si>
  <si>
    <t>320.9409/021</t>
  </si>
  <si>
    <t xml:space="preserve">Church and state -- Europe -- History. </t>
  </si>
  <si>
    <t>Unternehmer - Fakten und Fiktionen : Historisch-Biografische Studien</t>
  </si>
  <si>
    <t>Schriften des Historischen Kollegs Ser.</t>
  </si>
  <si>
    <t>Plumpe, Werner</t>
  </si>
  <si>
    <t>HD62.5 .C384 2014</t>
  </si>
  <si>
    <t>658.1</t>
  </si>
  <si>
    <t xml:space="preserve">Business planning. </t>
  </si>
  <si>
    <t>Der Reformator Martin Luther 2017 : Eine Wissenschaftliche und Gedenkpolitische Bestandsaufnahme</t>
  </si>
  <si>
    <t>Schilling, Heinz</t>
  </si>
  <si>
    <t>BR323.7 .R44 2013</t>
  </si>
  <si>
    <t>270.6</t>
  </si>
  <si>
    <t xml:space="preserve">Europe -- Civilization -- 16th century -- Congresses. </t>
  </si>
  <si>
    <t>A Language of Song : Journeys in the Musical World of the African Diaspora</t>
  </si>
  <si>
    <t>Charters, Samuel</t>
  </si>
  <si>
    <t>ML423</t>
  </si>
  <si>
    <t>780.89/96</t>
  </si>
  <si>
    <t>https://ebookcentral.proquest.com/lib/istinye/detail.action?docID=3007801</t>
  </si>
  <si>
    <t>Beyond the Witch Trials : Witchcraft and Magic in Enlightenment Europe</t>
  </si>
  <si>
    <t>Davies, Owen</t>
  </si>
  <si>
    <t>Anthropology Without Informants : Collected Works in Paleoanthropology by L. G. Freeman</t>
  </si>
  <si>
    <t>University Press of Colorado</t>
  </si>
  <si>
    <t>Freeman, L. G.</t>
  </si>
  <si>
    <t>GN772</t>
  </si>
  <si>
    <t>936.6</t>
  </si>
  <si>
    <t>Paleolithic period -- Spain.</t>
  </si>
  <si>
    <t>https://ebookcentral.proquest.com/lib/istinye/detail.action?docID=3039692</t>
  </si>
  <si>
    <t>Bildung und Briefe Im 6. Jahrhundert : Studien Zum Mailänder Diakon Magnus Felix Ennodius</t>
  </si>
  <si>
    <t>The German Prose Poem. Theory and History of a Modern Literary Genre : Theorie und Geschichte einer literarischen Gattung der Moderne</t>
  </si>
  <si>
    <t>Communicatio Ser.</t>
  </si>
  <si>
    <t>Bunzel, Wolfgang</t>
  </si>
  <si>
    <t>PT595.B86 2005</t>
  </si>
  <si>
    <t>Prose poems, German--History and criticism.</t>
  </si>
  <si>
    <t>https://ebookcentral.proquest.com/lib/istinye/detail.action?docID=3041522</t>
  </si>
  <si>
    <t>Barbarische Bürger : Die Isaurier und das Römische Reich</t>
  </si>
  <si>
    <t>Feld, Karl</t>
  </si>
  <si>
    <t>DS156.I82.F45 2005</t>
  </si>
  <si>
    <t>Isauria--History.</t>
  </si>
  <si>
    <t>https://ebookcentral.proquest.com/lib/istinye/detail.action?docID=3041543</t>
  </si>
  <si>
    <t>Artikel 12 GG - Freiheit des Berufs und Grundrecht der Arbeit. der Verwaltungsvorbehalt : Berichte und Diskussionen Auf der Tagung der Vereinigung der Deutschen Staatsrechtslehrer in Göttingen Vom 3. Bis 6. Oktober 1984</t>
  </si>
  <si>
    <t>Schneider, Hans-Peter</t>
  </si>
  <si>
    <t>Körper und Christliche Lebensweise : Clemens Von Alexandreia und Sein Paidagogos</t>
  </si>
  <si>
    <t>Pujiula, Martin</t>
  </si>
  <si>
    <t>BR65.C65 -- P375 2006eb</t>
  </si>
  <si>
    <t>241.6</t>
  </si>
  <si>
    <t>Clement, -- of Alexandria, Saint, -- ca. 150-ca. 215. -- Paedagogus.</t>
  </si>
  <si>
    <t>https://ebookcentral.proquest.com/lib/istinye/detail.action?docID=3042124</t>
  </si>
  <si>
    <t>How Successful Is Naturalism?</t>
  </si>
  <si>
    <t>Gasser, Georg</t>
  </si>
  <si>
    <t>Das Gesetz Als Norm und Maßnahme. das Besondere Gewaltverhältnis : Berichte und Aussprache Zu Den Berichten in Den Verhandlungen der Tagung der Deutschen Staatsrechtslehrer Zu Mainz Am 11. und 12. Oktober 1956</t>
  </si>
  <si>
    <t>Menger, Christian-Friedrich</t>
  </si>
  <si>
    <t>Kabinettsfrage und Gesetzgebungsnotstand Nach Dem Bonner Grundgesetz. Tragweite der Generalklausel Im Art. 19 Abs. 4 des Bonner Grundgesetzes : Verhandlungen der Tagung der Deutschen Staatsrechtslehrer Zu Heidelberg Am 20. und 21. Oktober 1949. Mit Einem Auszug Aus der Aussprache</t>
  </si>
  <si>
    <t>Jellinek, Walter</t>
  </si>
  <si>
    <t>Begriff und Wesen des Sozialen Rechtsstaates. Die Auswärtige Gewalt der Bundesrepublik : Berichte und Aussprache Zu Den Berichten in Den Verhandlungen der Tagung der Deutschen Staatsrechtslehrer Zu Bonn Am 15. und 16. Oktober 1953</t>
  </si>
  <si>
    <t>Forsthoff, Ernst</t>
  </si>
  <si>
    <t>Die Grenzen der Verfassungsgerichtsbarkeit. Die Gestaltung des Polizei- und Ordnungsrechts in Den Einzelnen Besatzungszonen : Verhandlungen der Tagung der Deutschen Staatsrechtslehrer Zu München Am 20. und 21. Oktober 1950. Mit Einem Auszug Aus der Aussprache</t>
  </si>
  <si>
    <t>Kaufmann, Erich</t>
  </si>
  <si>
    <t>Der Grundrechtseingriff. Öffentlich-Rechtliche Rahmenbedingungen Einer Informationsordnung : Berichte und Diskussionen Auf der Tagung der Vereinigung der Deutschen Staatsrechtslehrer in Osnabrück Vom 1. Bis 4. Oktober 1997</t>
  </si>
  <si>
    <t>Bethge, Herbert</t>
  </si>
  <si>
    <t>Staatszwecke Im Verfassungsstaat - Nach 40 Jahren Grundgesetz. Die Bewältigung der Wissenschaftlichen und Technischen Entwicklungen Durch das Verwaltungsrecht : Berichte und Diskussionen Auf der Tagung der Vereinigung der Deutschen Staatsrechtslehrer in Hannover Vom 4. Bis 7. Oktober 1989</t>
  </si>
  <si>
    <t>Link, Heinz-Christoph</t>
  </si>
  <si>
    <t>Ungeschriebenes Verfassungsrecht. Enteignung und Sozialisierung : Verhandlungen der Tagung der Deutschen Staatsrechtslehrer Zu Göttingen Am 18. und 19. Oktober 1951. Mit Einem Auszug Aus der Aussprache</t>
  </si>
  <si>
    <t>Deutschlands Aktuelle Verfassungslage : Berichte und Diskussionen Auf der Sondertagung der Vereinigung der Deutschen Staatsrechtslehrer in Berlin Am 27. April 1990</t>
  </si>
  <si>
    <t>Frowein, Jochen A.</t>
  </si>
  <si>
    <t>Das Parlamentarische Regierungssystem des Grundgesetzes. Organisierte Einwirkungen Auf Die Verwaltung : Anlage - Erfahrungen - Zukunftseignung. Zur Lage der Zweiten Gewalt. Berichte und Diskussionen Auf der Tagung der Vereinigung der Deutschen Staatsrechtslehrer in Bielefeld Vom 2. Bis 5. Oktober 1974</t>
  </si>
  <si>
    <t>Oppermann, Thomas</t>
  </si>
  <si>
    <t>Verfassungsrecht und Einfaches Recht - Verfassungsgerichtsbarkeit und Fachgerichtsbarkeit. Primär- und Sekundärrechtsschutz Im Öffentlichen Recht : Berichte und Diskussionen Auf der Tagung der Vereinigung der Deutschen Staatsrechtslehrer in Würzburg Vom 3. Bis 6. Oktober 2001</t>
  </si>
  <si>
    <t>Alexy, Robert</t>
  </si>
  <si>
    <t>Die Staatsrechtslehre und Die Veränderung Ihres Gegenstandes. Gewährleistung Von Freiheit und Sicherheit Im Lichte Unterschiedlicher Staats- und Verfassungsverständnisse. Risikosteuerung Durch Verwaltungsrecht. Transparente Verwaltung - Konturen... : Berichte und Diskussionen Auf der Tagung der Vereinigung der Deutschen Staatsrechtslehrer in Hamburg Vom 1. Bis 4. Oktober 2003</t>
  </si>
  <si>
    <t>Kokott, Juliane</t>
  </si>
  <si>
    <t>Arbeitsmarkt und Staatliche Lenkung. Staat und Religion : Berichte und Diskussionen Auf der Tagung der Vereinigung der Deutschen Staatsrechtslehrer in Heidelberg Vom 6. Bis 9. Oktober 1999</t>
  </si>
  <si>
    <t>Wieland, Joachim</t>
  </si>
  <si>
    <t>Die Bindung des Richters an Gesetz und Verfassung. Verwaltungsverantwortung und Verwaltungsgerichtsbarkeit : Berichte und Diskussionen Auf der Tagung der Vereinigung der Deutschen Staatsrechtslehrer in Augsburg Vom 1. Bis 4. Oktober 1975</t>
  </si>
  <si>
    <t>Roellecke, Gerd</t>
  </si>
  <si>
    <t>Der Verfassungsstaat Als Glied Einer Europäischen Gemeinschaft. Verwaltungsrecht Als Vorgabe Für Zivil- und Strafrecht : Berichte und Diskussionen Auf der Tagung der Vereinigung der Deutschen Staatsrechtslehrer in Zürich Vom 3. Bis 6. Oktober 1990</t>
  </si>
  <si>
    <t>Die Bedeutung Gliedstaatlichen Verfassungsrechts in der Gegenwart. Die Einheit der Verwaltung Als Rechtsproblem : Berichte und Diskussionen Auf der Tagung der Vereinigung der Deutschen Staatsrechtslehrer in Passau Vom 7. Bis 10. Oktober 1987</t>
  </si>
  <si>
    <t>Vitzthum, Wolfgang</t>
  </si>
  <si>
    <t>Parteienstaatlichkeit - Krisensymptome des Demokratischen Verfassungsstaats? Die öffentlichrechtliche Anstalt : Berichte und Diskussionen Auf der Tagung der Vereinigung der Deutschen Staatsrechtslehrer in Freiburg I. Ue/CH Vom 2. Bis 5. Oktober 1985</t>
  </si>
  <si>
    <t>Stolleis, Michael</t>
  </si>
  <si>
    <t>Bürgerverantwortung Im Demokratischen Verfassungsstaat / Kontrolle der Verwaltung Durch Rechnungshöfe : Berichte und Diskussionen Auf der Tagung der Vereinigung der Deutschen Staatsrechtslehrer in Wien Vom 4. Bis 7. Oktober 1995</t>
  </si>
  <si>
    <t>Merten, Detlef</t>
  </si>
  <si>
    <t>Verträge Zwischen Gliedstaaten Im Bundesstaat. Schranken Nichthoheitlicher Verwaltung : Aussprache Zu Den Berichten in Den Verhandlungen der Tagung der Deutschen Staatsrechtslehrer Zu Köln Vom 12. Bis 15. Oktober 1960</t>
  </si>
  <si>
    <t>Die Staatsrechtliche Stellung der Ausländer in der Bundesrepublik Deutschland. Vertrauensschutz Im Verwaltungsrecht : Berichte und Diskussionen Auf der Tagung der Vereinigung der Deutschen Staatsrechtslehrer in Mannheim Vom 3. Bis 6. Oktober 1973</t>
  </si>
  <si>
    <t>Doehring, Karl</t>
  </si>
  <si>
    <t>Der Deutsche Föderalismus. Die Diktatur des Reichspräsidenten : Verhandlungen der Tagung der Deutschen Staatsrechtslehrer Zu Jena Am 14. und 15. April 1924. Mit Eröffnungsansprache und Einer Zusammenfassung der Diskussionsreden</t>
  </si>
  <si>
    <t>Gemeinschaftsaufgaben Im Bundesstaat. Partizipation an Verwaltungsentscheidungen : Berichte und Diskussionen Auf der Tagung der Vereinigung der Deutschen Staatsrechtslehrer in Salzburg Vom 4. Bis 7. Oktober 1972</t>
  </si>
  <si>
    <t>Das Grundgesetz und Die öffentliche Gewalt Internationaler Staatengemeinschaften. der Plan Als Verwaltungsrechtliches Institut : Berichte und Aussprache Zu Den Berichten in Den Verhandlungen der Tagung der Deutschen Staatsrechtslehrer Zu Erlangen Vom 7. Bis 9. Oktober 1959</t>
  </si>
  <si>
    <t>Erler, Georg</t>
  </si>
  <si>
    <t>Die Verfassungsrechtliche Stellung der Politischen Parteien Im Modernen Staat. das Verwaltungsverfahren : Berichte und Auszug Aus der Aussprache Zu Den Berichten in Den Verhandlungen der Tagung der Deutschen Staatsrechtslehrer Zu Wien Am 9. und 10. Oktober 1958</t>
  </si>
  <si>
    <t>Hesse, Konrad</t>
  </si>
  <si>
    <t>Die Staatliche Intervention Im Bereich der Wirtschaft. Rechtsformen und Rechtsschutz. Die Gegenwartslage des Staatskirchenrechts : Verhandlungen der Tagung der Deutschen Staatsrechtslehrer Zu Marburg Am 16. und 17. Oktober 1952. Mit Einem Auszug Aus der Aussprache</t>
  </si>
  <si>
    <t>Scheuner, Ulrich</t>
  </si>
  <si>
    <t>Prinzipien der Verfassungsinterpretation. Gefährdungshaftung Im öffentlichen Recht : Aussprache Zu Den Berichten in Den Verhandlungen der Tagung der Deutschen Staatsrechtslehrer Zu Freiburg Vom 4. Bis 7. Oktober 1961</t>
  </si>
  <si>
    <t>Schneider, Peter</t>
  </si>
  <si>
    <t>Die Finanzverfassung Im Rahmen der Staatsverfassung. Verwaltung und Verwaltungsrechtsprechung : Berichte und Aussprache Zu Den Berichten in Den Verhandlungen der Tagung der Deutschen Staatsrechtslehrer Zu Hamburg Am 13. und 14. Oktober 1955</t>
  </si>
  <si>
    <t>Hettlage, Karl M.</t>
  </si>
  <si>
    <t>Leistungsgrenzen des Verfassungsrechts. Öffentliche Gemeinwohlverantwortung Im Wandel : Berichte und Diskussionen Auf der Tagung der Vereinigung der Deutschen Staatsrechtslehrer in St. Gallen Vom 1. Bis 5. Oktober 2002</t>
  </si>
  <si>
    <t>Herdegen, Matthias</t>
  </si>
  <si>
    <t>Der Verfassungsstaat Im Geflecht der Internationalen Beziehungen. Gemeinden und Kreise Vor Den öffentlichen Aufgaben der Gegenwart : Berichte und Diskussionen Auf der Tagung der Vereinigung der Deutschen Staatsrechtslehrer in Basel Vom 5. Bis 8. Oktober 1977</t>
  </si>
  <si>
    <t>Europäische Union. Deutsches und Europäisches Verwaltungsrecht - Wechselseitige Einwirkungen : Gefahr Oder Chance Für Den Föderalismus in Deutschland, Österreich und der Schweiz? Berichte und Diskussionen Auf der Tagung der Vereinigung der Deutschen Staatsrechtslehrer in Mainz Vom 6. Bis 9. Oktober 1993</t>
  </si>
  <si>
    <t>Hilf, Meinhard</t>
  </si>
  <si>
    <t>Die Verfassungsgerichtsbarkeit Im Gefüge der Staatsfunktionen. Besteuerung und Eigentum : Berichte und Diskussionen Auf der Tagung der Vereinigung der Deutschen Staatsrechtslehrer Zu Innsbruck Vom 1. Bis 4. Oktober 1980</t>
  </si>
  <si>
    <t>Korinek, Karl</t>
  </si>
  <si>
    <t>Bewahrung und Veränderung Demokratischer und Rechtsstaatlicher Verfassungsstruktur in Den Internationalen Gemeinschaften. Verwaltung und Schule : Aussprache Zu Den Berichten in Den Verhandlungen der Tagung der Deutschen Staatsrechtslehrer Zu Kiel Vom 9. Bis 12. Oktober 1964</t>
  </si>
  <si>
    <t>Kaiser, Joseph H.</t>
  </si>
  <si>
    <t>Der Schutz des öffentlichen Rechts. Die Neueste Entwicklung des Gemeindeverfassungsrechts : Verhandlungen der Tagung der Deutschen Staatsrechtslehrer Zu Leipzig Am 10. und 11. März 1925. Mit Eröffnungs- und Begrüßungsansprachen Sowie Einer Zusammenfassung der Diskussionsreden</t>
  </si>
  <si>
    <t>Die Kirchen Unter Dem Grundgesetz. Führung und Organisation der Streitkräfte Im Demokratisch-Parlamentarischen Staat : Aussprache Zu Den Berichten in Den Verhandlungen der Tagung der Deutschen Staatsrechtslehrer Zu Frankfurt Am Main Vom 4. Bis 7. Oktober 1967</t>
  </si>
  <si>
    <t>Heckel, Martin</t>
  </si>
  <si>
    <t>Öffentlicher Haushalt und Wirtschaft. Die Stellung der Studenten in der Universität : Aussprache Zu Den Berichten in Den Verhandlungen der Tagung der Deutschen Staatsrechtslehrer Zu Bochum Vom 2. Bis 5. Oktober 1968</t>
  </si>
  <si>
    <t>Friauf, Karl H.</t>
  </si>
  <si>
    <t>Verfassungstreue und Schutz der Verfassung. der öffentliche Dienst Im Staat der Gegenwart : Berichte und Diskussionen Auf der Tagung der Vereinigung der Deutschen Staatsrechtslehrer in Bonn Vom 4. - 7. Oktober 1978</t>
  </si>
  <si>
    <t>Kulturauftrag Im Staatlichen Gemeinwesen. Die Steuerung des Verwaltungshandelns Durch Haushaltsrecht und Haushaltskontrolle : Berichte und Diskussionen Auf der Tagung der Vereinigung der Deutschen Staatsrechtslehrer in Köln Vom 28. September Bis 1. Oktober 1983</t>
  </si>
  <si>
    <t>Steiner, Udo</t>
  </si>
  <si>
    <t>Grundsätze der Finanzverfassung des Vereinten Deutschlands. Verträge und Absprachen Zwischen der Verwaltung und Privaten : Berichte und Diskussionen Auf der Tagung der Vereinigung der Deutschen Staatsrechtslehrer in Bayreuth Vom 7. Bis 10. Oktober 1992</t>
  </si>
  <si>
    <t>Selmer, Peter</t>
  </si>
  <si>
    <t>Grundpflichten Als Verfassungsrechtliche Dimension. Verwaltungsverfahren Zwischen Verwaltungseffizienz und Rechtsschutzauftrag : Berichte und Diskussionen Auf der Tagung der Vereinigung der Deutschen Staatsrechtslehrer in Konstanz Vom 6. Bis 9. Oktober 1982</t>
  </si>
  <si>
    <t>Erziehungsauftrag und Erziehungsmaßstab der Schule Im Freiheitlichen Verfassungsstaat. Privatisierung Von Verwaltungsaufgaben : Berichte und Diskussionen Auf der Tagung der Vereinigung der Deutschen Staatsrechtslehrer in Halle/Saale Vom 5. Bis 8. Oktober 1994</t>
  </si>
  <si>
    <t>Bothe, Michael</t>
  </si>
  <si>
    <t>Das Staatsoberhaupt in der Parlamentarischen Demokratie. Verwaltung Durch Subventionen : Aussprache Zu Den Berichten in Den Verhandlungen der Tagung der Deutschen Staatsrechtslehrer Zu Graz Vom 12. Bis 15. Oktober 1966</t>
  </si>
  <si>
    <t>Kimminich, Otto</t>
  </si>
  <si>
    <t>Unternehmen und Unternehmer in der Verfassungsrechtlichen Ordnung der Wirtschaft. der Schutz der Allgemeinheit und der Individuellen Rechte Durch Die Polizei- und Ordnungsrechtlichen Handlungsvollmachten der Exekutive : Berichte und Diskussionen Auf der Tagung der Vereinigung der Deutschen Staatsrechtslehrer in Heidelberg Vom 6. Bis 9. Oktober 1976</t>
  </si>
  <si>
    <t>Föderalismus Als Nationales und Internationales Ordnungsprinzip. Die öffentliche Sache : Aussprache Zu Den Berichten in Den Verhandlungen der Tagung der Deutschen Staatsrechtslehrer Zu Münster (Westfalen) Vom 3. Bis 6. Oktober 1962</t>
  </si>
  <si>
    <t>Der Rechtsstaat und Die Aufarbeitung der Vor-Rechtsstaatlichen Vergangenheit. Eigentumsschutz, Sozialbindung und Enteignung Bei der Nutzung Von Boden und Umwelt : Berichte und Diskussionen Auf der Tagung der Vereinigung der Deutschen Staatsrechtslehrer in Gießen Vom 2. Bis 5. Oktober 1991</t>
  </si>
  <si>
    <t>Verfassungsgarantie und Sozialer Wandel. das Beispiel Von Ehe und Familie. Rechtsverhältnisse in der Leistungsverwaltung : Berichte und Diskussionen Auf der Tagung der Vereinigung der Deutschen Staatsrechtslehrer in München Vom 15. Bis 18. Oktober 1986</t>
  </si>
  <si>
    <t>Campenhausen, Axel von</t>
  </si>
  <si>
    <t>Wesen und Entwicklung der Staatsgerichtsbarkeit. Überprüfung Von Verwaltungsakten Durch Die Ordentlichen Gerichte : Verhandlungen der Tagung der Deutschen Staatsrechtslehrer Zu Wien Am 23. und 24. April 1928. Mit Einem Auszug Aus der Aussprache</t>
  </si>
  <si>
    <t>Triepel, Heinrich</t>
  </si>
  <si>
    <t>Deutschland Nach 30 Jahren Grundgesetz. Staatsaufgabe Umweltschutz : Berichte und Diskussionen Auf der Tagung der Vereinigung der Deutschen Staatsrechtslehrer in Berlin Vom 3. - 6. Oktober 1979</t>
  </si>
  <si>
    <t>Der Gleichheitssatz. Gesetzesgestaltung und Gesetzesanwendung Im Leistungsrecht : Berichte und Diskussionen Auf der Tagung der Vereinigung der Deutschen Staatsrechtslehrer in Tübingen Vom 5. Bis 8. Oktober 1988</t>
  </si>
  <si>
    <t>Zippelius, Reinhold</t>
  </si>
  <si>
    <t>Gesetzgebung Im Rechtsstaat. Selbstbindungen der Verwaltung : Berichte und Diskussionen Auf der Tagung der Vereinigung der Deutschen Staatsrechtslehrer in Trier Vom 30. September - 3. Oktober 1981</t>
  </si>
  <si>
    <t>Eichenberger, Kurt</t>
  </si>
  <si>
    <t>Bundesstaatliche und Gliedstaatliche Rechtsordnung. Verwaltungsrecht der öffentlichen Anstalt : Verhandlungen der Tagung der Deutschen Staatsrechtslehrer Zu Frankfurt A. M. Am 25. und 26. April 1929. Mit Einem Auszug Aus der Aussprache</t>
  </si>
  <si>
    <t>Fleiner, Fritz</t>
  </si>
  <si>
    <t>Die Deutsche Staatsrechtslehre in der Zeit des Nationalsozialismus. Europäisches und Nationales Verfassungsrecht. der Staat Als Wirtschaftssubjekt und Auftraggeber : Berichte und Diskussionen Auf der Tagung der Vereinigung der Deutschen Staatsrechtslehrer in Leipzig Vom 4. Bis 6. Oktober 2000</t>
  </si>
  <si>
    <t>Dreier, Horst</t>
  </si>
  <si>
    <t>Das Parlamentarische Regierungssystem und der Bundesrat - Entwicklungsstand und Reformbedarf. Rechtliche Optimierungsgebote Oder Rahmensetzungen Für das Verwaltungshandeln? : Berichte und Diskussionen Auf der Tagung der Vereinigung der Deutschen Staatsrechtslehrer in Potsdam Vom 7. Bis 10. Oktober 1998</t>
  </si>
  <si>
    <t>Dolzer, Rudolf</t>
  </si>
  <si>
    <t>Grundrechte Im Leistungsstaat. Die Dogmatik des Verwaltungsrechts Vor Den Gegenwartsaufgaben der Verwaltung : Berichte und Diskussionen Auf der Tagung der Vereinigung der Deutschen Staatsrechtslehrer in Regensburg Vom 29. September Bis 2. Oktober 1971</t>
  </si>
  <si>
    <t>Martens, Wolfgang</t>
  </si>
  <si>
    <t>Entwicklung und Reform des Beamtenrechts. Die Reform des Wahlrechts : Verhandlungen der Tagung der Deutschen Staatsrechtslehrer Zu Halle Am 28. und 29. Oktober 1931. Mit Einem Auszug Aus der Aussprache</t>
  </si>
  <si>
    <t>Gerber, Hans</t>
  </si>
  <si>
    <t>Das Grundrecht der Gewissensfreiheit. Die Rechtsformen der Sozialen Sicherung und das Allgemeine Verwaltungsrecht : Berichte und Diskussionen Auf der Tagung der Vereinigung der Deutschen Staatsrechtslehrer in Bern Am 2. und 3. Oktober 1969</t>
  </si>
  <si>
    <t>Parlament und Regierung Im Modernen Staat. Die Organisationsgewalt : Berichte und Aussprache Zu Den Berichten in Den Verhandlungen der Tagung der Deutschen Staatsrechtslehrer Zu Berlin Am 10. und 11. Oktober 1957</t>
  </si>
  <si>
    <t>Friesenhahn, Ernst</t>
  </si>
  <si>
    <t>Das Demokratische Prinzip Im Grundgesetz. Die Erfüllung Von Verwaltungsaufgaben Durch Private : Berichte und Diskussionen Auf der Tagung der Vereinigung der Deutschen Staatsrechtslehrer in Speyer Am 8. und 9. Oktober 1970</t>
  </si>
  <si>
    <t>Simson, Werner von</t>
  </si>
  <si>
    <t>Staat und Verbände. Gesetzgeber und Verwaltung : Aussprache Zu Den Berichten in Den Verhandlungen der Tagung der Deutschen Staatsrechtslehrer Zu Würzburg Vom 6. Bis 9. Oktober 1965</t>
  </si>
  <si>
    <t>Pressefreiheit. Staatsaufsicht in Verwaltung und Wirtschaft : Aussprache Zu Den Berichten in Den Verhandlungen der Tagung der Deutschen Staatsrechtslehrer Zu Saarbrücken Vom 9. Bis 12. Oktober 1963</t>
  </si>
  <si>
    <t>Kontrolle der Auswärtigen Gewalt. Verwaltung und Verwaltungsrecht Zwischen Gesellschaftlicher Selbstregulierung und Staatlicher Steuerung : Berichte und Diskussionen Auf der Tagung der Vereinigung der Deutschen Staatsrechtslehrer in Dresden Vom 2. Bis 5. Oktober 1996</t>
  </si>
  <si>
    <t>Hailbronner, Kay</t>
  </si>
  <si>
    <t>Akten Zur Auswärtigen Politik der Bundesrepublik Deutschland 1952</t>
  </si>
  <si>
    <t>Akten zur Auswärtigen Politik der Bundesrepublik Deutschland</t>
  </si>
  <si>
    <t>Koopmann, Martin</t>
  </si>
  <si>
    <t>Akten Zur Auswärtigen Politik der Bundesrepublik Deutschland 1951</t>
  </si>
  <si>
    <t>Jaroch, Matthias</t>
  </si>
  <si>
    <t>Akten Zur Auswärtigen Politik der Bundesrepublik Deutschland 1970</t>
  </si>
  <si>
    <t>Pautsch, Ilse Dorothee</t>
  </si>
  <si>
    <t>Akten Zur Auswärtigen Politik der Bundesrepublik Deutschland 1967</t>
  </si>
  <si>
    <t>Akten Zur Auswärtigen Politik der Bundesrepublik Deutschland 1949-1950</t>
  </si>
  <si>
    <t>Akten Zur Auswärtigen Politik der Bundesrepublik Deutschland 1969</t>
  </si>
  <si>
    <t>Akten Zur Auswärtigen Politik der Bundesrepublik Deutschland 1968</t>
  </si>
  <si>
    <t>Akten Zur Auswärtigen Politik der Bundesrepublik Deutschland 1966</t>
  </si>
  <si>
    <t>Akten Zur Auswärtigen Politik der Bundesrepublik Deutschland 1965</t>
  </si>
  <si>
    <t>Akten Zur Auswärtigen Politik der Bundesrepublik Deutschland 1963</t>
  </si>
  <si>
    <t>Akten Zur Auswärtigen Politik der Bundesrepublik Deutschland 1953</t>
  </si>
  <si>
    <t>Kriegsgefangenschaft in Großbritannien : Deutsche Soldaten des Zweiten Weltkriegs in Britischem Gewahrsam</t>
  </si>
  <si>
    <t>Held, Renate</t>
  </si>
  <si>
    <t>Deutsche Kaufleute in London : Welthandel und Einbürgerung (1660-1818)</t>
  </si>
  <si>
    <t>Schulte Beerbühl, Margrit</t>
  </si>
  <si>
    <t>Faire des Sujets du Roi : Rechtspolitik in Metz, Toul und Verdun Unter Französischer Herrschaft (1552-1648)</t>
  </si>
  <si>
    <t>Petry, Christine</t>
  </si>
  <si>
    <t>DC801.M65 -- .P487 2006eb</t>
  </si>
  <si>
    <t xml:space="preserve">Metz (France) -- History. </t>
  </si>
  <si>
    <t>Vergeben und Vergessen? Pardonner et Oublier? : Vergangenheitsdiskurse Nach Besatzung, Bürgerkrieg und Revolution. les Discours Sur le Passé Après l'occupation, la Guerre Civile et la Révolution</t>
  </si>
  <si>
    <t>Französische Herrschaftspolitik und Modernisierung : Verwaltungs- und Verfassungsreformen Im Großherzogtum Berg (1806-1813)</t>
  </si>
  <si>
    <t>Severin-Barboutie, Bettina</t>
  </si>
  <si>
    <t>DD801.B47 -- .S48 2008eb</t>
  </si>
  <si>
    <t xml:space="preserve">Joachim Murat, -- King of Naples, -- 1767-1815. </t>
  </si>
  <si>
    <t>Der Mögliche Frieden : Die Modernisierung der Außenpolitik und Die Deutsch-Französischen Beziehungen 1923-1929</t>
  </si>
  <si>
    <t>Blessing, Ralph</t>
  </si>
  <si>
    <t>Schön Wie Venus, Mutig Wie Mars : Anna d'Este, Herzogin Von Guise und Von Nemours (1531-1607)</t>
  </si>
  <si>
    <t>Coester, Christiane</t>
  </si>
  <si>
    <t>DC112.A57 -- .C647 2007eb</t>
  </si>
  <si>
    <t xml:space="preserve">Anna, -- d''Este, consort of François de Lorraine, duc de Guise, -- 1531-1607. </t>
  </si>
  <si>
    <t>Die Rückkehr der Deutschen Geschichtswissenschaft in Die Ökumene der Historiker : Ein Wissenschaftsgeschichtlicher Ansatz</t>
  </si>
  <si>
    <t>Pfeil, Ulrich</t>
  </si>
  <si>
    <t>DD86 -- .R83 2008eb</t>
  </si>
  <si>
    <t>Germany -- Historiography -- Congresses.</t>
  </si>
  <si>
    <t>https://ebookcentral.proquest.com/lib/istinye/detail.action?docID=3048902</t>
  </si>
  <si>
    <t>Der Weg in Die Terreur : Radikalisierung und Konflikte Im Straßburger Jakobinerclub (1790-1795)</t>
  </si>
  <si>
    <t>Schönpflug, Daniel</t>
  </si>
  <si>
    <t>Kultfigur und Nation : Öffentliche Denkmäler in Paris, Berlin und London 1848-1914</t>
  </si>
  <si>
    <t>Rausch, Helke</t>
  </si>
  <si>
    <t>Architecture</t>
  </si>
  <si>
    <t>NA9345 -- .R387 2006eb</t>
  </si>
  <si>
    <t xml:space="preserve">Monuments -- Political aspects -- France -- Paris. </t>
  </si>
  <si>
    <t>Deutsche Kulturpolitik Im Besetzten Paris 1940-1944: Film und Theater : Film und Theater</t>
  </si>
  <si>
    <t>Engel, Kathrin</t>
  </si>
  <si>
    <t>PN1993.5.F7 -- .E64 2003eb</t>
  </si>
  <si>
    <t xml:space="preserve">Motion pictures -- France -- Paris -- History. </t>
  </si>
  <si>
    <t>Figurationen des Staates in Deutschland und Frankreich 1870-1945. les Figures de l'État en Allemagne et en France</t>
  </si>
  <si>
    <t>Chatriot, Alain</t>
  </si>
  <si>
    <t>André François-Poncet Als Botschafter in Berlin (1931-1938)</t>
  </si>
  <si>
    <t>Schäfer, Claus W.</t>
  </si>
  <si>
    <t>Étrennes : Untersuchungen Zum Höfischen Geschenkverkehr Im Spätmittelalterlichen Frankreich Zur Zeit König Karls VI. (1380-1422)</t>
  </si>
  <si>
    <t>Hirschbiegel, Jan</t>
  </si>
  <si>
    <t>Jewish Religion after Theology</t>
  </si>
  <si>
    <t>Academic Studies Press</t>
  </si>
  <si>
    <t>Emunot: Jewish Philosophy and Kabbalah Ser.</t>
  </si>
  <si>
    <t>Sagi, Avi</t>
  </si>
  <si>
    <t>In Quest of Tolstoy</t>
  </si>
  <si>
    <t>Studies in Russian and Slavic Literatures, Cultures, and History Ser.</t>
  </si>
  <si>
    <t>McLean, Hugh</t>
  </si>
  <si>
    <t>PG3410 -- .M35 2008eb</t>
  </si>
  <si>
    <t>891.73/3</t>
  </si>
  <si>
    <t xml:space="preserve">Tolstoy, Leo, -- graf, -- 1828-1910 -- Criticism and interpretation. </t>
  </si>
  <si>
    <t>The Marsh of Gold : Pasternak's Writings on Inspiration and Creation</t>
  </si>
  <si>
    <t>Pasternak, Boris</t>
  </si>
  <si>
    <t>A Reader's Guide to Nabokov's 'Lolita'</t>
  </si>
  <si>
    <t>Connolly, Julian</t>
  </si>
  <si>
    <t>Early Modern Russian Letters : Texts and Contexts</t>
  </si>
  <si>
    <t>Levitt, Marcus</t>
  </si>
  <si>
    <t>PG3007 -- .L48 2009eb</t>
  </si>
  <si>
    <t xml:space="preserve">Sumarokov, Aleksandr Petrovich, -- 1717-1777 -- Criticism and interpretation. </t>
  </si>
  <si>
    <t>Language and Culture in Eighteenth-Century Russia : Studies in Slavic and Russian Literatures, Cultures and History</t>
  </si>
  <si>
    <t>Zhivov, Victor</t>
  </si>
  <si>
    <t>Ivan Konevskoi : Wise Child of Russian Symbolism</t>
  </si>
  <si>
    <t>Grossman, Joan Delaney</t>
  </si>
  <si>
    <t>891.71/3</t>
  </si>
  <si>
    <t>https://ebookcentral.proquest.com/lib/istinye/detail.action?docID=3110399</t>
  </si>
  <si>
    <t>Exotic Moscow under Western Eyes</t>
  </si>
  <si>
    <t>Cultural Revolutions: Russia in the Twentieth Century Ser.</t>
  </si>
  <si>
    <t>Masing-Delic, Irene</t>
  </si>
  <si>
    <t>891.709/35847</t>
  </si>
  <si>
    <t>https://ebookcentral.proquest.com/lib/istinye/detail.action?docID=3110400</t>
  </si>
  <si>
    <t>The Superstitious Muse : Thinking Russian Literature Mythopoetically</t>
  </si>
  <si>
    <t>Bethea, David</t>
  </si>
  <si>
    <t>PG2950 -- .B48 2009eb</t>
  </si>
  <si>
    <t xml:space="preserve">Russian literature -- History and criticism. </t>
  </si>
  <si>
    <t>A Companion to Andrei Platonov's the Foundation Pit</t>
  </si>
  <si>
    <t>Seifrid, Thomas</t>
  </si>
  <si>
    <t>Exemplary Bodies : Constructing the Jew in Russian Culture, 1880s To 2008</t>
  </si>
  <si>
    <t>Borderlines: Russian and East European-Jewish Studies</t>
  </si>
  <si>
    <t>Mondry, Henrietta</t>
  </si>
  <si>
    <t>The Goalkeeper : The Nabokov Almanac</t>
  </si>
  <si>
    <t>Out of series</t>
  </si>
  <si>
    <t>Leving, Yuri</t>
  </si>
  <si>
    <t>PS3527.A15 -- Z715 2010eb</t>
  </si>
  <si>
    <t>813/.54</t>
  </si>
  <si>
    <t>Nabokov, Vladimir Vladimirovich, -- 1899-1977 -- Criticism and interpretation.</t>
  </si>
  <si>
    <t>https://ebookcentral.proquest.com/lib/istinye/detail.action?docID=3110417</t>
  </si>
  <si>
    <t>A Labyrinth of Linkages in Tolstoy's Anna Karenina : Studies In Russian and Slavic Literatures, Cultures and History</t>
  </si>
  <si>
    <t>Browning, Gary L.</t>
  </si>
  <si>
    <t>PG3365.A63 -- B76 2010eb</t>
  </si>
  <si>
    <t>Tolstoy, Leo, -- graf, -- 1828-1910. -- Anna Karenina.</t>
  </si>
  <si>
    <t>https://ebookcentral.proquest.com/lib/istinye/detail.action?docID=3110423</t>
  </si>
  <si>
    <t>Holy Russia, Sacred Israel : Jewish-Christian Encounters in Russian Religious Thought</t>
  </si>
  <si>
    <t>Reference Library of Jewish Intellectual History</t>
  </si>
  <si>
    <t>Rubin, Dominic</t>
  </si>
  <si>
    <t>BM331 -- .R83 2010eb</t>
  </si>
  <si>
    <t xml:space="preserve">Judaism -- Russia -- History. </t>
  </si>
  <si>
    <t>All the Same the Words Don't Go Away : Essays on Authors, Heroes, Aesthetics, and Stage Adaptations from the Russian Tradition</t>
  </si>
  <si>
    <t>Emerson, Caryl</t>
  </si>
  <si>
    <t>Vladimir Soloviev and the Spiritualization of Matter</t>
  </si>
  <si>
    <t>Smith, Oliver</t>
  </si>
  <si>
    <t>https://ebookcentral.proquest.com/lib/istinye/detail.action?docID=3110430</t>
  </si>
  <si>
    <t>Dreams of Nationhood : American Jewish Communists and the Soviet Birobidzhan Project, 1924-1951</t>
  </si>
  <si>
    <t>Jewish Identities in Post-Modern Society Ser.</t>
  </si>
  <si>
    <t>Srebrnik, Henry Felix</t>
  </si>
  <si>
    <t>A Coat of Many Colors : Dress Culture in the Young State of Israel</t>
  </si>
  <si>
    <t>Israel: Society, Culture, and History Ser.</t>
  </si>
  <si>
    <t>Helman, Anat</t>
  </si>
  <si>
    <t>GT1430.I8 -- H45 2011eb</t>
  </si>
  <si>
    <t xml:space="preserve">Clothing and dress -- Israel -- History -- 20th century. </t>
  </si>
  <si>
    <t>Epic and the Russian Novel from Gogol to Pasternak</t>
  </si>
  <si>
    <t>Griffiths, Frederick T.</t>
  </si>
  <si>
    <t>Life in Transit : Jews in Postwar Lodz, 1945-1950</t>
  </si>
  <si>
    <t>Redlich, Shimon</t>
  </si>
  <si>
    <t>DS134.62 -- .R43 2010eb</t>
  </si>
  <si>
    <t>940.53/18092 B</t>
  </si>
  <si>
    <t xml:space="preserve">Redlich, Shimon. </t>
  </si>
  <si>
    <t>Charms of the Cynical Reason : Tricksters in Soviet and Post-Soviet Culture</t>
  </si>
  <si>
    <t>Lipovetsky, Mark</t>
  </si>
  <si>
    <t>PG3096.T75 -- L56 2011eb</t>
  </si>
  <si>
    <t xml:space="preserve">Russian fiction -- 20th century -- History and criticism. </t>
  </si>
  <si>
    <t>Cultures in Collision and Conversation : Essays in the Intellectual History of the Jews</t>
  </si>
  <si>
    <t>Judaism and Jewish Life Ser.</t>
  </si>
  <si>
    <t>Berger, David</t>
  </si>
  <si>
    <t>BM534 -- .B47 2011eb</t>
  </si>
  <si>
    <t>296.3/9</t>
  </si>
  <si>
    <t xml:space="preserve">Judaism -- Relations. </t>
  </si>
  <si>
    <t>Keys to the Gift : A Guide to Vladimir Nabokov's Novel</t>
  </si>
  <si>
    <t>PG3476.N3 -- Z75 2011eb</t>
  </si>
  <si>
    <t xml:space="preserve">Nabokov, Vladimir Vladimirovich, -- 1899-1977 -- Criticism and interpretation. </t>
  </si>
  <si>
    <t>Creating the Empress : Politics and Poetry in the Age of Catherine II</t>
  </si>
  <si>
    <t>Ars Rossica Ser.</t>
  </si>
  <si>
    <t>Proskurina, Vera</t>
  </si>
  <si>
    <t>891.71/2093581222</t>
  </si>
  <si>
    <t>https://ebookcentral.proquest.com/lib/istinye/detail.action?docID=3110454</t>
  </si>
  <si>
    <t>The Müselmann at the Water Cooler</t>
  </si>
  <si>
    <t>Reference Library of Jewish Intellectual History Ser.</t>
  </si>
  <si>
    <t>Pfefferkorn, Eli</t>
  </si>
  <si>
    <t>Psychology</t>
  </si>
  <si>
    <t>Alfred Dreyfus : Man, Milieu, Mentality and Midrash</t>
  </si>
  <si>
    <t>Simms, Norman</t>
  </si>
  <si>
    <t>DC354.8 -- .S56 2012eb</t>
  </si>
  <si>
    <t xml:space="preserve">Dreyfus, Alfred, -- 1859-1935. </t>
  </si>
  <si>
    <t>Sex Rewarded, Sex Punished : A Study of the Status 'Female Slave' in Early Jewish Law</t>
  </si>
  <si>
    <t>Kriger, Diane</t>
  </si>
  <si>
    <t>Jacob's Ladder : Kabbalistic Allegory in Russian Literature</t>
  </si>
  <si>
    <t>Aptekman, Marina</t>
  </si>
  <si>
    <t>https://ebookcentral.proquest.com/lib/istinye/detail.action?docID=3110478</t>
  </si>
  <si>
    <t>Strangers in a Strange Land : Occidentalist Publics and Orientalist Geographies in Nineteenth-Century Georgian Imaginaries</t>
  </si>
  <si>
    <t>Manning, Paul</t>
  </si>
  <si>
    <t>https://ebookcentral.proquest.com/lib/istinye/detail.action?docID=3110483</t>
  </si>
  <si>
    <t>Babel' in Context : A Study in Cultural Identity</t>
  </si>
  <si>
    <t>Sicher, Efraim</t>
  </si>
  <si>
    <t>PG3476.B2Z796 2012</t>
  </si>
  <si>
    <t xml:space="preserve">Babel', I. -- (Isaak), -- 1894-1940. </t>
  </si>
  <si>
    <t>Chapaev and His Comrades : War and the Russian Literary Hero Across the Twentieth Century</t>
  </si>
  <si>
    <t>Brintlinger, Angela</t>
  </si>
  <si>
    <t>PG3026.W3 -- B75 2012eb</t>
  </si>
  <si>
    <t xml:space="preserve">Russian literature -- 20th century -- History and criticism. </t>
  </si>
  <si>
    <t>Tsar and God and Other Essays in Russian Cultural Semiotics</t>
  </si>
  <si>
    <t>Close Encounters : Essays on Russian Literature</t>
  </si>
  <si>
    <t>Jackson, Robert Louis</t>
  </si>
  <si>
    <t>PG2950 -- .J33 2013eb</t>
  </si>
  <si>
    <t>Russian literature -- History and criticism.</t>
  </si>
  <si>
    <t>https://ebookcentral.proquest.com/lib/istinye/detail.action?docID=3110502</t>
  </si>
  <si>
    <t>Shapes of Apocalypse : Arts and Philosophy in Slavic Thought</t>
  </si>
  <si>
    <t>Myths and Taboos in Russian Culture Ser.</t>
  </si>
  <si>
    <t>Oppo, Andrea</t>
  </si>
  <si>
    <t>B4672 -- .S53 2013eb</t>
  </si>
  <si>
    <t>199.47</t>
  </si>
  <si>
    <t xml:space="preserve">Philosophy -- Slavic countries. </t>
  </si>
  <si>
    <t>Turn It and Turn It Again : Studies in the Teaching and Learning of Classical Jewish Texts</t>
  </si>
  <si>
    <t>Levisohn, Jon A.</t>
  </si>
  <si>
    <t>Russians Abroad : Literary and Cultural Politics of Diaspora (1919-1939)</t>
  </si>
  <si>
    <t>The Real Twentieth Century Ser.</t>
  </si>
  <si>
    <t>Slobin, Greta</t>
  </si>
  <si>
    <t>The Invention of Mikhail Lomonosov : A Russian National Myth</t>
  </si>
  <si>
    <t>Imperial Russia Ser.</t>
  </si>
  <si>
    <t>Usitalo, Steven</t>
  </si>
  <si>
    <t>Science: General</t>
  </si>
  <si>
    <t>Freedom from Violence and Lies : Essays on Russian Poetry and Music by Simon Karlinsky</t>
  </si>
  <si>
    <t>Hughes, Robert P.</t>
  </si>
  <si>
    <t>New Perspectives in Theology of Judaism</t>
  </si>
  <si>
    <t>Spero, Shubert</t>
  </si>
  <si>
    <t>BM601.S647 2013eb</t>
  </si>
  <si>
    <t>296.3</t>
  </si>
  <si>
    <t>Judaism -- Doctrines.</t>
  </si>
  <si>
    <t>https://ebookcentral.proquest.com/lib/istinye/detail.action?docID=3110522</t>
  </si>
  <si>
    <t>Prosaics and Other Provocations : Empathy, Open Time, and the Novel</t>
  </si>
  <si>
    <t>Morson, Gary Saul</t>
  </si>
  <si>
    <t>PN3491.M677 2013eb</t>
  </si>
  <si>
    <t>809.3</t>
  </si>
  <si>
    <t xml:space="preserve">Fiction -- History and criticism. </t>
  </si>
  <si>
    <t>The Englishman from Lebedian : A Life of Evgeny Zamiatin</t>
  </si>
  <si>
    <t>Curtis, J. A. E.</t>
  </si>
  <si>
    <t>https://ebookcentral.proquest.com/lib/istinye/detail.action?docID=3110528</t>
  </si>
  <si>
    <t>Russian Idea--Jewish Presence : Essays on Russian-Jewish Intellectual Life</t>
  </si>
  <si>
    <t>Horowitz, Brian</t>
  </si>
  <si>
    <t>Russian Monarchy : Representation and Rule</t>
  </si>
  <si>
    <t>Wortman, Richard</t>
  </si>
  <si>
    <t>Landmarks Revisited : The Vekhi Symposium One Hundred Years On</t>
  </si>
  <si>
    <t>Aizlewood, Robin</t>
  </si>
  <si>
    <t>Mo(ve)ments of Resistance : Politics, Economy and Society in Israel/Palestine, 1931-2013</t>
  </si>
  <si>
    <t>Grinberg, Lev Luis</t>
  </si>
  <si>
    <t>DS126.5.G756 2014eb</t>
  </si>
  <si>
    <t>956.94</t>
  </si>
  <si>
    <t xml:space="preserve">Israel -- Politics and government. </t>
  </si>
  <si>
    <t>Crafting the 613 Commandments : Maimonides on the Enumeration, Classification, and Formulation of the Spiritual Commandments</t>
  </si>
  <si>
    <t>Holocaust: History and Literature, Ethics and Philosophy</t>
  </si>
  <si>
    <t>Friedberg, Albert D.</t>
  </si>
  <si>
    <t>BM546 -- .F75 2013eb</t>
  </si>
  <si>
    <t>296.1</t>
  </si>
  <si>
    <t xml:space="preserve">Maimonides, Moses, -- 1135-1204. </t>
  </si>
  <si>
    <t>Belomor : Criminality and Creativity in Stalin's Gulag</t>
  </si>
  <si>
    <t>Draskoczy, Julie S.</t>
  </si>
  <si>
    <t>Carnival in Tel Aviv : Purim and the Celebration of Urban Zionism</t>
  </si>
  <si>
    <t>Shoham, Hizky</t>
  </si>
  <si>
    <t>https://ebookcentral.proquest.com/lib/istinye/detail.action?docID=3110552</t>
  </si>
  <si>
    <t>Visual Texts, Ceremonial Texts, Texts of Exploration : Collected Articles on the Representation of Russian Monarchy</t>
  </si>
  <si>
    <t>Imperial Encounters in Russian History Ser.</t>
  </si>
  <si>
    <t>Soviet Jews in World War II : Fighting, Witnessing, Remembering</t>
  </si>
  <si>
    <t>Murav, Harriet</t>
  </si>
  <si>
    <t>Italian Jewry in the Early Modern Era : Essays in Intellectual History</t>
  </si>
  <si>
    <t>Guetta, Alessandro</t>
  </si>
  <si>
    <t>DS135.I8.G848 2014eb</t>
  </si>
  <si>
    <t xml:space="preserve">Jews -- Italy -- History -- 16th century. </t>
  </si>
  <si>
    <t>By Fables Alone : Literature and State Ideology in Late-Eighteenth - Early-Nineteenth-Century Russia</t>
  </si>
  <si>
    <t>Zorin, Andrei</t>
  </si>
  <si>
    <t>The Witching Hour and Other Plays by Nina Sadur</t>
  </si>
  <si>
    <t>Sadur, Nina</t>
  </si>
  <si>
    <t>The Codification of Jewish Law and an Introduction to the Jurisprudence of the Mishna Berura</t>
  </si>
  <si>
    <t>Broyde, Michael J.</t>
  </si>
  <si>
    <t>Poetry and Psychiatry : Essays on Early Twentieth-Century Russian Symbolist Culture</t>
  </si>
  <si>
    <t>Ljunggren, Magnus</t>
  </si>
  <si>
    <t>Detection of Pathogens in Water Using Micro and Nano-Technology</t>
  </si>
  <si>
    <t>IWA Publishing</t>
  </si>
  <si>
    <t>Zuccheri, Giampaolo</t>
  </si>
  <si>
    <t>Environmental Technologies to Treat Sulfur Pollution</t>
  </si>
  <si>
    <t>Integrated Environmental Technology Ser.</t>
  </si>
  <si>
    <t>Lens, Piet</t>
  </si>
  <si>
    <t>Computational Hydraulics</t>
  </si>
  <si>
    <t>Popescu, Ioana</t>
  </si>
  <si>
    <t>Engineering: Civil</t>
  </si>
  <si>
    <t>Benchmarking of Control Strategies for Wastewater Treatment Plants</t>
  </si>
  <si>
    <t>Scientific and Technical Report Ser.</t>
  </si>
  <si>
    <t>Gernaey, Krist V.</t>
  </si>
  <si>
    <t>Applications of Activated Sludge Models</t>
  </si>
  <si>
    <t>Stalinism Revisited : The Establishment of Communist Regimes in East-Central Europe</t>
  </si>
  <si>
    <t>Central European University Press</t>
  </si>
  <si>
    <t>Tismaneanu, Vladimir</t>
  </si>
  <si>
    <t>DJK50 -- .S72 2009eb</t>
  </si>
  <si>
    <t>947.0009/045</t>
  </si>
  <si>
    <t xml:space="preserve">Stalin, Joseph, -- 1879-1953. </t>
  </si>
  <si>
    <t>South Pacific Museums : Experiments in Culture</t>
  </si>
  <si>
    <t>Monash University Publishing</t>
  </si>
  <si>
    <t>Monash University ePress</t>
  </si>
  <si>
    <t>Healy, Chris</t>
  </si>
  <si>
    <t>The Living Stream : Yeats Annual No. 18</t>
  </si>
  <si>
    <t>Open Book Publishers</t>
  </si>
  <si>
    <t>Yeats Annual Ser.</t>
  </si>
  <si>
    <t>Gould, Warwick</t>
  </si>
  <si>
    <t>https://ebookcentral.proquest.com/lib/istinye/detail.action?docID=3384091</t>
  </si>
  <si>
    <t>Foundations for Moral Relativism</t>
  </si>
  <si>
    <t>Velleman, J. David</t>
  </si>
  <si>
    <t>BJ37.V45 2013</t>
  </si>
  <si>
    <t>Ethical relativism.</t>
  </si>
  <si>
    <t>https://ebookcentral.proquest.com/lib/istinye/detail.action?docID=3384092</t>
  </si>
  <si>
    <t>A People Passing Rude : British Responses to Russian Culture</t>
  </si>
  <si>
    <t>Cross, Anthony</t>
  </si>
  <si>
    <t>https://ebookcentral.proquest.com/lib/istinye/detail.action?docID=3384093</t>
  </si>
  <si>
    <t>Text and Genre in Reconstruction : Effects of Digitalization on Ideas, Behaviours, Products and Institutions</t>
  </si>
  <si>
    <t>Digital Humanities Ser.</t>
  </si>
  <si>
    <t>McCarty, Willard</t>
  </si>
  <si>
    <t>HM851.M3 2010</t>
  </si>
  <si>
    <t>https://ebookcentral.proquest.com/lib/istinye/detail.action?docID=3384094</t>
  </si>
  <si>
    <t>The End and the Beginning : The Book of My Life</t>
  </si>
  <si>
    <t>Les Bienveillantes de Jonathan Littell : Études Réunies Par Murielle Lucie Clément</t>
  </si>
  <si>
    <t>Clément, Murielle Lucie</t>
  </si>
  <si>
    <t>French</t>
  </si>
  <si>
    <t>https://ebookcentral.proquest.com/lib/istinye/detail.action?docID=3384096</t>
  </si>
  <si>
    <t>Digital Humanities Pedagogy : Practices, Principles and Politics</t>
  </si>
  <si>
    <t>Hirsch, Brett D.</t>
  </si>
  <si>
    <t>General Works/Reference</t>
  </si>
  <si>
    <t>https://ebookcentral.proquest.com/lib/istinye/detail.action?docID=3384097</t>
  </si>
  <si>
    <t>Why Do We Quote? : The Culture and History of Quotation</t>
  </si>
  <si>
    <t>Finnegan, Ruth</t>
  </si>
  <si>
    <t>080.9</t>
  </si>
  <si>
    <t>https://ebookcentral.proquest.com/lib/istinye/detail.action?docID=3384098</t>
  </si>
  <si>
    <t>The Theatre of Shelley</t>
  </si>
  <si>
    <t>Mulhallen, Jacqueline</t>
  </si>
  <si>
    <t>PR5438.M85 2010</t>
  </si>
  <si>
    <t>822.7</t>
  </si>
  <si>
    <t>https://ebookcentral.proquest.com/lib/istinye/detail.action?docID=3384099</t>
  </si>
  <si>
    <t>Frontier Encounters : Knowledge and Practice at the Russian, Chinese and Mongolian Border</t>
  </si>
  <si>
    <t>Billé, Franck</t>
  </si>
  <si>
    <t>The Digital Public Domain : Foundations for an Open Culture</t>
  </si>
  <si>
    <t>Dulong de Rosnay, Melanie</t>
  </si>
  <si>
    <t>Bourdieu and Literature</t>
  </si>
  <si>
    <t>Speller, John R. W.</t>
  </si>
  <si>
    <t>801.3</t>
  </si>
  <si>
    <t>https://ebookcentral.proquest.com/lib/istinye/detail.action?docID=3384102</t>
  </si>
  <si>
    <t>Peace and Democratic Society</t>
  </si>
  <si>
    <t>Open Reports Ser.</t>
  </si>
  <si>
    <t>Sen, Amartya</t>
  </si>
  <si>
    <t>https://ebookcentral.proquest.com/lib/istinye/detail.action?docID=3384103</t>
  </si>
  <si>
    <t>Letters of Blood and Other Works in English</t>
  </si>
  <si>
    <t>Printz-Påhlson, Göran</t>
  </si>
  <si>
    <t>Cicero, Against Verres, 2. 1. 53-86 : Latin Text with Introduction, Study Questions, Commentary and English Translation</t>
  </si>
  <si>
    <t>Classics Textbooks Ser.</t>
  </si>
  <si>
    <t>Gildenhard, Ingo</t>
  </si>
  <si>
    <t>The End of the World : Apocalypse and Its Aftermath in Western Culture</t>
  </si>
  <si>
    <t>Lisboa, Maria Manuel</t>
  </si>
  <si>
    <t>https://ebookcentral.proquest.com/lib/istinye/detail.action?docID=3384106</t>
  </si>
  <si>
    <t>Women in Nineteenth-Century Russia : Lives and Culture</t>
  </si>
  <si>
    <t>Rosslyn, Wendy</t>
  </si>
  <si>
    <t>The Passion of Max Von Oppenheim : Archaeology and Intrigue in the Middle East from Wilhelm II to Hitler</t>
  </si>
  <si>
    <t>Oral Literature in Africa</t>
  </si>
  <si>
    <t>World Oral Literature Ser.</t>
  </si>
  <si>
    <t>Coleridge's Laws : A Study of Coleridge in Malta</t>
  </si>
  <si>
    <t>Hough, Barry</t>
  </si>
  <si>
    <t>The Sword of Judith : Judith Studies Across the Disciplines</t>
  </si>
  <si>
    <t>Brine, Kevin R.</t>
  </si>
  <si>
    <t>Privilege and Property : Essays on the History of Copyright</t>
  </si>
  <si>
    <t>Deazley, Ronan</t>
  </si>
  <si>
    <t>The Altering Eye : Contemporary International Cinema</t>
  </si>
  <si>
    <t>Kolker, Robert Phillip</t>
  </si>
  <si>
    <t>https://ebookcentral.proquest.com/lib/istinye/detail.action?docID=3384113</t>
  </si>
  <si>
    <t>Brownshirt Princess : A Study of the 'Nazi Conscience'</t>
  </si>
  <si>
    <t>That Greece Might Still Be Free : The Philhellenes in the War of Independence</t>
  </si>
  <si>
    <t>St Clair, William</t>
  </si>
  <si>
    <t>Telling Tales : The Impact of Germany on English Children's Books 1780-1918</t>
  </si>
  <si>
    <t>Blamires, David</t>
  </si>
  <si>
    <t>https://ebookcentral.proquest.com/lib/istinye/detail.action?docID=3384116</t>
  </si>
  <si>
    <t>Virgil, Aeneid, 4. 1-299 : Latin Text, Study Questions, Commentary and Interpretative Essays</t>
  </si>
  <si>
    <t>871.01</t>
  </si>
  <si>
    <t>https://ebookcentral.proquest.com/lib/istinye/detail.action?docID=3384117</t>
  </si>
  <si>
    <t>Is Behavioral Economics Doomed? : The Ordinary Versus the Extraordinary</t>
  </si>
  <si>
    <t>Levine, David K.</t>
  </si>
  <si>
    <t>Economic Fables</t>
  </si>
  <si>
    <t>Rubinstein, Ariel</t>
  </si>
  <si>
    <t>https://ebookcentral.proquest.com/lib/istinye/detail.action?docID=3384119</t>
  </si>
  <si>
    <t>Henry James's Europe : Heritage and Transfer</t>
  </si>
  <si>
    <t>Tredy, Dennis</t>
  </si>
  <si>
    <t>Storytelling in Northern Zambia : Theory, Method, Practice and Other Necessary Fictions</t>
  </si>
  <si>
    <t>Cancel, Robert</t>
  </si>
  <si>
    <t>The Classic Short Story, 1870-1925 : Theory of a Genre</t>
  </si>
  <si>
    <t>Goyet, Florence</t>
  </si>
  <si>
    <t>On History : Introduction to World History (1831)</t>
  </si>
  <si>
    <t>Xiipúktan (First of All) : Three Views of the Origins of the Quechan People</t>
  </si>
  <si>
    <t>Bryant, George</t>
  </si>
  <si>
    <t>Beyond Holy Russia : The Life and Times of Stephen Graham</t>
  </si>
  <si>
    <t>Hughes, Michael</t>
  </si>
  <si>
    <t>DK26.H844 2014eb</t>
  </si>
  <si>
    <t>https://ebookcentral.proquest.com/lib/istinye/detail.action?docID=3384125</t>
  </si>
  <si>
    <t>Tacitus, Annals, 15. 20-23, 33-45 : Latin Text, Study Aids with Vocabulary, and Commentary</t>
  </si>
  <si>
    <t>Owen, Mathew</t>
  </si>
  <si>
    <t>Yeats's Mask : Yeats Annual No. 19</t>
  </si>
  <si>
    <t>Mills Harper, Margaret</t>
  </si>
  <si>
    <t>How to Read a Folktale : The 'Ibonia' Epic from Madagascar</t>
  </si>
  <si>
    <t>Haring, Lee</t>
  </si>
  <si>
    <t>Feeding the City : Work and Food Culture of the Mumbai Dabbawalas</t>
  </si>
  <si>
    <t>Roncaglia, Sara</t>
  </si>
  <si>
    <t>Oral Literature in the Digital Age : Archiving Orality and Connecting with Communities</t>
  </si>
  <si>
    <t>Turin, Mark</t>
  </si>
  <si>
    <t>A Time Travel Dialogue</t>
  </si>
  <si>
    <t>Carroll, John W.</t>
  </si>
  <si>
    <t>BF1045.T55.T564 201</t>
  </si>
  <si>
    <t>https://ebookcentral.proquest.com/lib/istinye/detail.action?docID=3384131</t>
  </si>
  <si>
    <t>In the Lands of the Romanovs : An Annotated Bibliography of First-Hand English-language Accounts of the Russian Empire (1613-1917)</t>
  </si>
  <si>
    <t>DK114.C767 2014eb</t>
  </si>
  <si>
    <t>https://ebookcentral.proquest.com/lib/istinye/detail.action?docID=3384132</t>
  </si>
  <si>
    <t>Cicero, on Pompey's Command (de Imperio), 27-49 : Latin Text, Study Aids with Vocabulary, Commentary, and Translation</t>
  </si>
  <si>
    <t>Denis Diderot's Rameau's Nephew</t>
  </si>
  <si>
    <t>Diderot, Denis</t>
  </si>
  <si>
    <t>The Anglo-Scottish Ballad and Its Imaginary Contexts</t>
  </si>
  <si>
    <t>Atkinson, David</t>
  </si>
  <si>
    <t>PR507.A855 2014eb</t>
  </si>
  <si>
    <t>https://ebookcentral.proquest.com/lib/istinye/detail.action?docID=3384135</t>
  </si>
  <si>
    <t>Géographie des Interfaces : Une Nouvelle Vision des Territoires</t>
  </si>
  <si>
    <t>Quae</t>
  </si>
  <si>
    <t>Update Sciences and Technologies Ser.</t>
  </si>
  <si>
    <t>Allard, Paul</t>
  </si>
  <si>
    <t>Une Histoire des Plantes Coloniales : Du Cacao à la Vanille</t>
  </si>
  <si>
    <t>Beaux Livres Ser.</t>
  </si>
  <si>
    <t>Volper, Serge</t>
  </si>
  <si>
    <t>https://ebookcentral.proquest.com/lib/istinye/detail.action?docID=3398815</t>
  </si>
  <si>
    <t>Le Fonio, une Céréale Africaine</t>
  </si>
  <si>
    <t>Agricultures Tropicales en Poche Ser.</t>
  </si>
  <si>
    <t>Qualité du Matériel Forestier de Reproduction et Application des Directives Communautaires</t>
  </si>
  <si>
    <t>Actes de Colloques Ser.</t>
  </si>
  <si>
    <t>Terrasson, Daniel</t>
  </si>
  <si>
    <t>https://ebookcentral.proquest.com/lib/istinye/detail.action?docID=3398910</t>
  </si>
  <si>
    <t>Le Couple Produit/territoire : Régulation Ago-Antagoniste Entre Projet Individuel et Projet Collectif : régulation ago-antagoniste entre projet individuel et projet collectif</t>
  </si>
  <si>
    <t>Études Cemagref Ser.</t>
  </si>
  <si>
    <t>Rollet, Anne</t>
  </si>
  <si>
    <t>S562.F8.R65 2000</t>
  </si>
  <si>
    <t>Farms -- France -- Management.</t>
  </si>
  <si>
    <t>https://ebookcentral.proquest.com/lib/istinye/detail.action?docID=3398913</t>
  </si>
  <si>
    <t>Montagne, Laboratoire de la Diversité</t>
  </si>
  <si>
    <t>Hors Collection</t>
  </si>
  <si>
    <t>Barruet, Josette</t>
  </si>
  <si>
    <t>https://ebookcentral.proquest.com/lib/istinye/detail.action?docID=3398914</t>
  </si>
  <si>
    <t>Territoires Ruraux et développement. Quel Rôle Pour la Recherche ?</t>
  </si>
  <si>
    <t>Berlan-Darqué, Martine</t>
  </si>
  <si>
    <t>Éléments d'hydraulique Torrentielle</t>
  </si>
  <si>
    <t>Meunier, Maurice</t>
  </si>
  <si>
    <t>https://ebookcentral.proquest.com/lib/istinye/detail.action?docID=3398926</t>
  </si>
  <si>
    <t>Guide Neige et Avalanches. Connaissances, Pratiques, Sécurité</t>
  </si>
  <si>
    <t>Ancey, Christophe</t>
  </si>
  <si>
    <t>https://ebookcentral.proquest.com/lib/istinye/detail.action?docID=3398928</t>
  </si>
  <si>
    <t>Lacs de Haute Altitude. Méthodes d'échantillonnage Ichtyologique. Gestion Piscicole</t>
  </si>
  <si>
    <t>Rivier, Bernard</t>
  </si>
  <si>
    <t>Conséquences d'un Incendie de forêt Dans le Bassin Versant du Rimbaud</t>
  </si>
  <si>
    <t>Martin, Claude</t>
  </si>
  <si>
    <t>Volatilisation de l'azote Ammoniacal des Lisiers Après épandage : Quantification et étude des Facteurs D'influence</t>
  </si>
  <si>
    <t>Moal, Jean-François</t>
  </si>
  <si>
    <t>https://ebookcentral.proquest.com/lib/istinye/detail.action?docID=3398934</t>
  </si>
  <si>
    <t>Pratiques et Stratégies Foncières des Agriculteurs : Un Outil d'analyse Pour l'aménagement des Zones Fragiles</t>
  </si>
  <si>
    <t>Morardet, Sylvie</t>
  </si>
  <si>
    <t>https://ebookcentral.proquest.com/lib/istinye/detail.action?docID=3398942</t>
  </si>
  <si>
    <t>Produits Phytosanitaires. Processus de Transfert et Modélisation Dans les Bassins Versants : Séminaire de Nançy : 22 et 23 Mai 1996</t>
  </si>
  <si>
    <t>Bélamie, René</t>
  </si>
  <si>
    <t>Typologie Aquacole des Marais Salants de la Côte Atlantique</t>
  </si>
  <si>
    <t>Clément, Olivier</t>
  </si>
  <si>
    <t>La Mesure économique des Bénéfices Attachés Aux Hydrosystèmes</t>
  </si>
  <si>
    <t>Point, Patrick</t>
  </si>
  <si>
    <t>https://ebookcentral.proquest.com/lib/istinye/detail.action?docID=3398960</t>
  </si>
  <si>
    <t>Coopérations, Territoires et Entreprises Agroalimentaires</t>
  </si>
  <si>
    <t>Fourcade, Colette</t>
  </si>
  <si>
    <t>Techniques de Reboisement : Guide Technique du Forestier Méditerranéen Français. Chapitre 7</t>
  </si>
  <si>
    <t>Guide Technique du Forestier Méditerranéen Français Ser.</t>
  </si>
  <si>
    <t>Marill, Robert</t>
  </si>
  <si>
    <t>https://ebookcentral.proquest.com/lib/istinye/detail.action?docID=3398968</t>
  </si>
  <si>
    <t>Plantation d'arbres en Prairie Pâturée</t>
  </si>
  <si>
    <t>Agrech, Gilles</t>
  </si>
  <si>
    <t>https://ebookcentral.proquest.com/lib/istinye/detail.action?docID=3398977</t>
  </si>
  <si>
    <t>Les Bassins Versants Expérimentaux de Draix. Laboratoire d'étude de l'érosion en Montagne</t>
  </si>
  <si>
    <t>Mathys, Nicolle</t>
  </si>
  <si>
    <t>https://ebookcentral.proquest.com/lib/istinye/detail.action?docID=3398978</t>
  </si>
  <si>
    <t>Le Pivot</t>
  </si>
  <si>
    <t>RNED</t>
  </si>
  <si>
    <t>De l'expertise Scientifique Au Risque Négocié. le Cas du Risque en Montagne</t>
  </si>
  <si>
    <t>Decrop, Geneviève</t>
  </si>
  <si>
    <t>https://ebookcentral.proquest.com/lib/istinye/detail.action?docID=3398981</t>
  </si>
  <si>
    <t>Etude de la Formation d'un Lit Torrentiel</t>
  </si>
  <si>
    <t>Koulinski, Vincent</t>
  </si>
  <si>
    <t>Science: Geology</t>
  </si>
  <si>
    <t>Stations Forestières : Guide Technique du Forestier Méditerranéen Français. Chapitre 2</t>
  </si>
  <si>
    <t>Boisseau, Bénédicte</t>
  </si>
  <si>
    <t>Ramiran 98 Actes de la 8e Conférence Internationale Sur les Stratégies de Gestion des déchets Organiques en Agriculture : Vol. 1: Proceedings of the Oral Presentations</t>
  </si>
  <si>
    <t>Maudet, Marie-Noëlle</t>
  </si>
  <si>
    <t>Agriculteurs, Agricultures et Forêts</t>
  </si>
  <si>
    <t>Du Concept de BVRE à Celui de Zone Atelier Dans les Recherches Menées en Eaux Continentales</t>
  </si>
  <si>
    <t>Houi, Didier</t>
  </si>
  <si>
    <t>Guide Pour le Diagnostic Rapide des Barrages Anciens</t>
  </si>
  <si>
    <t>Degoutte, Gérard</t>
  </si>
  <si>
    <t>https://ebookcentral.proquest.com/lib/istinye/detail.action?docID=3399008</t>
  </si>
  <si>
    <t>Compte-Rendu de Recherches N° 3 BVRE de Draix</t>
  </si>
  <si>
    <t>https://ebookcentral.proquest.com/lib/istinye/detail.action?docID=3399017</t>
  </si>
  <si>
    <t>Rhéologie des Boues et Laves Torrentielles : Étude de Dispersions et Suspensions Concentrées</t>
  </si>
  <si>
    <t>Coussot, Philippe</t>
  </si>
  <si>
    <t>Perception Publique et Attitudes des Propriétaires Envers la forêt en Europe : Commentaires et Synthèses du Groupe de Travail COST E3 - WG1 1994-1998</t>
  </si>
  <si>
    <t>https://ebookcentral.proquest.com/lib/istinye/detail.action?docID=3399029</t>
  </si>
  <si>
    <t>Insufflation d'air Fines Bulles Application Aux Stations d'épuration en Boues Activées des Petites Collectivités : Document Technique FNDAE N° 26</t>
  </si>
  <si>
    <t>Fndae Ser.</t>
  </si>
  <si>
    <t>Duchène, Philippe</t>
  </si>
  <si>
    <t>Estimation de l'évapotranspiration Par Télédétection</t>
  </si>
  <si>
    <t>Vidal, Alain</t>
  </si>
  <si>
    <t>L' apiculture</t>
  </si>
  <si>
    <t>Paterson, Peter David</t>
  </si>
  <si>
    <t>Production de Plants Forestiers : Guide Technique du Forestier Méditerranéen Français. Chapitre 6</t>
  </si>
  <si>
    <t>Argillier, Christine</t>
  </si>
  <si>
    <t>La Neige: Recherche et Réglementation : recherche et réglementation</t>
  </si>
  <si>
    <t>Naaim-Bouvet, Florence</t>
  </si>
  <si>
    <t>Séminaire de Rhéologie</t>
  </si>
  <si>
    <t>Typologie des Stations Forestières du Massif Sainte-Victoire</t>
  </si>
  <si>
    <t>Ladier, Jean</t>
  </si>
  <si>
    <t>Le Golfe du Lion : Un Observatoire de l'environnement en Méditerranée</t>
  </si>
  <si>
    <t>Monaco, André</t>
  </si>
  <si>
    <t>Les Maladies émergentes : Épidémiologie Chez le Végétal, l'animal et L'homme</t>
  </si>
  <si>
    <t>Synthèses Ser.</t>
  </si>
  <si>
    <t>Barnouin, Jacques</t>
  </si>
  <si>
    <t>Forests, Carbon Cycle and Climate Change</t>
  </si>
  <si>
    <t>Loustau, Denis</t>
  </si>
  <si>
    <t>Les Pêches Côtières Bretonnes : Méthodes d'analyse et Aménagement</t>
  </si>
  <si>
    <t>Talidec, Catherine</t>
  </si>
  <si>
    <t>Homme et Animal, la Question des Frontières</t>
  </si>
  <si>
    <t>Camos, Valérie</t>
  </si>
  <si>
    <t>Génétiquement Indéterminé : Le Vivant Auto-Organisé</t>
  </si>
  <si>
    <t>Pouteau, Sylvie</t>
  </si>
  <si>
    <t>https://ebookcentral.proquest.com/lib/istinye/detail.action?docID=3399254</t>
  </si>
  <si>
    <t>Surveillance, Maintenance and Diagnosis of Flood Protection Dikes : A Practical Handbook for Owners and Operators</t>
  </si>
  <si>
    <t>Mériaux, Patrice</t>
  </si>
  <si>
    <t>Marine Renewable Energies : Prospective Foresight Study For 2030</t>
  </si>
  <si>
    <t>Collectif</t>
  </si>
  <si>
    <t>La Santé Animale 2 : 2. Principales Maladies</t>
  </si>
  <si>
    <t>Hunter, Archie</t>
  </si>
  <si>
    <t>La Santé Animale : 1. Généralités</t>
  </si>
  <si>
    <t>Les Semences</t>
  </si>
  <si>
    <t>Turner, Michael</t>
  </si>
  <si>
    <t>Du Cemagref à Irstea : Un Engagement Pour la Recherche Environnementale</t>
  </si>
  <si>
    <t>Griset, Pascal</t>
  </si>
  <si>
    <t>SB71.G75 2011</t>
  </si>
  <si>
    <t>Agronomy -- History.</t>
  </si>
  <si>
    <t>https://ebookcentral.proquest.com/lib/istinye/detail.action?docID=3399437</t>
  </si>
  <si>
    <t>Le Virus du Nil Occidental</t>
  </si>
  <si>
    <t>Bicout, Dominique J.</t>
  </si>
  <si>
    <t>Le Palmier à Huile en Plantation Villageoise</t>
  </si>
  <si>
    <t>Jacquemard, Jean-Charles</t>
  </si>
  <si>
    <t>Science: Botany</t>
  </si>
  <si>
    <t>Le Sorgho</t>
  </si>
  <si>
    <t>Chantereau, Jacques</t>
  </si>
  <si>
    <t>Féminin-Masculin : Genre et Agricultures Familiales</t>
  </si>
  <si>
    <t>Nature et Société Ser.</t>
  </si>
  <si>
    <t>Guétat-Bernard, Hélène</t>
  </si>
  <si>
    <t>HQ1075 -- .F46 2014eb</t>
  </si>
  <si>
    <t xml:space="preserve">Gender identity -- History. </t>
  </si>
  <si>
    <t>Les Cultures Fourragères</t>
  </si>
  <si>
    <t>Klein, Henri-Dominique</t>
  </si>
  <si>
    <t>Comportement, Conduite et Bien-être Animal</t>
  </si>
  <si>
    <t>Manteca i Vilanova, Xavier</t>
  </si>
  <si>
    <t>Diversité des Agricultures Familiales : Exister, Se Transformer, Devenir</t>
  </si>
  <si>
    <t>Bosc, Pierre-Marie</t>
  </si>
  <si>
    <t>American Dolorologies : Pain, Sentimentalism, Biopolitics</t>
  </si>
  <si>
    <t>State University of New York Press</t>
  </si>
  <si>
    <t>Suny Press</t>
  </si>
  <si>
    <t>SUNY Press Open Access Ser.</t>
  </si>
  <si>
    <t>Strick, Simon</t>
  </si>
  <si>
    <t>Immigrant Protest : Politics, Aesthetics, and Everyday Dissent</t>
  </si>
  <si>
    <t>SUNY Series, Praxis: Theory in Action Ser.</t>
  </si>
  <si>
    <t>Marciniak, Katarzyna</t>
  </si>
  <si>
    <t>Defending Women's Rights in Europe : Gender Equality and EU Enlargement</t>
  </si>
  <si>
    <t>Avdeyeva, Olga A.</t>
  </si>
  <si>
    <t>HQ1236.5.E85 -- .A934 2015eb</t>
  </si>
  <si>
    <t xml:space="preserve">Women''s rights -- European Union countries. </t>
  </si>
  <si>
    <t>World Politics at the Edge of Chaos : Reflections on Complexity and Global Life</t>
  </si>
  <si>
    <t>SUNY Series, James N. Rosenau Series in Global Politics Ser.</t>
  </si>
  <si>
    <t>Kavalski, Emilian</t>
  </si>
  <si>
    <t>JZ1310.W675 2015</t>
  </si>
  <si>
    <t xml:space="preserve">World politics. </t>
  </si>
  <si>
    <t>When Protest Makes Policy : How Social Movements Represent Disadvantaged Groups</t>
  </si>
  <si>
    <t>University of Michigan Press</t>
  </si>
  <si>
    <t>The Cawp Series in Gender and American Politics Ser.</t>
  </si>
  <si>
    <t>Weldon, Laurel</t>
  </si>
  <si>
    <t>HM881</t>
  </si>
  <si>
    <t>303.48/4082</t>
  </si>
  <si>
    <t>Social movements - Political aspects</t>
  </si>
  <si>
    <t>https://ebookcentral.proquest.com/lib/istinye/detail.action?docID=3414977</t>
  </si>
  <si>
    <t>Word and Image in Russian History : Essays in Honor of Gary Marker</t>
  </si>
  <si>
    <t>di Salvo, Maria</t>
  </si>
  <si>
    <t>The First to Be Destroyed : The Jewish Community of Kleczew and the Beginning of the Final Solution</t>
  </si>
  <si>
    <t>Medykowski, Witold</t>
  </si>
  <si>
    <t>Costing Improved Water Supply Systems for Low-Income Communities : A Practical Manual</t>
  </si>
  <si>
    <t>Carlevaro, Fabrizio</t>
  </si>
  <si>
    <t>Thomas Annan of Glasgow : Pioneer of the Documentary Photograph</t>
  </si>
  <si>
    <t>https://ebookcentral.proquest.com/lib/istinye/detail.action?docID=3440246</t>
  </si>
  <si>
    <t>From Dust to Digital : Ten Years of the Endangered Archives Programme</t>
  </si>
  <si>
    <t>Kominko, Maja</t>
  </si>
  <si>
    <t>Measuring the Master Race : Physical Anthropology in Norway 1890-1945</t>
  </si>
  <si>
    <t>Kyllingstad, Jon Røyne</t>
  </si>
  <si>
    <t>Animals and Medicine : The Contribution of Animal Experiments to the Control of Disease</t>
  </si>
  <si>
    <t>Botting, Jack</t>
  </si>
  <si>
    <t>The Scientific Revolution Revisited</t>
  </si>
  <si>
    <t>Teich, Mikulás</t>
  </si>
  <si>
    <t>Fiesco's Conspiracy at Genoa</t>
  </si>
  <si>
    <t>Open Book Classics Ser.</t>
  </si>
  <si>
    <t>Schiller, Friedrich</t>
  </si>
  <si>
    <t>Dictionary of the British English Spelling System</t>
  </si>
  <si>
    <t>Brooks, Greg</t>
  </si>
  <si>
    <t>https://ebookcentral.proquest.com/lib/istinye/detail.action?docID=3440252</t>
  </si>
  <si>
    <t>Essays in Conveyancing and Property Law in Honour of Professor Robert Rennie</t>
  </si>
  <si>
    <t>McCarthy, Frankie</t>
  </si>
  <si>
    <t>Complexity, Security and Civil Society in East Asia : Foreign Policies and the Korean Peninsula</t>
  </si>
  <si>
    <t>Hayes, Peter</t>
  </si>
  <si>
    <t>What Works in Conservation : 2015</t>
  </si>
  <si>
    <t>What Works in Conservation</t>
  </si>
  <si>
    <t>Sutherland, William J.</t>
  </si>
  <si>
    <t>Working on the Railroad, Walking in Beauty : Navajos, Hozho, and Track Work</t>
  </si>
  <si>
    <t>Utah State University Press</t>
  </si>
  <si>
    <t>Youngdahl, Jay</t>
  </si>
  <si>
    <t>E99</t>
  </si>
  <si>
    <t>979.1004/9726</t>
  </si>
  <si>
    <t>Navajo Indians -- Employment.</t>
  </si>
  <si>
    <t>https://ebookcentral.proquest.com/lib/istinye/detail.action?docID=3442877</t>
  </si>
  <si>
    <t>Go East, Young Man : Imagining the American West As the Orient</t>
  </si>
  <si>
    <t>Francaviglia, Richard</t>
  </si>
  <si>
    <t>F591</t>
  </si>
  <si>
    <t>West (U.S.) -- Civilization.</t>
  </si>
  <si>
    <t>https://ebookcentral.proquest.com/lib/istinye/detail.action?docID=3442878</t>
  </si>
  <si>
    <t>Coal in Our Veins : A Personal Journey</t>
  </si>
  <si>
    <t>Thomas, Erin Ann</t>
  </si>
  <si>
    <t>Pacific Strife : The Great Powers and Their Political and Economic Rivalries in Asia and the Western Pacific, 1870-1914</t>
  </si>
  <si>
    <t>Global Asia Ser.</t>
  </si>
  <si>
    <t>van Dijk, Kees</t>
  </si>
  <si>
    <t>DS34</t>
  </si>
  <si>
    <t>Islands of the Pacific -- History.</t>
  </si>
  <si>
    <t>https://ebookcentral.proquest.com/lib/istinye/detail.action?docID=3563345</t>
  </si>
  <si>
    <t>Landscape Biographies : Geographical, Historical and Archaeological Perspectives on the Production and Transmission of Landscapes</t>
  </si>
  <si>
    <t>Landscape and Heritage Research Ser.</t>
  </si>
  <si>
    <t>Hermans, Rita</t>
  </si>
  <si>
    <t>Feminisms : Diversity, Difference and Multiplicity in Contemporary Film Cultures</t>
  </si>
  <si>
    <t>The Key Debates: Mutations and Appropriations in European Film Studies</t>
  </si>
  <si>
    <t>Backman Rogers, Anna</t>
  </si>
  <si>
    <t>Digital Passages : Migrant Youth 2. 0: Diaspora, Gender and Youth Cultural Intersections</t>
  </si>
  <si>
    <t>Leurs, Koen</t>
  </si>
  <si>
    <t>P94</t>
  </si>
  <si>
    <t>https://ebookcentral.proquest.com/lib/istinye/detail.action?docID=3563349</t>
  </si>
  <si>
    <t>Farocki/Godard : Film As Theory</t>
  </si>
  <si>
    <t>Pantenburg, Volker</t>
  </si>
  <si>
    <t>Migration and Integration in Europe, Southeast Asia, and Australia : A Comparative Perspective</t>
  </si>
  <si>
    <t>IIAS Publications</t>
  </si>
  <si>
    <t>Pietsch, Juliet</t>
  </si>
  <si>
    <t>Late-Career Risks in Changing Welfare States : Comparing Germany and the United States since The 1980s</t>
  </si>
  <si>
    <t>Changing Welfare States Ser.</t>
  </si>
  <si>
    <t>Heisig, Jan Paul</t>
  </si>
  <si>
    <t>HV275</t>
  </si>
  <si>
    <t>https://ebookcentral.proquest.com/lib/istinye/detail.action?docID=3563358</t>
  </si>
  <si>
    <t>Players and Arenas : The Interactive Dynamics of Protest</t>
  </si>
  <si>
    <t>Protest and Social Movements Ser.</t>
  </si>
  <si>
    <t>Duyvendak, Jan Willem</t>
  </si>
  <si>
    <t>Observing Protest from a Place : The World Social Forum in Dakar (2011)</t>
  </si>
  <si>
    <t>Siméant, Johanna</t>
  </si>
  <si>
    <t>Stumbling Blocks Before the Blind : Medieval Constructions of a Disability</t>
  </si>
  <si>
    <t>Corporealities: Discourses of Disability Ser.</t>
  </si>
  <si>
    <t>Wheatley, Edward</t>
  </si>
  <si>
    <t>HV1965</t>
  </si>
  <si>
    <t>305.9/08109420902</t>
  </si>
  <si>
    <t>Disability studies - France - History - To 1500</t>
  </si>
  <si>
    <t>https://ebookcentral.proquest.com/lib/istinye/detail.action?docID=3570549</t>
  </si>
  <si>
    <t>Defending Christian Faith : The Fifth Part of the Christian Apology of Gerasimus</t>
  </si>
  <si>
    <t>Bahkou, Abjar</t>
  </si>
  <si>
    <t>BX382 -- .B34 2014eb</t>
  </si>
  <si>
    <t>248.48</t>
  </si>
  <si>
    <t xml:space="preserve">Orthodox Eastern Church. </t>
  </si>
  <si>
    <t>Optically Induced Nanostructures : Biomedical and Technical Applications</t>
  </si>
  <si>
    <t>König, Karsten</t>
  </si>
  <si>
    <t>The Sons of Scripture : The Karaites in Poland and Lithuania in the Twentieth Century</t>
  </si>
  <si>
    <t>Kizilov, Mikhail</t>
  </si>
  <si>
    <t>BM185 -- .K595 2015eb</t>
  </si>
  <si>
    <t>296.81</t>
  </si>
  <si>
    <t xml:space="preserve">Karaites -- Poland. </t>
  </si>
  <si>
    <t>Plant Life of Southwestern Australia : Adaptations for Survival</t>
  </si>
  <si>
    <t>Groom, Philip</t>
  </si>
  <si>
    <t>Vergil´s Political Commentary : In the Eclogues, Georgics and Aeneid</t>
  </si>
  <si>
    <t>Weeda, Leendert</t>
  </si>
  <si>
    <t>Fiction</t>
  </si>
  <si>
    <t>The I of the Storm : Understanding the Suicidal Mind</t>
  </si>
  <si>
    <t>Lester, David</t>
  </si>
  <si>
    <t>Frankreichs Außenpolitik in der Julikrise 1914 : Ein Beitrag Zur Geschichte des Ausbruchs des Ersten Weltkrieges</t>
  </si>
  <si>
    <t>Schmidt, Stefan</t>
  </si>
  <si>
    <t>D516 -- .S36 2009eb</t>
  </si>
  <si>
    <t xml:space="preserve">World War, 1914-1918 -- France. </t>
  </si>
  <si>
    <t>Das Deutsche Historische Institut Paris und Seine Gründungsväter : Ein Personengeschichtlicher Ansatz</t>
  </si>
  <si>
    <t>Abgrund Metz : Kriegserfahrung, Belagerungsalltag und Nationale Erziehung Im Schatten Einer Festung 1870/71</t>
  </si>
  <si>
    <t>Steinbach, Matthias</t>
  </si>
  <si>
    <t>DC304 -- .S745 2002eb</t>
  </si>
  <si>
    <t>943.08/23443853</t>
  </si>
  <si>
    <t xml:space="preserve">Franco-Prussian War, 1870-1871 -- Campaigns -- France -- Metz Regiony 1870-1940. </t>
  </si>
  <si>
    <t>Burgund und das Reich : Spätmittelalterliche Außenpolitik Am Beispiel der Regierung Karls des Kühnen (1465-1477)</t>
  </si>
  <si>
    <t>Ehm, Petra</t>
  </si>
  <si>
    <t>DC611.B781 -- .E36 2002eb</t>
  </si>
  <si>
    <t xml:space="preserve">Charles, -- Duke of Burgundy, -- 1433-1477. </t>
  </si>
  <si>
    <t>Computational Approaches to the Study of Movement in Archaeology : Theory, Practice and Interpretation of Factors and Effects of Long Term Landscape Formation and Transformation</t>
  </si>
  <si>
    <t>Polla, Silvia</t>
  </si>
  <si>
    <t>Initiation into the Mysteries of the Ancient World</t>
  </si>
  <si>
    <t>Münchner Vorlesungen Zu Antiken Welten Ser.</t>
  </si>
  <si>
    <t>Bremmer, Jan N.</t>
  </si>
  <si>
    <t>BL795.M9 -- B74 2014eb</t>
  </si>
  <si>
    <t>292.9</t>
  </si>
  <si>
    <t xml:space="preserve">Mysteries, Religious. </t>
  </si>
  <si>
    <t>Prehistoric Mobility and Diet in the West Eurasian Steppes 3500 to 300 BC : An Isotopic Approach</t>
  </si>
  <si>
    <t>Gerling, Claudia</t>
  </si>
  <si>
    <t>DS328 -- .G475 2015eb</t>
  </si>
  <si>
    <t xml:space="preserve">Prehistoric peoples -- Eurasia. </t>
  </si>
  <si>
    <t>Geschichte Als Element Antiker Kultur : Die Griechen und Ihre Geschichte(n)</t>
  </si>
  <si>
    <t>Gehrke, Hans-Joachim</t>
  </si>
  <si>
    <t>DF211 -- .G447 2014eb</t>
  </si>
  <si>
    <t xml:space="preserve">Historiography -- Greece -- History. </t>
  </si>
  <si>
    <t>Les 'autres' Rois : Études Sur la Royauté Comme Notion Hiérarchique Dans la Société Au Bas Moyen Âge et Au début de l'époque Moderne</t>
  </si>
  <si>
    <t>Hiltmann, Torsten</t>
  </si>
  <si>
    <t>Ein 'neues' Deutschland? eine Deutsch-Französische Bilanz 20 Jahre Nach der Vereinigung : Une 'nouvelle' Allemagne? un Bilan Franco-Allemand 20 Ans Après L'unification</t>
  </si>
  <si>
    <t>Acteurs des Transferts Culturels en Méditerranée Médiévale</t>
  </si>
  <si>
    <t>Abdellatif, Rania</t>
  </si>
  <si>
    <t>Die Erfindung des Modernen Militarismus : Krieg, Militär und Bürgerliche Gesellschaft Im Politischen Denken der Französischen Revolution 1789-1799</t>
  </si>
  <si>
    <t>Kruse, Wolfgang</t>
  </si>
  <si>
    <t>DC162 -- .K787 2003eb</t>
  </si>
  <si>
    <t xml:space="preserve">France -- History, Military -- 1789-1815. </t>
  </si>
  <si>
    <t>Suger en Question : Regards Croisés Sur Saint-Denis. Études Réunis Par Rolf Große</t>
  </si>
  <si>
    <t>Große, Rolf</t>
  </si>
  <si>
    <t>Pierre Viénot (1897-1944): ein Intellektueller in der Politik : Ein Intellektueller in der Politik</t>
  </si>
  <si>
    <t>Sonnabend, Gaby</t>
  </si>
  <si>
    <t>DC373.V54 -- .S66 2005eb</t>
  </si>
  <si>
    <t>944.081/092</t>
  </si>
  <si>
    <t xml:space="preserve">Viénot, Pierre, -- 1897-1944. </t>
  </si>
  <si>
    <t>Der Europadiskurs Im Deutschen Exil 1933-1945</t>
  </si>
  <si>
    <t>Schilmar, Boris</t>
  </si>
  <si>
    <t>Vibrant Architecture : Matter As a Codesigner of Living Structures</t>
  </si>
  <si>
    <t>Armstrong, Rachel</t>
  </si>
  <si>
    <t>NA2500 -- .A767 2015eb</t>
  </si>
  <si>
    <t>720.1</t>
  </si>
  <si>
    <t xml:space="preserve">Architecture -- Philosophy. </t>
  </si>
  <si>
    <t>The Challenge of Minority Integration : Politics and Policies in the Nordic Nations</t>
  </si>
  <si>
    <t>Kraus, Peter A.</t>
  </si>
  <si>
    <t>Mensch und Computer 2015 - Usability Professionals : Workshop</t>
  </si>
  <si>
    <t>Endmann, Anja</t>
  </si>
  <si>
    <t>Mensch und Computer 2015 - Workshopband</t>
  </si>
  <si>
    <t>Mensch and Computer - Tagungsbände / Proceedings Ser.</t>
  </si>
  <si>
    <t>Weisbecker, Anette</t>
  </si>
  <si>
    <t>Mensch und Computer 2015 - Tagungsband</t>
  </si>
  <si>
    <t>Pielot, Martin</t>
  </si>
  <si>
    <t>Communication and Materiality : Written and Unwritten Communication in Pre-Modern Societies</t>
  </si>
  <si>
    <t>Enderwitz, Susanne</t>
  </si>
  <si>
    <t>Rating EFL Written Performance</t>
  </si>
  <si>
    <t>Bukta, Katalin</t>
  </si>
  <si>
    <t>PE1128.A2$bB85 2013</t>
  </si>
  <si>
    <t xml:space="preserve">English language--Study and teaching--Foreign speakers. </t>
  </si>
  <si>
    <t>Comparaisons, Raisons, Raisons D'État : Les Politiques de la République des Lettres Au Tournant du XVIIe Siècle</t>
  </si>
  <si>
    <t>Lefebvre, Armelle</t>
  </si>
  <si>
    <t>https://ebookcentral.proquest.com/lib/istinye/detail.action?docID=4002241</t>
  </si>
  <si>
    <t>Der Munizipalsozialismus in Europa /le Socialisme Municipal en Europe</t>
  </si>
  <si>
    <t>Kühl, Uwe</t>
  </si>
  <si>
    <t>Die Gleichheit Vor Dem Gesetz Im Sinne des Art. 109 der Reichsverfassung. der Einfluß des Steuerrechts Auf Die Begriffsbildung des öffentlichen Rechts : Verhandlungen der Tagung der Vereinigung der Deutschen Staatsrechtslehrer Zu Münster I. W. Am 29. und 30. März 1926</t>
  </si>
  <si>
    <t>Bild - Raum - Handlung : Perspektiven der Archäologie</t>
  </si>
  <si>
    <t>Dally, Ortwin</t>
  </si>
  <si>
    <t>Spaces of Communication in Imperial Rome</t>
  </si>
  <si>
    <t>Mundt, Felix</t>
  </si>
  <si>
    <t>https://ebookcentral.proquest.com/lib/istinye/detail.action?docID=4006786</t>
  </si>
  <si>
    <t>Imagining Human Rights</t>
  </si>
  <si>
    <t>Kaul, Susanne</t>
  </si>
  <si>
    <t>Physik und Poetik : Produktionsästhetik und Werkgenese. Autorinnen und Autoren Im Dialog</t>
  </si>
  <si>
    <t>Literatur- und Naturwissenschaften Ser.</t>
  </si>
  <si>
    <t>Heydenreich, Aura</t>
  </si>
  <si>
    <t>Totale Erziehung Für Den Totalen Krieg : Hitlerjugend und Nationalsozialistische Jugendpolitik</t>
  </si>
  <si>
    <t>Buddrus, Michael</t>
  </si>
  <si>
    <t>Inventar der Befehle der Sowjetischen Militäradministration Mecklenburg(-Vorpommern) 1945-1949</t>
  </si>
  <si>
    <t>Die Leistungsfähigkeit der Wissenschaft des Öffentlichen Rechts : Berichte und Diskussionen Auf der Tagung der Vereinigung der Deutschen Staatsrechtslehrer in Freiburg I. Br. Vom 3. Bis 6. Oktober 2007</t>
  </si>
  <si>
    <t>Hillgruber, Christian</t>
  </si>
  <si>
    <t>What Does Order Mean and What Orders Meaning? on the Structures That Constitute Meaning in Writing : Zu bedeutungskonstituierenden Ordnungsleistungen in Geschriebenem</t>
  </si>
  <si>
    <t>Haß, Christian David</t>
  </si>
  <si>
    <t>Integration Processes and Policies in Europe : Contexts, Levels and Actors</t>
  </si>
  <si>
    <t>Springer International Publishing AG</t>
  </si>
  <si>
    <t>Springer</t>
  </si>
  <si>
    <t>IMISCOE Research Series</t>
  </si>
  <si>
    <t>GarcÃ©s-MascareÃ±as, Blanca</t>
  </si>
  <si>
    <t>Akten Zur Auswärtigen Politik der Bundesrepublik Deutschland 1964</t>
  </si>
  <si>
    <t>Hölscher, Wolfgang</t>
  </si>
  <si>
    <t>Patient Engagement : A Consumer-Centered Model to Innovate Healthcare</t>
  </si>
  <si>
    <t>Graffigna, Guendalina</t>
  </si>
  <si>
    <t>Architectural Journal 1960-1975</t>
  </si>
  <si>
    <t>Krier, Rob</t>
  </si>
  <si>
    <t>NA1174.3.K75 .K754 2015</t>
  </si>
  <si>
    <t>720.92</t>
  </si>
  <si>
    <t xml:space="preserve">Krier, Rob-Aesthetics. </t>
  </si>
  <si>
    <t>The Archaeology of Death in Post-Medieval Europe</t>
  </si>
  <si>
    <t>Tarlow, Sarah</t>
  </si>
  <si>
    <t>GT3242</t>
  </si>
  <si>
    <t xml:space="preserve">Burial--Europe. </t>
  </si>
  <si>
    <t>Society, Law, and Culture in the Middle East : Modernities in the Making</t>
  </si>
  <si>
    <t>Ze'evi, Dror</t>
  </si>
  <si>
    <t>Open Source Archaeology : Ethics and Practice</t>
  </si>
  <si>
    <t>Wilson, Andrew T.</t>
  </si>
  <si>
    <t>50 Jahre Aktiengesetz</t>
  </si>
  <si>
    <t>Zeitschrift Für Unternehmens- und Gesellschaftsrecht/ZGR - Sonderheft Ser.</t>
  </si>
  <si>
    <t>Fleischer, Holger</t>
  </si>
  <si>
    <t>Wikipedia und Geschichtswissenschaft</t>
  </si>
  <si>
    <t>Wozniak, Thomas</t>
  </si>
  <si>
    <t>Ageing in Europe - Supporting Policies for an Inclusive Society</t>
  </si>
  <si>
    <t>The Post-Human Society : Elemental Contours of the Aesthetic Economy of the United States</t>
  </si>
  <si>
    <t>Kanth, Rajani</t>
  </si>
  <si>
    <t>Teaching Political Science to Undergraduates : Active Pedagogy for the Microchip Mind</t>
  </si>
  <si>
    <t>Paquette, Laure</t>
  </si>
  <si>
    <t>LB2342.75</t>
  </si>
  <si>
    <t xml:space="preserve">Political science--Study and teaching (Higher) </t>
  </si>
  <si>
    <t>Simplifying Complexity : Rhetoric and the Social Politics of Dealing with Ignorance</t>
  </si>
  <si>
    <t>Yoos, George E.</t>
  </si>
  <si>
    <t>P128.C664</t>
  </si>
  <si>
    <t xml:space="preserve">Communication in science. </t>
  </si>
  <si>
    <t>Microwave and Radio-Frequency Technologies in Agriculture : An Introduction for Agriculturalists and Engineers</t>
  </si>
  <si>
    <t>Brodie, Graham</t>
  </si>
  <si>
    <t>A Peep at the Blacks' : A History of Tourism at Coranderrk Aboriginal Station, 1863-1924</t>
  </si>
  <si>
    <t>Mobility and Biography</t>
  </si>
  <si>
    <t>Panter, Sarah</t>
  </si>
  <si>
    <t>HN380.Z9 .M635 2016</t>
  </si>
  <si>
    <t>Social mobility-Europe.</t>
  </si>
  <si>
    <t>https://ebookcentral.proquest.com/lib/istinye/detail.action?docID=4191088</t>
  </si>
  <si>
    <t>The Masorah of Elijah Ha-Naqdan : An Edition of Ashkenazic Micrographical Notes</t>
  </si>
  <si>
    <t>Attia, Élodie</t>
  </si>
  <si>
    <t>BS718 .M376 2015</t>
  </si>
  <si>
    <t>221.4/4</t>
  </si>
  <si>
    <t xml:space="preserve">Elijah ben Berechiah,-ha-Naqdan,-active 13th century-Knowledge-Masorah. </t>
  </si>
  <si>
    <t>Ein Sklavenball. Pompeji</t>
  </si>
  <si>
    <t>Horváth, Ödön von</t>
  </si>
  <si>
    <t>Biological Invasions in Changing Ecosystems : Vectors, Ecological Impacts, Management and Predictions</t>
  </si>
  <si>
    <t>Canning-Clode, João</t>
  </si>
  <si>
    <t>The Well-Being of Children : Philosophical and Social Scientific Approaches</t>
  </si>
  <si>
    <t>Schweiger, Gottfried</t>
  </si>
  <si>
    <t>Sustainability Indicators in Practice</t>
  </si>
  <si>
    <t>Latawiec, Agnieszka</t>
  </si>
  <si>
    <t>A COPD Primer</t>
  </si>
  <si>
    <t>Panos, Ralph</t>
  </si>
  <si>
    <t>Inside War : Understanding the Evolution of Organised Violence in the Global Era</t>
  </si>
  <si>
    <t>Armao, Fabio</t>
  </si>
  <si>
    <t>HV3181 .S6145 2016</t>
  </si>
  <si>
    <t>303.66</t>
  </si>
  <si>
    <t xml:space="preserve">Social work with African Americans. </t>
  </si>
  <si>
    <t>Fractional Dynamics</t>
  </si>
  <si>
    <t>Cattani, Carlo</t>
  </si>
  <si>
    <t>The Poetry of du Fu</t>
  </si>
  <si>
    <t>Library of Chinese Humanities Ser.</t>
  </si>
  <si>
    <t>Owen, Stephen</t>
  </si>
  <si>
    <t>Logik : Wiener Logikkolleg 1894/95</t>
  </si>
  <si>
    <t>Phenomenology and Mind Ser.</t>
  </si>
  <si>
    <t>Twardowski, Kazimierz</t>
  </si>
  <si>
    <t>Quarks and Letters : Naturwissenschaften in der Literatur und Kultur der Gegenwart</t>
  </si>
  <si>
    <t>Das Mönchtum in der Religionspolitik Kaiser Justinians I. : Die Engel des Himmels und der Stellvertreter Gottes Auf Erden</t>
  </si>
  <si>
    <t>Foundations for Moral Relativism : Second Expanded Edition</t>
  </si>
  <si>
    <t>171.7</t>
  </si>
  <si>
    <t>https://ebookcentral.proquest.com/lib/istinye/detail.action?docID=4340047</t>
  </si>
  <si>
    <t>Tyneside Neighbourhoods : Deprivation, Social Life and Social Behaviour in One British City</t>
  </si>
  <si>
    <t>Nettle, Daniel</t>
  </si>
  <si>
    <t>Forests and Food : Addressing Hunger and Nutrition Across Sustainable Landscapes</t>
  </si>
  <si>
    <t>Vira, Bhaskar</t>
  </si>
  <si>
    <t>Tolerance : The Beacon of the Enlightenment</t>
  </si>
  <si>
    <t>179.9</t>
  </si>
  <si>
    <t>https://ebookcentral.proquest.com/lib/istinye/detail.action?docID=4340050</t>
  </si>
  <si>
    <t>The Struggling State : Nationalism, Mass Militarization, and the Education of Eritrea</t>
  </si>
  <si>
    <t>Riggan, Jennifer</t>
  </si>
  <si>
    <t>JQ3583</t>
  </si>
  <si>
    <t>Education and state - Eritrea</t>
  </si>
  <si>
    <t>https://ebookcentral.proquest.com/lib/istinye/detail.action?docID=4355092</t>
  </si>
  <si>
    <t>Biomedical Chemistry : Current Trends and Developments</t>
  </si>
  <si>
    <t>Vale, Nuno</t>
  </si>
  <si>
    <t>Beyond Price : Essays on Birth and Death</t>
  </si>
  <si>
    <t>Vertical Readings in Dante's Comedy : Volume 1</t>
  </si>
  <si>
    <t>Corbett, George</t>
  </si>
  <si>
    <t>A Musicology of Performance : Theory and Method Based on Bach's Solos for Violin</t>
  </si>
  <si>
    <t>Fabian, Dorottya</t>
  </si>
  <si>
    <t>https://ebookcentral.proquest.com/lib/istinye/detail.action?docID=4386695</t>
  </si>
  <si>
    <t>Mr. Emerson's Revolution</t>
  </si>
  <si>
    <t>McClure Mudge, Jean</t>
  </si>
  <si>
    <t>Tellings and Texts : Music, Literature and Performance in North India</t>
  </si>
  <si>
    <t>Orsini, Francesca</t>
  </si>
  <si>
    <t>Cornelius Nepos, Life of Hannibal : Latin Text, Notes, Maps, Illustrations and Vocabulary</t>
  </si>
  <si>
    <t>Dickinson College Commentaries Ser.</t>
  </si>
  <si>
    <t>Mulligan, Bret</t>
  </si>
  <si>
    <t>The Muslim Question in Europe : Political Controversies and Public Philosophies</t>
  </si>
  <si>
    <t>O'Brien, Peter</t>
  </si>
  <si>
    <t>Advanced Problems in Mathematics : Preparing for University</t>
  </si>
  <si>
    <t>OBP Series in Mathematics</t>
  </si>
  <si>
    <t>Siklos, Stephen</t>
  </si>
  <si>
    <t>QA11.S555 2016eb</t>
  </si>
  <si>
    <t>Mathematics--Study and teaching (Higher)</t>
  </si>
  <si>
    <t>https://ebookcentral.proquest.com/lib/istinye/detail.action?docID=4391547</t>
  </si>
  <si>
    <t>Metaethics from a First Person Standpoint : An Introduction to Moral Philosophy</t>
  </si>
  <si>
    <t>Wilson, Catherine</t>
  </si>
  <si>
    <t>170.42</t>
  </si>
  <si>
    <t>https://ebookcentral.proquest.com/lib/istinye/detail.action?docID=4391548</t>
  </si>
  <si>
    <t>The Life of August Wilhelm Schlegel, Cosmopolitan of Art and Poetry</t>
  </si>
  <si>
    <t>Paulin, Roger</t>
  </si>
  <si>
    <t>https://ebookcentral.proquest.com/lib/istinye/detail.action?docID=4391550</t>
  </si>
  <si>
    <t>Everywhere Taksim : Sowing the Seeds for a New Turkey at Gezi</t>
  </si>
  <si>
    <t>David, Isabel</t>
  </si>
  <si>
    <t>Soul of the Documentary : Framing, Expression, Ethics</t>
  </si>
  <si>
    <t>Hongisto, Ilona</t>
  </si>
  <si>
    <t>Journalism</t>
  </si>
  <si>
    <t>Breaking down the State : Protestors Engaged</t>
  </si>
  <si>
    <t>Medium, Messenger, Transmission : An Approach to Media Philosophy</t>
  </si>
  <si>
    <t>Recursions Ser.</t>
  </si>
  <si>
    <t>Krämer, Sybille</t>
  </si>
  <si>
    <t>P91</t>
  </si>
  <si>
    <t>https://ebookcentral.proquest.com/lib/istinye/detail.action?docID=4391593</t>
  </si>
  <si>
    <t>Mobilizing Labour for the Global Coffee Market : Profits from an Unfree Work Regime in Colonial Java</t>
  </si>
  <si>
    <t>Social Histories of Work in Asia Ser.</t>
  </si>
  <si>
    <t>Breman, Jan</t>
  </si>
  <si>
    <t>HD4875</t>
  </si>
  <si>
    <t>https://ebookcentral.proquest.com/lib/istinye/detail.action?docID=4391594</t>
  </si>
  <si>
    <t>Ripples of Hope : How Ordinary People Resist Repression Without Violence</t>
  </si>
  <si>
    <t>Press, Robert</t>
  </si>
  <si>
    <t>Seeking Peace in the Wake of War : Europe, 1943-1947</t>
  </si>
  <si>
    <t>NIOD Studies on War, Holocaust and Genocide Ser.</t>
  </si>
  <si>
    <t>Hoffmann, Stefan-Ludwig</t>
  </si>
  <si>
    <t>Spain, China, and Japan in Manila, 1571-1644 : Local Comparisons and Global Connections</t>
  </si>
  <si>
    <t>Emerging Asia Ser.</t>
  </si>
  <si>
    <t>Tremml-Werner, Birgit</t>
  </si>
  <si>
    <t>DS689</t>
  </si>
  <si>
    <t>959.9/1602</t>
  </si>
  <si>
    <t>Manila (Philippines)--History.</t>
  </si>
  <si>
    <t>https://ebookcentral.proquest.com/lib/istinye/detail.action?docID=4391599</t>
  </si>
  <si>
    <t>New Frontiers of Slavery</t>
  </si>
  <si>
    <t>Tomich, Dale W.</t>
  </si>
  <si>
    <t>Cooperation and Conflict the Nordic Way : Work, Welfare, and Institutional Change in Scandinavia</t>
  </si>
  <si>
    <t>Engelstad, Fredrik</t>
  </si>
  <si>
    <t>Translating Chinese Tradition and Teaching Tangut Culture : Manuscripts and Printed Books from Khara-Khoto</t>
  </si>
  <si>
    <t>Studies in Manuscript Cultures Ser.</t>
  </si>
  <si>
    <t>Galambos, Imre</t>
  </si>
  <si>
    <t>Moral Economies of Corruption : State Formation and Political Culture in Nigeria</t>
  </si>
  <si>
    <t>Pierce, Steven</t>
  </si>
  <si>
    <t>A Century of Violence in a Red City : Popular Struggle, Counterinsurgency, and Human Rights in Colombia</t>
  </si>
  <si>
    <t>Gill, Lesley</t>
  </si>
  <si>
    <t>Making Refuge : Somali Bantu Refugees and Lewiston, Maine</t>
  </si>
  <si>
    <t>Global Insecurities Ser.</t>
  </si>
  <si>
    <t>Besteman, Catherine</t>
  </si>
  <si>
    <t>Gesture and Power : Religion, Nationalism, and Everyday Performance in Congo</t>
  </si>
  <si>
    <t>Religious Cultures of African and African Diaspora People Ser.</t>
  </si>
  <si>
    <t>Covington-Ward, Yolanda</t>
  </si>
  <si>
    <t>Negro Soy Yo : Hip Hop and Raced Citizenship in Neoliberal Cuba</t>
  </si>
  <si>
    <t>Refiguring American Music Ser.</t>
  </si>
  <si>
    <t>Perry, Marc D.</t>
  </si>
  <si>
    <t>ML3486</t>
  </si>
  <si>
    <t>https://ebookcentral.proquest.com/lib/istinye/detail.action?docID=4412759</t>
  </si>
  <si>
    <t>Slavery in the Circuit of Sugar, Second Edition : Martinique and the World-Economy, 1830-1848</t>
  </si>
  <si>
    <t>HT1108.M3T66 2016</t>
  </si>
  <si>
    <t>Martinique - Economic conditions</t>
  </si>
  <si>
    <t>https://ebookcentral.proquest.com/lib/istinye/detail.action?docID=4420836</t>
  </si>
  <si>
    <t>Das Siebenstromland Zwischen Bronze- und Früheisenzeit : Eine Regionalstudie</t>
  </si>
  <si>
    <t>Gass, Anton</t>
  </si>
  <si>
    <t>The Collapse of Time : The Martyrdom of Diego Ortiz (1571) by Antonio de la Calancha [1638]</t>
  </si>
  <si>
    <t>Redden, Andrew</t>
  </si>
  <si>
    <t>BX2914</t>
  </si>
  <si>
    <t>https://ebookcentral.proquest.com/lib/istinye/detail.action?docID=4426458</t>
  </si>
  <si>
    <t>Insight into Theoretical and Applied Informatics : Introduction to Information Technologies and Computer Science</t>
  </si>
  <si>
    <t>Yatsko, Andrzej</t>
  </si>
  <si>
    <t>Formulation in Action : Applying Psychological Theory to Clinical Practice</t>
  </si>
  <si>
    <t>Dawson, David</t>
  </si>
  <si>
    <t>Frieden Schaffen und Sich Verteidigen Im Spätmittelalter : Faire la Paix et Se défendre à la Fin du Moyen Âge</t>
  </si>
  <si>
    <t>Naegle, Gisela</t>
  </si>
  <si>
    <t>https://ebookcentral.proquest.com/lib/istinye/detail.action?docID=4428572</t>
  </si>
  <si>
    <t>Spätmittelalterliche Heroldskompendien : Referenzen Adeliger Wissenskultur in Zeiten Gesellschaftlichen Wandels (Frankreich und Burgund, 15. Jahrhundert)</t>
  </si>
  <si>
    <t>https://ebookcentral.proquest.com/lib/istinye/detail.action?docID=4428573</t>
  </si>
  <si>
    <t>American Politics and the Environment, Second Edition</t>
  </si>
  <si>
    <t>Daynes, Byron W.</t>
  </si>
  <si>
    <t>Art Beyond Borders : Artistic Exchange in Communist Europe (1945-1989)</t>
  </si>
  <si>
    <t>Leipzig Studies on the History and Culture of East-Central Europe Ser.</t>
  </si>
  <si>
    <t>Bazin, Jérôme</t>
  </si>
  <si>
    <t>A Contemporary History of Exclusion : The Roma Issue in Hungary from 1945 To 2015</t>
  </si>
  <si>
    <t>Majtényi, Balázs</t>
  </si>
  <si>
    <t>Remembrance, History, and Justice : Coming to Terms with Traumatic Pasts in Democratic Societies</t>
  </si>
  <si>
    <t>Das Berliner TransitionsProgramm : Sektorübergreifendes Strukturprogramm Zur Transition in Die Erwachsenenmedizin</t>
  </si>
  <si>
    <t>Findorff, Jana</t>
  </si>
  <si>
    <t>Variation Im Europäischen Kontrast : Untersuchungen Zum Satzanfang Im Deutschen, Französischen, Norwegischen, Polnischen und Ungarischen</t>
  </si>
  <si>
    <t>Konvergenz und Divergenz Ser.</t>
  </si>
  <si>
    <t>Dalmas, Martine</t>
  </si>
  <si>
    <t>Cold War Anthropology : The CIA, the Pentagon, and the Growth of Dual Use Anthropology</t>
  </si>
  <si>
    <t>Price, David H.</t>
  </si>
  <si>
    <t>GN17</t>
  </si>
  <si>
    <t>301.097309/04</t>
  </si>
  <si>
    <t>https://ebookcentral.proquest.com/lib/istinye/detail.action?docID=4452833</t>
  </si>
  <si>
    <t>Sexual States : Governance and the Struggle over the Antisodomy Law in India</t>
  </si>
  <si>
    <t>Next Wave: New Directions in Women's Studies</t>
  </si>
  <si>
    <t>Puri, Jyoti</t>
  </si>
  <si>
    <t>KNS4216</t>
  </si>
  <si>
    <t>345.54/02536</t>
  </si>
  <si>
    <t>https://ebookcentral.proquest.com/lib/istinye/detail.action?docID=4452847</t>
  </si>
  <si>
    <t>Metroimperial Intimacies : Fantasy, Racial-Sexual Governance, and the Philippines in U. S. Imperialism, 1899-1913</t>
  </si>
  <si>
    <t>Perverse Modernities: a Series Edited by Jack Halberstam and Lisa Lowe Ser.</t>
  </si>
  <si>
    <t>Mendoza, Victor Román</t>
  </si>
  <si>
    <t>Judaism As Philosophy : Studies in Maimonides and the Medieval Jewish Philosophers of Provence</t>
  </si>
  <si>
    <t>Kreisel, Howard</t>
  </si>
  <si>
    <t>B759.M34</t>
  </si>
  <si>
    <t>181.06</t>
  </si>
  <si>
    <t>Jewish philosophy--France--Provence.</t>
  </si>
  <si>
    <t>https://ebookcentral.proquest.com/lib/istinye/detail.action?docID=4454556</t>
  </si>
  <si>
    <t>The Translator's Doubts : Vladimir Nabokov and the Ambiguity of Translation</t>
  </si>
  <si>
    <t>Trubikhina, Julia</t>
  </si>
  <si>
    <t>First Words : On Dostoevsky's Introductions</t>
  </si>
  <si>
    <t>The Unknown Nineteenth Century Ser.</t>
  </si>
  <si>
    <t>Bagby, Lewis</t>
  </si>
  <si>
    <t>PG3328.Z6 -- B23 2016eb</t>
  </si>
  <si>
    <t>Prefaces--History and criticism.</t>
  </si>
  <si>
    <t>https://ebookcentral.proquest.com/lib/istinye/detail.action?docID=4454569</t>
  </si>
  <si>
    <t>We Shall Not Be Moved/No Nos Moveran : Biography of a Song of Struggle</t>
  </si>
  <si>
    <t>Spener, David</t>
  </si>
  <si>
    <t>ML3780</t>
  </si>
  <si>
    <t>Protest songs - Spain - History and criticism</t>
  </si>
  <si>
    <t>https://ebookcentral.proquest.com/lib/istinye/detail.action?docID=4458125</t>
  </si>
  <si>
    <t>Dalit Studies</t>
  </si>
  <si>
    <t>Rawat, Ramnarayan S.</t>
  </si>
  <si>
    <t>Die Jugend des Dionysos : Die Ampelos-Episode in Den Dionysiaka des Nonnos Von Panopolis</t>
  </si>
  <si>
    <t>Kröll, Nicole</t>
  </si>
  <si>
    <t>PA4251.A33.K75 2016eb</t>
  </si>
  <si>
    <t>883.01</t>
  </si>
  <si>
    <t>https://ebookcentral.proquest.com/lib/istinye/detail.action?docID=4508516</t>
  </si>
  <si>
    <t>Melchizedek Passages in the Bible : A Case Study for Inner-Biblical and Inter-Biblical Interpretation</t>
  </si>
  <si>
    <t>Alan KamYau, Chan</t>
  </si>
  <si>
    <t>BS580.M4 .C436 2016</t>
  </si>
  <si>
    <t>221.92</t>
  </si>
  <si>
    <t>Melchizedek,-King of Salem.</t>
  </si>
  <si>
    <t>https://ebookcentral.proquest.com/lib/istinye/detail.action?docID=4508528</t>
  </si>
  <si>
    <t>Religion As a Philosophical Matter : Concerns about Truth, Name, and Habitation</t>
  </si>
  <si>
    <t>Albinus, Lars</t>
  </si>
  <si>
    <t>BL51.A465 2016eb</t>
  </si>
  <si>
    <t>Religion--Philosophy.</t>
  </si>
  <si>
    <t>https://ebookcentral.proquest.com/lib/istinye/detail.action?docID=4508546</t>
  </si>
  <si>
    <t>The Eurasian Triangle : Russia, the Caucasus and Japan, 1904-1945</t>
  </si>
  <si>
    <t>Kuromiya, Hiroaki</t>
  </si>
  <si>
    <t>Teaching Mathematics at Secondary Level</t>
  </si>
  <si>
    <t>OBP Series in Mathematics Ser.</t>
  </si>
  <si>
    <t>Gardiner, Tony</t>
  </si>
  <si>
    <t>https://ebookcentral.proquest.com/lib/istinye/detail.action?docID=4512191</t>
  </si>
  <si>
    <t>Knowledge and the Norm of Assertion : An Essay in Philosophical Science</t>
  </si>
  <si>
    <t>Turri, John</t>
  </si>
  <si>
    <t>The Universal Declaration of Human Rights in the 21st Century : A Living Document in a Changing World</t>
  </si>
  <si>
    <t>Brown, Gordon</t>
  </si>
  <si>
    <t>https://ebookcentral.proquest.com/lib/istinye/detail.action?docID=4512193</t>
  </si>
  <si>
    <t>Diaspora and Trust : Cuba, Mexico, and the Rise of China</t>
  </si>
  <si>
    <t>Hearn, Adrian H.</t>
  </si>
  <si>
    <t>Disciplinary Conquest : U. S. Scholars in South America, 1900-1945</t>
  </si>
  <si>
    <t>Salvatore, Ricardo D.</t>
  </si>
  <si>
    <t>Variance in Arabic Manuscripts : Arabic Didactic Poems from the Eleventh to the Seventeenth Centuries - Analysis of Textual Variance and Its Control in the Manuscripts</t>
  </si>
  <si>
    <t>Sobieroj, Florian</t>
  </si>
  <si>
    <t>PJ7553.S635 2016eb</t>
  </si>
  <si>
    <t>892.7/13409</t>
  </si>
  <si>
    <t>Arabic poetry--750-1258--History and criticism--Criticism, Textual.</t>
  </si>
  <si>
    <t>https://ebookcentral.proquest.com/lib/istinye/detail.action?docID=4533910</t>
  </si>
  <si>
    <t>Innover Avec les Acteurs du Monde Rural : La Recherche-Action en Partenariat</t>
  </si>
  <si>
    <t>Faure, Guy</t>
  </si>
  <si>
    <t>Le Cotonnier</t>
  </si>
  <si>
    <t>Crétenet, Michel</t>
  </si>
  <si>
    <t>Développement Durable et Filières Tropicales</t>
  </si>
  <si>
    <t>Agricultures et défis du Monde Ser.</t>
  </si>
  <si>
    <t>Biénabe, Estelle</t>
  </si>
  <si>
    <t>Émergence de Maladies Infectieuses : Risques et Enjeux de Société</t>
  </si>
  <si>
    <t>Matière à débattre et Décider Ser.</t>
  </si>
  <si>
    <t>Les Services écosystémiques : Repenser les Relations Nature et Société</t>
  </si>
  <si>
    <t>Méral, Philippe</t>
  </si>
  <si>
    <t>Faune Sauvage, Biodiversité et Santé, Quels Défis ?</t>
  </si>
  <si>
    <t>Enjeux Sciences Ser.</t>
  </si>
  <si>
    <t>Green Voices : Defending Nature and the Environment in American Civic Discourse</t>
  </si>
  <si>
    <t>Besel, Richard D.</t>
  </si>
  <si>
    <t>Galeni in Hippocratis Epidemiarum Librum II Commentariorum I-III Versio Arabica</t>
  </si>
  <si>
    <t>Corpus Medicorum Graecorum Ser.</t>
  </si>
  <si>
    <t>Galeni in Hippocratis Epidemiarum Librum II Commentariorum IV-VI Versio Arabica et Indices</t>
  </si>
  <si>
    <t>Dostoevsky Beyond Dostoevsky : Science, Religion, Philosophy</t>
  </si>
  <si>
    <t>Golstein, Vladimir</t>
  </si>
  <si>
    <t>Learning to Read Talmud : What It Looks Like and How It Happens</t>
  </si>
  <si>
    <t>Kanarek, Jane L.</t>
  </si>
  <si>
    <t>Under the Shadow of the Rising Sun : Japan and the Jews During the Holocaust Era (Lectures from the Broadcast University of Israel Army Radio)</t>
  </si>
  <si>
    <t>Medzini, Meron</t>
  </si>
  <si>
    <t>DS135.J3M439 2016</t>
  </si>
  <si>
    <t>Jews--Japan--History--20th century.</t>
  </si>
  <si>
    <t>https://ebookcentral.proquest.com/lib/istinye/detail.action?docID=4568920</t>
  </si>
  <si>
    <t>La Conservation des Grains Après Récolte</t>
  </si>
  <si>
    <t>Ovid, Amores (Book 1)</t>
  </si>
  <si>
    <t>Turpin, William</t>
  </si>
  <si>
    <t>Verdi in Victorian London</t>
  </si>
  <si>
    <t>Zicari, Massimo</t>
  </si>
  <si>
    <t>https://ebookcentral.proquest.com/lib/istinye/detail.action?docID=4592474</t>
  </si>
  <si>
    <t>Intellectual Property and Public Health in the Developing World</t>
  </si>
  <si>
    <t>Azam, Monirul</t>
  </si>
  <si>
    <t>The Environment in the Age of the Internet : Activists, Communication, and the Digital Landscape</t>
  </si>
  <si>
    <t>Graf, Heike</t>
  </si>
  <si>
    <t>Denis Diderot 'Rameau's Nephew' - 'le Neveu de Rameau' : A Multi-Media Bilingual Edition</t>
  </si>
  <si>
    <t>Metatexte : Erzählungen Von Schrifttragenden Artefakten in der Alttestamentlichen und Mittelalterlichen Literatur</t>
  </si>
  <si>
    <t>Focken, Friedrich-Emanuel</t>
  </si>
  <si>
    <t>Genocide : New Perspectives on Its Causes, Courses and Consequences</t>
  </si>
  <si>
    <t>Üngör, Ugur</t>
  </si>
  <si>
    <t>D</t>
  </si>
  <si>
    <t>https://ebookcentral.proquest.com/lib/istinye/detail.action?docID=4603083</t>
  </si>
  <si>
    <t>Human Rights Standards : Hegemony, Law, and Politics</t>
  </si>
  <si>
    <t>Mutua, Makau</t>
  </si>
  <si>
    <t>JC571.M954 2016</t>
  </si>
  <si>
    <t>Human rights.</t>
  </si>
  <si>
    <t>https://ebookcentral.proquest.com/lib/istinye/detail.action?docID=4603722</t>
  </si>
  <si>
    <t>Tracing Manuscripts in Time and Space Through Paratexts : Perspectives from Paratexts</t>
  </si>
  <si>
    <t>Women in the Ancient near East</t>
  </si>
  <si>
    <t>Stol, Marten</t>
  </si>
  <si>
    <t>HQ1127</t>
  </si>
  <si>
    <t>Women - Iraq - Babylonia</t>
  </si>
  <si>
    <t>https://ebookcentral.proquest.com/lib/istinye/detail.action?docID=4644580</t>
  </si>
  <si>
    <t>Germanistik in Wien : Das Seminar Für Deutsche Philologie und Seine Privatdozentinnen (1897-1933)</t>
  </si>
  <si>
    <t>Quellen und Forschungen Zur Literatur- und Kulturgeschichte Ser.</t>
  </si>
  <si>
    <t>Grabenweger, Elisabeth</t>
  </si>
  <si>
    <t>PF3025.G733 2016eb</t>
  </si>
  <si>
    <t>German philology.</t>
  </si>
  <si>
    <t>https://ebookcentral.proquest.com/lib/istinye/detail.action?docID=4644635</t>
  </si>
  <si>
    <t>American Sociology and Holocaust Studies : The Alleged Silence and the Creation of the Sociological Delay</t>
  </si>
  <si>
    <t>Perspectives in Jewish Intellectual Life Ser.</t>
  </si>
  <si>
    <t>Messina, Adele Valeria</t>
  </si>
  <si>
    <t>D804.348.M477 2017</t>
  </si>
  <si>
    <t>Sociologists - Attitudes</t>
  </si>
  <si>
    <t>https://ebookcentral.proquest.com/lib/istinye/detail.action?docID=4647999</t>
  </si>
  <si>
    <t>Nouvelles Raisons d'agir des Acteurs de la Pêche et de L'agriculture</t>
  </si>
  <si>
    <t>Merri, Maryvonne</t>
  </si>
  <si>
    <t>Postmodern Crises : From Lolita to Pussy Riot</t>
  </si>
  <si>
    <t>PG3027.5.P67.L576 2017</t>
  </si>
  <si>
    <t>Motion pictures - Russia (Federation) - History and criticism</t>
  </si>
  <si>
    <t>https://ebookcentral.proquest.com/lib/istinye/detail.action?docID=4678354</t>
  </si>
  <si>
    <t>Facets of Facebook : Use and Users</t>
  </si>
  <si>
    <t>De Gruyter Mouton</t>
  </si>
  <si>
    <t>Knowledge and Information Ser.</t>
  </si>
  <si>
    <t>Knautz, Kathrin</t>
  </si>
  <si>
    <t>Genre und Gemeinsinn : Hollywood Zwischen Krieg und Demokratie</t>
  </si>
  <si>
    <t>Cinepoetics Ser.</t>
  </si>
  <si>
    <t>Kappelhoff, Hermann</t>
  </si>
  <si>
    <t>Theatre and War : Notes from the Field</t>
  </si>
  <si>
    <t>Applied Theatre Praxis Ser.</t>
  </si>
  <si>
    <t>Dinesh, Nandita</t>
  </si>
  <si>
    <t>Digital Scholarly Editing : Theories and Practices</t>
  </si>
  <si>
    <t>Driscoll, Matthew James</t>
  </si>
  <si>
    <t>Ovid, Metamorphoses, 3. 511-733 : Latin Text with Introduction, Commentary, Glossary of Terms, Vocabulary Aid and Study Questions</t>
  </si>
  <si>
    <t>Piety in Pieces : How Medieval Readers Customized Their Manuscripts</t>
  </si>
  <si>
    <t>Rudy, Kathryn M.</t>
  </si>
  <si>
    <t>https://ebookcentral.proquest.com/lib/istinye/detail.action?docID=4694636</t>
  </si>
  <si>
    <t>Population, Providence and Empire : The Churches and Emigration from Nineteenth-Century Ireland</t>
  </si>
  <si>
    <t>Roddy, Sarah</t>
  </si>
  <si>
    <t>Human Remains and Mass Violence : Methodological Approaches</t>
  </si>
  <si>
    <t>Human Remains and Violence Ser.</t>
  </si>
  <si>
    <t>Dreyfus, Jean-Marc</t>
  </si>
  <si>
    <t>Man or Monster? : The Trial of a Khmer Rouge Torturer</t>
  </si>
  <si>
    <t>Hinton, Alexander Laban</t>
  </si>
  <si>
    <t>KZ1208</t>
  </si>
  <si>
    <t>https://ebookcentral.proquest.com/lib/istinye/detail.action?docID=4713554</t>
  </si>
  <si>
    <t>Lenin and the Making of the Soviet State : A Brief History with Documents</t>
  </si>
  <si>
    <t>Palgrave Macmillan US</t>
  </si>
  <si>
    <t>Palgrave Macmillan</t>
  </si>
  <si>
    <t>The Bedford Series in History and Culture Ser.</t>
  </si>
  <si>
    <t>The Poetry of Hanshan (Cold Mountain), Shide, and Fenggan</t>
  </si>
  <si>
    <t>Rouzer, Paul</t>
  </si>
  <si>
    <t>Materiality of Writing in Early Mesopotamia</t>
  </si>
  <si>
    <t>Balke, Thomas E.</t>
  </si>
  <si>
    <t>Filtration Materials for Groundwater : A Guide to Good Practice</t>
  </si>
  <si>
    <t>Kozyatnyk, Ivan</t>
  </si>
  <si>
    <t>Thinking Literature Across Continents</t>
  </si>
  <si>
    <t>Ghosh, Ranjan</t>
  </si>
  <si>
    <t>We Dream Together : Dominican Independence, Haiti, and the Fight for Caribbean Freedom</t>
  </si>
  <si>
    <t>Eller, Anne</t>
  </si>
  <si>
    <t>F1938</t>
  </si>
  <si>
    <t>972.93/04</t>
  </si>
  <si>
    <t>https://ebookcentral.proquest.com/lib/istinye/detail.action?docID=4742061</t>
  </si>
  <si>
    <t>Rational Design of Next-Generation Nanomaterials and Nanodevices for Water Applications</t>
  </si>
  <si>
    <t>Wang, Peng</t>
  </si>
  <si>
    <t>Engineering: Environmental</t>
  </si>
  <si>
    <t>Les Maladies émergentes : Zika, Ébola, Chikungunya... Comprendre Ces Infections et les Prévenir Au Quotidien</t>
  </si>
  <si>
    <t>Braly, Jean-Philippe</t>
  </si>
  <si>
    <t>Austerity and the Labor Movement</t>
  </si>
  <si>
    <t>Schiavone, Michael</t>
  </si>
  <si>
    <t>An Aqueous Territory : Sailor Geographies and New Granada's Transimperial Greater Caribbean World</t>
  </si>
  <si>
    <t>Bassi, Ernesto</t>
  </si>
  <si>
    <t>New Countries : Capitalism, Revolutions, and Nations in the Americas, 1750-1870</t>
  </si>
  <si>
    <t>Tutino, John</t>
  </si>
  <si>
    <t>A Gender-Based Approach to Parliamentary Discourse : The Andalusian Parliament</t>
  </si>
  <si>
    <t>Discourse Approaches to Politics, Society and Culture Ser.</t>
  </si>
  <si>
    <t>Fuentes Rodríguez, Catalina</t>
  </si>
  <si>
    <t>Variation und Wandel : Zur Konkurrenz Morphologischer und Syntaktischer a+N-Verbindungen Im Deutschen und Niederländischen Seit 1700</t>
  </si>
  <si>
    <t>Schuster, Saskia</t>
  </si>
  <si>
    <t>https://ebookcentral.proquest.com/lib/istinye/detail.action?docID=4749379</t>
  </si>
  <si>
    <t>Monastische Kultur Als Transkonfessionelles Phänomen : Beiträge Einer Deutsch-Russischen Interdisziplinären Tagung in Vladimir und Suzdal'</t>
  </si>
  <si>
    <t>Veröffentlichungen des Deutschen Historischen Instituts Moskau Ser.</t>
  </si>
  <si>
    <t>Steindorff, Ludwig</t>
  </si>
  <si>
    <t>Pore Scale Geochemical Processes</t>
  </si>
  <si>
    <t>Reviews in Mineralogy and Geochemistry Ser.</t>
  </si>
  <si>
    <t>Steefel, Carl</t>
  </si>
  <si>
    <t>Religion and the Making of Nigeria</t>
  </si>
  <si>
    <t>Vaughan, Olufemi</t>
  </si>
  <si>
    <t>BL65</t>
  </si>
  <si>
    <t>https://ebookcentral.proquest.com/lib/istinye/detail.action?docID=4751199</t>
  </si>
  <si>
    <t>Now Peru Is Mine : The Life and Times of a Campesino Activist</t>
  </si>
  <si>
    <t>Llamojha Mitma, Manuel</t>
  </si>
  <si>
    <t>Understanding Material Text Cultures : A Multidisciplinary View</t>
  </si>
  <si>
    <t>Hilgert, Markus</t>
  </si>
  <si>
    <t>Wissenschaftliches Publizieren : Zwischen Digitalisierung, Leistungsmessung, Ökonomisierung und Medialer Beobachtung</t>
  </si>
  <si>
    <t>Weingart, Peter</t>
  </si>
  <si>
    <t>Of Gods and Books : Ritual and Knowledge Transmission in the Manuscript Cultures of Premodern India</t>
  </si>
  <si>
    <t>De Simini, Florinda</t>
  </si>
  <si>
    <t>BL1111.4 .D475 2016</t>
  </si>
  <si>
    <t>294.5/92</t>
  </si>
  <si>
    <t xml:space="preserve">Hinduism-Sacred books. </t>
  </si>
  <si>
    <t>Dynamics of Religion : Past and Present. Proceedings of the XXI World Congress of the International Association for the History of Religions</t>
  </si>
  <si>
    <t>Religionsgeschichtliche Versuche und Vorarbeiten Ser.</t>
  </si>
  <si>
    <t>Bochinger, Christoph</t>
  </si>
  <si>
    <t>One-Volume Libraries: Composite and Multiple-Text Manuscripts</t>
  </si>
  <si>
    <t>Yearbook of the Maimonides Centre for Advanced Studies. 2016 : 2016</t>
  </si>
  <si>
    <t>Jewish Thought, Philosophy and Religion Ser.</t>
  </si>
  <si>
    <t>Musicians in Transit : Argentina and the Globalization of Popular Music</t>
  </si>
  <si>
    <t>ML231</t>
  </si>
  <si>
    <t>https://ebookcentral.proquest.com/lib/istinye/detail.action?docID=4775653</t>
  </si>
  <si>
    <t>The Encyclopedia of British Film : Fourth Edition</t>
  </si>
  <si>
    <t>McFarlane, Brian</t>
  </si>
  <si>
    <t>Diffusion and Transfer of Knowledge in Agriculture</t>
  </si>
  <si>
    <t>Huyghe, Christian</t>
  </si>
  <si>
    <t>Essays in Honour of Eamonn Cantwell : Yeats Annual No. 20</t>
  </si>
  <si>
    <t>https://ebookcentral.proquest.com/lib/istinye/detail.action?docID=4788062</t>
  </si>
  <si>
    <t>The Infrastructure Finance Challenge</t>
  </si>
  <si>
    <t>Walter, Ingo</t>
  </si>
  <si>
    <t>Vertical Readings in Dante's Comedy : Volume 2</t>
  </si>
  <si>
    <t>Literature Against Criticism : University English and Contemporary Fiction in Conflict</t>
  </si>
  <si>
    <t>Eve, Martin Paul</t>
  </si>
  <si>
    <t>https://ebookcentral.proquest.com/lib/istinye/detail.action?docID=4788065</t>
  </si>
  <si>
    <t>Open Education : International Perspectives in Higher Education</t>
  </si>
  <si>
    <t>Blessinger, Patrick</t>
  </si>
  <si>
    <t>Woodstock Scholarship : An Interdisciplinary Annotated Bibliography</t>
  </si>
  <si>
    <t>Gatten, Jeffrey N.</t>
  </si>
  <si>
    <t>Citizenship in Question : Evidentiary Birthright and Statelessness</t>
  </si>
  <si>
    <t>Lawrance, Benjamin N.</t>
  </si>
  <si>
    <t>Reichszentralbehörden, Regionale Behörden und Wissenschaftliche Hochschulen Für Die Zehn Westdeutschen länder Sowie Berlin</t>
  </si>
  <si>
    <t>Institut für Zeitgeschichte, Institut für</t>
  </si>
  <si>
    <t>Inventar der Befehle des Obersten Chefs der Sowjetischen Militäradministration in Deutschland (SMAD) 1945-1949 : - Offene Serie -</t>
  </si>
  <si>
    <t>Bibliography</t>
  </si>
  <si>
    <t>Religion and Reason Ser.</t>
  </si>
  <si>
    <t>Waardenburg, Jacques</t>
  </si>
  <si>
    <t>016.6145/989</t>
  </si>
  <si>
    <t>https://ebookcentral.proquest.com/lib/istinye/detail.action?docID=4793742</t>
  </si>
  <si>
    <t>Material Culture in Modern Diplomacy from the 15th to the 20th Century</t>
  </si>
  <si>
    <t>Rudolph, Harriet</t>
  </si>
  <si>
    <t>Audiovisuelle Rhythmen : Filmmusik, Bewegungskomposition und Die Dynamische Affizierung des Zuschauers</t>
  </si>
  <si>
    <t>Bakels, Jan-Hendrik</t>
  </si>
  <si>
    <t>https://ebookcentral.proquest.com/lib/istinye/detail.action?docID=4793928</t>
  </si>
  <si>
    <t>Affektpoetiken des New Hollywood : Suspense, Paranoia und Melancholie</t>
  </si>
  <si>
    <t>Lehmann, Hauke</t>
  </si>
  <si>
    <t>Somalis in the Twin Cities and Columbus : Immigrant Incorporation in New Destinations</t>
  </si>
  <si>
    <t>Chambers, Stefanie</t>
  </si>
  <si>
    <t>Transformations Agricoles et Agroalimentaires : Entre écologie et Capitalisme</t>
  </si>
  <si>
    <t>Allaire, Gilles</t>
  </si>
  <si>
    <t>Architecture et Croissance des Plantes : Modélisation et Applications</t>
  </si>
  <si>
    <t>De Reffye, Philippe</t>
  </si>
  <si>
    <t>Minnereden : Auswahledition</t>
  </si>
  <si>
    <t>De Gruyter Texte Ser.</t>
  </si>
  <si>
    <t>Dorobantu, Iulia-Emilia</t>
  </si>
  <si>
    <t>Auslegung und Hermeneutik der Bibel in der Reformationszeit</t>
  </si>
  <si>
    <t>Historia Hermeneutica. Series Studia Ser.</t>
  </si>
  <si>
    <t>Christ-von Wedel, Christine</t>
  </si>
  <si>
    <t>The Psychology of Social Networking Vol. 1 : Personal Experience in Online Communities</t>
  </si>
  <si>
    <t>Dying in Full Detail : Mortality and Digital Documentary</t>
  </si>
  <si>
    <t>Malkowski, Jennifer</t>
  </si>
  <si>
    <t>Downwardly Global : Women, Work, and Citizenship in the Pakistani Diaspora</t>
  </si>
  <si>
    <t>Ameeriar, Lalaie</t>
  </si>
  <si>
    <t>Language in the Digital Era. Challenges and Perspectives</t>
  </si>
  <si>
    <t>Dejica, Daniel</t>
  </si>
  <si>
    <t>Events, States and Times : An Essay on Narrative Discourse in English</t>
  </si>
  <si>
    <t>Altshuler, Daniel</t>
  </si>
  <si>
    <t>P302.7 .A487 2016</t>
  </si>
  <si>
    <t>401/.41</t>
  </si>
  <si>
    <t xml:space="preserve">Discourse analysis, Narrative. </t>
  </si>
  <si>
    <t>Just War and Human Rights : Fighting with Right Intention</t>
  </si>
  <si>
    <t>Burkhardt, Todd</t>
  </si>
  <si>
    <t>Hydraulic City : Water and the Infrastructures of Citizenship in Mumbai</t>
  </si>
  <si>
    <t>Anand, Nikhil</t>
  </si>
  <si>
    <t>Energy Without Conscience : Oil, Climate Change, and Complicity</t>
  </si>
  <si>
    <t>Hughes, David McDermott</t>
  </si>
  <si>
    <t>Sovereignty in Ruins : A Politics of Crisis</t>
  </si>
  <si>
    <t>Edmondson, George</t>
  </si>
  <si>
    <t>The Black Death and Later Plague Epidemics in the Scandinavian Countries: : Perspectives and Controversies</t>
  </si>
  <si>
    <t>Benedictow, Ole Jørgen</t>
  </si>
  <si>
    <t>Structural Analysis and Renovation Design of Ageing Sewers : Design Theories and Case Studies</t>
  </si>
  <si>
    <t>Zihai, Shi</t>
  </si>
  <si>
    <t>Rhetoric and Drama</t>
  </si>
  <si>
    <t>Mayfield, D. S.</t>
  </si>
  <si>
    <t>PN183 .R448 2017</t>
  </si>
  <si>
    <t xml:space="preserve">Rhetoric-History. </t>
  </si>
  <si>
    <t>Behaviour, Development and Evolution</t>
  </si>
  <si>
    <t>Bateson, Patrick</t>
  </si>
  <si>
    <t>Science: Zoology</t>
  </si>
  <si>
    <t>https://ebookcentral.proquest.com/lib/istinye/detail.action?docID=4831155</t>
  </si>
  <si>
    <t>Wallenstein : A Dramatic Poem</t>
  </si>
  <si>
    <t>What Works in Conservation : 2017</t>
  </si>
  <si>
    <t>Security in a Small Nation : Scotland, Democracy, Politics</t>
  </si>
  <si>
    <t>Neal, Andrew W.</t>
  </si>
  <si>
    <t>https://ebookcentral.proquest.com/lib/istinye/detail.action?docID=4831158</t>
  </si>
  <si>
    <t>Deliberation, Representation, Equity : Research Approaches, Tools and Algorithms for Participatory Processes</t>
  </si>
  <si>
    <t>Ekenberg, Love</t>
  </si>
  <si>
    <t>Construire des Politiques Alimentaires Urbaines : Concepts et Démarches</t>
  </si>
  <si>
    <t>Brand, Caroline</t>
  </si>
  <si>
    <t>Les Virus : Ennemis Ou Alliés ?</t>
  </si>
  <si>
    <t>Biacchesi, Stéphane</t>
  </si>
  <si>
    <t>Japanese Reflections on World War II and the American Occupation</t>
  </si>
  <si>
    <t>Asian History Ser.</t>
  </si>
  <si>
    <t>Porter, Edgar</t>
  </si>
  <si>
    <t>How Development Projects Persist : Everyday Negotiations with Guatemalan NGOs</t>
  </si>
  <si>
    <t>Beck, Erin</t>
  </si>
  <si>
    <t>HN143</t>
  </si>
  <si>
    <t>https://ebookcentral.proquest.com/lib/istinye/detail.action?docID=4858439</t>
  </si>
  <si>
    <t>La Traction Animale</t>
  </si>
  <si>
    <t>Une Petite Histoire de l'alimentation Française</t>
  </si>
  <si>
    <t>Bellemain, Véronique</t>
  </si>
  <si>
    <t>Twentieth-Century Russian Poetry : Reinventing the Canon</t>
  </si>
  <si>
    <t>Hodgson, Katharine</t>
  </si>
  <si>
    <t>The Idea of Europe : Enlightenment Perspectives</t>
  </si>
  <si>
    <t>Seth, Catriona</t>
  </si>
  <si>
    <t>Just Managing? : What It Means for the Families of Austerity Britain</t>
  </si>
  <si>
    <t>O'Brien, Mark</t>
  </si>
  <si>
    <t>Zombies in Western Culture : A Twenty-First Century Crisis</t>
  </si>
  <si>
    <t>Vervaeke, John</t>
  </si>
  <si>
    <t>L' idée de L'Europe : Au Siècle des Lumières</t>
  </si>
  <si>
    <t>von Kulessa, Rotraud</t>
  </si>
  <si>
    <t>Searching for Sharing : Heritage and Multimedia in Africa</t>
  </si>
  <si>
    <t>Merolla, Daniela</t>
  </si>
  <si>
    <t>Living Territories to Transform the World</t>
  </si>
  <si>
    <t>Caron, Patrick</t>
  </si>
  <si>
    <t>The Hirschfeld Archives : Violence, Death, and Modern Queer Culture</t>
  </si>
  <si>
    <t>Sexuality Studies</t>
  </si>
  <si>
    <t>Bauer, Heike</t>
  </si>
  <si>
    <t>HQ73</t>
  </si>
  <si>
    <t>306.76</t>
  </si>
  <si>
    <t>Sexual minorities--Violence against.</t>
  </si>
  <si>
    <t>https://ebookcentral.proquest.com/lib/istinye/detail.action?docID=4914163</t>
  </si>
  <si>
    <t>Creole Studies - Phylogenetic Approaches</t>
  </si>
  <si>
    <t>Bakker, Peter</t>
  </si>
  <si>
    <t>Imdeduya : Variants of a Myth of Love and Hate from the Trobriand Islands of Papua New Guinea</t>
  </si>
  <si>
    <t>Culture and Language Use Ser.</t>
  </si>
  <si>
    <t>Senft, Gunter</t>
  </si>
  <si>
    <t>GR385.P36</t>
  </si>
  <si>
    <t>Legends--Papua New Guinea--Trobriand Islands.</t>
  </si>
  <si>
    <t>https://ebookcentral.proquest.com/lib/istinye/detail.action?docID=4983489</t>
  </si>
  <si>
    <t>Language and Slavery : A Social and Linguistic History of the Suriname Creoles</t>
  </si>
  <si>
    <t>Creole Language Library</t>
  </si>
  <si>
    <t>Arends, Jacques</t>
  </si>
  <si>
    <t>The Datafied Society : Studying Culture Through Data</t>
  </si>
  <si>
    <t>Schäfer, Mirko Tobias</t>
  </si>
  <si>
    <t>Willensfreiheit</t>
  </si>
  <si>
    <t>Grundthemen Philosophie Ser.</t>
  </si>
  <si>
    <t>Keil, Geert</t>
  </si>
  <si>
    <t>BJ1463.K455 2017</t>
  </si>
  <si>
    <t>123/.5</t>
  </si>
  <si>
    <t>Free will and determinism.</t>
  </si>
  <si>
    <t>https://ebookcentral.proquest.com/lib/istinye/detail.action?docID=5106141</t>
  </si>
  <si>
    <t>Love and Its Critics : From the Song of Songs to Shakespeare and Milton's Eden</t>
  </si>
  <si>
    <t>Bryson, Michael</t>
  </si>
  <si>
    <t>World of Walls : The Structure, Roles and Effectiveness of Separation Barriers</t>
  </si>
  <si>
    <t>Saddiki, Said</t>
  </si>
  <si>
    <t>https://ebookcentral.proquest.com/lib/istinye/detail.action?docID=5115278</t>
  </si>
  <si>
    <t>Ethics for A-Level</t>
  </si>
  <si>
    <t>Dimmock, Mark</t>
  </si>
  <si>
    <t>Die Europaidee Im Zeitalter der Aufklärung</t>
  </si>
  <si>
    <t>Warlike and Peaceful Societies : The Interaction of Genes and Culture</t>
  </si>
  <si>
    <t>Fog, Agner</t>
  </si>
  <si>
    <t>303.4</t>
  </si>
  <si>
    <t>https://ebookcentral.proquest.com/lib/istinye/detail.action?docID=5115282</t>
  </si>
  <si>
    <t>Dickens's Working Notes for 'Dombey and Son'</t>
  </si>
  <si>
    <t>Laing, Tony</t>
  </si>
  <si>
    <t>https://ebookcentral.proquest.com/lib/istinye/detail.action?docID=5115283</t>
  </si>
  <si>
    <t>Understanding Immigration : Issues and Challenges in an Era of Mass Population Movement</t>
  </si>
  <si>
    <t>Hoskin, Marilyn</t>
  </si>
  <si>
    <t>JV6271 .H675 2017</t>
  </si>
  <si>
    <t>325.1</t>
  </si>
  <si>
    <t xml:space="preserve">Emigration and immigration-Government policy-Case studies. </t>
  </si>
  <si>
    <t>Von Kant Zu Schelling : Die Beiden Wege des Deutschen Idealismus</t>
  </si>
  <si>
    <t>Vető, Miklós</t>
  </si>
  <si>
    <t>The Dawn of Dutch : Language Contact in the Western Low Countries Before 1200</t>
  </si>
  <si>
    <t>NOWELE Supplement Ser.</t>
  </si>
  <si>
    <t>de Vaan, Michiel</t>
  </si>
  <si>
    <t>PF715</t>
  </si>
  <si>
    <t>https://ebookcentral.proquest.com/lib/istinye/detail.action?docID=5163005</t>
  </si>
  <si>
    <t>Adjective Adverb Interfaces in Romance</t>
  </si>
  <si>
    <t>Linguistik Aktuell/Linguistics Today Ser.</t>
  </si>
  <si>
    <t>Hummel, Martin</t>
  </si>
  <si>
    <t>Unthinking Mastery : Dehumanism and Decolonial Entanglements</t>
  </si>
  <si>
    <t>Singh, Julietta</t>
  </si>
  <si>
    <t>https://ebookcentral.proquest.com/lib/istinye/detail.action?docID=5173432</t>
  </si>
  <si>
    <t>Language Dispersal Beyond Farming</t>
  </si>
  <si>
    <t>Robbeets, Martine</t>
  </si>
  <si>
    <t>Tratamiento Biológico de Aguas Residuales: Principios, Modelación y Diseño : Principios, Modelación y Diseño</t>
  </si>
  <si>
    <t>Affective Images : Post-Apartheid Documentary Perspectives</t>
  </si>
  <si>
    <t>Kesting, Marietta</t>
  </si>
  <si>
    <t>Toward a Pragmatist Sociology : John Dewey and the Legacy of C. Wright Mills</t>
  </si>
  <si>
    <t>Dunn, Robert G.</t>
  </si>
  <si>
    <t>H61</t>
  </si>
  <si>
    <t>301.01</t>
  </si>
  <si>
    <t xml:space="preserve">Social sciences. </t>
  </si>
  <si>
    <t>Wellbeing, Freedom and Social Justice : The Capability Approach Re-Examined</t>
  </si>
  <si>
    <t>Robeyns, Ingrid</t>
  </si>
  <si>
    <t>306.3</t>
  </si>
  <si>
    <t>https://ebookcentral.proquest.com/lib/istinye/detail.action?docID=5216067</t>
  </si>
  <si>
    <t>Basic Knowledge and Conditions on Knowledge</t>
  </si>
  <si>
    <t>McBride, Mark</t>
  </si>
  <si>
    <t>https://ebookcentral.proquest.com/lib/istinye/detail.action?docID=5216068</t>
  </si>
  <si>
    <t>Modernism and the Spiritual in Russian Art : New Perspectives</t>
  </si>
  <si>
    <t>Hardiman, Louise</t>
  </si>
  <si>
    <t>Vertical Readings in Dante's Comedy : Volume 3</t>
  </si>
  <si>
    <t>Information and Empire : Mechanisms of Communication in Russia, 1600-1854</t>
  </si>
  <si>
    <t>Franklin, Simon</t>
  </si>
  <si>
    <t>Science As Social Existence : Heidegger and the Sociology of Scientific Knowledge</t>
  </si>
  <si>
    <t>Kochan, Jeff</t>
  </si>
  <si>
    <t>Long Narrative Songs from the Mongghul of Northeast Tibet : Texts in Mongghul, Chinese, and English</t>
  </si>
  <si>
    <t>Dechun, Li</t>
  </si>
  <si>
    <t>Anglo-Saxon Literary Landscapes : Ecotheory and the Environmental Imagination</t>
  </si>
  <si>
    <t>Environmental Humanities in Pre-Modern Cultures Ser.</t>
  </si>
  <si>
    <t>Estes, Heide</t>
  </si>
  <si>
    <t>PN1065</t>
  </si>
  <si>
    <t>https://ebookcentral.proquest.com/lib/istinye/detail.action?docID=5216297</t>
  </si>
  <si>
    <t>Women in the Silent Cinema : Histories of Fame and Fate</t>
  </si>
  <si>
    <t>Förster, Annette</t>
  </si>
  <si>
    <t>https://ebookcentral.proquest.com/lib/istinye/detail.action?docID=5219276</t>
  </si>
  <si>
    <t>Kurt Baschwitz : A Pioneer of Communication Studies and Social Psychology</t>
  </si>
  <si>
    <t>van Ginneken, Jaap</t>
  </si>
  <si>
    <t>HN59</t>
  </si>
  <si>
    <t>https://ebookcentral.proquest.com/lib/istinye/detail.action?docID=5231729</t>
  </si>
  <si>
    <t>Medieval Saints and Modern Screens : Divine Visions As Cinematic Experience</t>
  </si>
  <si>
    <t>Knowledge Communities Ser.</t>
  </si>
  <si>
    <t>Spencer-Hall, Alicia</t>
  </si>
  <si>
    <t>791.43/682</t>
  </si>
  <si>
    <t>https://ebookcentral.proquest.com/lib/istinye/detail.action?docID=5231730</t>
  </si>
  <si>
    <t>Making Light : Haydn, Musical Camp, and the Long Shadow of German Idealism</t>
  </si>
  <si>
    <t>Knapp, Raymond</t>
  </si>
  <si>
    <t>ML410</t>
  </si>
  <si>
    <t>780.92</t>
  </si>
  <si>
    <t>https://ebookcentral.proquest.com/lib/istinye/detail.action?docID=5240698</t>
  </si>
  <si>
    <t>God's Babies : Natalism and Bible Interpretation in Modern America</t>
  </si>
  <si>
    <t>McKeown, John</t>
  </si>
  <si>
    <t>Cultural Heritage Ethics : Between Theory and Practice</t>
  </si>
  <si>
    <t>Constantine, Sandis</t>
  </si>
  <si>
    <t>Resemblance and Representation : An Essay in the Philosophy of Pictures</t>
  </si>
  <si>
    <t>Blumson, Ben</t>
  </si>
  <si>
    <t>https://ebookcentral.proquest.com/lib/istinye/detail.action?docID=5253048</t>
  </si>
  <si>
    <t>Democracy and Power : The Delhi Lectures</t>
  </si>
  <si>
    <t>Chomsky, Noam</t>
  </si>
  <si>
    <t>Stories from Quechan Oral Literature</t>
  </si>
  <si>
    <t>Halpern, A. M.</t>
  </si>
  <si>
    <t>L' histoire de l'Inra, Entre Science et Politique</t>
  </si>
  <si>
    <t>Cornu, Pierre</t>
  </si>
  <si>
    <t>Mémento de L'assainissement : Mettre en Oeuvre un Service d'assainissement Complet, Durable et Adapté</t>
  </si>
  <si>
    <t>Gabert, Julien</t>
  </si>
  <si>
    <t>https://ebookcentral.proquest.com/lib/istinye/detail.action?docID=5255604</t>
  </si>
  <si>
    <t>Rancière's Sentiments</t>
  </si>
  <si>
    <t>Panagia, Davide</t>
  </si>
  <si>
    <t>Chinese Surplus : Biopolitical Aesthetics and the Medically Commodified Body</t>
  </si>
  <si>
    <t>Heinrich, Ari Larissa</t>
  </si>
  <si>
    <t>B105</t>
  </si>
  <si>
    <t>https://ebookcentral.proquest.com/lib/istinye/detail.action?docID=5295010</t>
  </si>
  <si>
    <t>Cooking Data : Culture and Politics in an African Research World</t>
  </si>
  <si>
    <t>Critical Global Health: Evidence, Efficacy, Ethnography Ser.</t>
  </si>
  <si>
    <t>Biruk, Cal (Crystal)</t>
  </si>
  <si>
    <t>GN296</t>
  </si>
  <si>
    <t>https://ebookcentral.proquest.com/lib/istinye/detail.action?docID=5322539</t>
  </si>
  <si>
    <t>A Nation on the Line : Call Centers As Postcolonial Predicaments in the Philippines</t>
  </si>
  <si>
    <t>Padios, Jan M.</t>
  </si>
  <si>
    <t>Optimizing Massive MIMO : Precoder Design and Power Allocation</t>
  </si>
  <si>
    <t>Linkopings Universitet</t>
  </si>
  <si>
    <t>Cheng, Hei Victor</t>
  </si>
  <si>
    <t>https://ebookcentral.proquest.com/lib/istinye/detail.action?docID=5347036</t>
  </si>
  <si>
    <t>Trust and Mistrust in the Economies of the China-Russia Borderlands</t>
  </si>
  <si>
    <t>Asian Borderlands Ser.</t>
  </si>
  <si>
    <t>The Jewish Unions in America : Pages of History and Memories</t>
  </si>
  <si>
    <t>Weinstein, Bernard</t>
  </si>
  <si>
    <t>An Anglo-Norman Reader</t>
  </si>
  <si>
    <t>Bliss, Jane</t>
  </si>
  <si>
    <t>https://ebookcentral.proquest.com/lib/istinye/detail.action?docID=5355721</t>
  </si>
  <si>
    <t>Text Genetics in Literary Modernism and Other Essays</t>
  </si>
  <si>
    <t>Gabler, Hans Walter</t>
  </si>
  <si>
    <t>Human and Machine Consciousness</t>
  </si>
  <si>
    <t>Gamez, David</t>
  </si>
  <si>
    <t>Yeats's Legacies : Yeats Annual No. 21</t>
  </si>
  <si>
    <t>https://ebookcentral.proquest.com/lib/istinye/detail.action?docID=5355724</t>
  </si>
  <si>
    <t>Remote Capture : Digitising Documentary Heritage in Challenging Locations</t>
  </si>
  <si>
    <t>Open Field Guides Ser.</t>
  </si>
  <si>
    <t>Sutherland, Patrick</t>
  </si>
  <si>
    <t>Mobilities, Boundaries, and Travelling Ideas : Rethinking Translocality Beyond Central Asia and the Caucasus</t>
  </si>
  <si>
    <t>Stephan-Emmrich, Manja</t>
  </si>
  <si>
    <t>Tales of Darkness and Light : Soso Tham's the Old Days of the Khasis</t>
  </si>
  <si>
    <t>Tham, Soso</t>
  </si>
  <si>
    <t>Growing up on the Trobriand Islands in Papua New Guinea : Childhood and Educational Ideologies in Tauwema</t>
  </si>
  <si>
    <t>Senft, Barbara</t>
  </si>
  <si>
    <t>Making the Medieval Relevant : How Medieval Studies Contribute to Improving Our Understanding of the Present</t>
  </si>
  <si>
    <t>Das Mittelalter. Perspektiven Mediävistischer Forschung. Beihefte Ser.</t>
  </si>
  <si>
    <t>Jones, Chris</t>
  </si>
  <si>
    <t>The Poetry and Prose of Wang Wei : Volume I</t>
  </si>
  <si>
    <t>Poetics and Politics : Net Structures and Agencies in Early Modern Drama</t>
  </si>
  <si>
    <t>Bernhart, Toni</t>
  </si>
  <si>
    <t>Esse 2017 : Proceedings of the International Conference on Environmental Science and Sustainable Energy Ed. by ZhaoYang Dong</t>
  </si>
  <si>
    <t>De Gruyter Proceedings Ser.</t>
  </si>
  <si>
    <t>Wang, Yong</t>
  </si>
  <si>
    <t>Ontological Terror : Blackness, Nihilism, and Emancipation</t>
  </si>
  <si>
    <t>Warren, Calvin L.</t>
  </si>
  <si>
    <t>HT1523</t>
  </si>
  <si>
    <t>https://ebookcentral.proquest.com/lib/istinye/detail.action?docID=5389606</t>
  </si>
  <si>
    <t>Socrates, or on Human Knowledge : Bilingual Edition</t>
  </si>
  <si>
    <t>Studies and Texts in Scepticism Ser.</t>
  </si>
  <si>
    <t>Luzzatto, Simone</t>
  </si>
  <si>
    <t>Theatre Cultures Within Globalising Empires : Looking at Early Modern England and Spain</t>
  </si>
  <si>
    <t>Dividing Texts : Conventions of Visual Text-Organisation in Nepalese and North Indian Manuscripts</t>
  </si>
  <si>
    <t>Bhattarai, Bidur</t>
  </si>
  <si>
    <t>Scepticism and Anti-Scepticism in Medieval Jewish Philosophy and Thought</t>
  </si>
  <si>
    <t>Wirklichkeit Oder Konstruktion? : Sprachtheoretische und Interdisziplinäre Aspekte Einer Brisanten Alternative</t>
  </si>
  <si>
    <t>Felder, Ekkehard</t>
  </si>
  <si>
    <t>The Works of Li Qingzhao : China's Foremost Woman Poet</t>
  </si>
  <si>
    <t>Egan, Ronald</t>
  </si>
  <si>
    <t>The Discursive Construction of Identities on- and Offline : Personal - Group - Collective</t>
  </si>
  <si>
    <t>Bös, Birte</t>
  </si>
  <si>
    <t>Fire and Snow : Climate Fiction from the Inklings to Game of Thrones</t>
  </si>
  <si>
    <t>DiPaolo, Marc</t>
  </si>
  <si>
    <t>823/.0876609</t>
  </si>
  <si>
    <t>https://ebookcentral.proquest.com/lib/istinye/detail.action?docID=5473315</t>
  </si>
  <si>
    <t>Persuasion in Public Discourse : Cognitive and Functional Perspectives</t>
  </si>
  <si>
    <t>Pelclová, Jana</t>
  </si>
  <si>
    <t>The Poetry of Ruan Ji and Xi Kang</t>
  </si>
  <si>
    <t>SignGram Blueprint : A Guide to Sign Language Grammar Writing</t>
  </si>
  <si>
    <t>De Gruyter Reference Ser.</t>
  </si>
  <si>
    <t>Quer, Josep</t>
  </si>
  <si>
    <t>Commercial Communication in the Digital Age : Information or Disinformation?</t>
  </si>
  <si>
    <t>Age of Access? Grundfragen der Informationsgesellschaft Ser.</t>
  </si>
  <si>
    <t>Siegert, Gabriele</t>
  </si>
  <si>
    <t>Beyond Priesthood : Religious Entrepreneurs and Innovators in the Roman Empire</t>
  </si>
  <si>
    <t>Gordon, Richard L.</t>
  </si>
  <si>
    <t>Superconductors at the Nanoscale : From Basic Research to Applications</t>
  </si>
  <si>
    <t>Wördenweber, Roger</t>
  </si>
  <si>
    <t>Organized Secularism in the United States : New Directions in Research</t>
  </si>
  <si>
    <t>Religion and Its Others Ser.</t>
  </si>
  <si>
    <t>Cragun, Ryan T.</t>
  </si>
  <si>
    <t>Sprache in Wissenschaft und Dichtung : Diskursive Formationen Von Mathematik, Physik, Logik und Dichtung Im 17. und 18. Jahrhundert</t>
  </si>
  <si>
    <t>Illi, Manuel</t>
  </si>
  <si>
    <t>https://ebookcentral.proquest.com/lib/istinye/detail.action?docID=5493944</t>
  </si>
  <si>
    <t>Die Werkstatt des Dichters : Imaginationsräume Literarischer Produktion</t>
  </si>
  <si>
    <t>Literatur und Archiv Ser.</t>
  </si>
  <si>
    <t>Kastberger, Klaus</t>
  </si>
  <si>
    <t>The Psychology of Social Networking Vol. 2 : Identity and Relationships in Online Communities</t>
  </si>
  <si>
    <t>The Linguistic Integration of Adult Migrants / l'intégration Linguistique des Migrants Adultes : Some Lessons from Research / les Enseignements de la Recherche</t>
  </si>
  <si>
    <t>Maria in Hymnus und Sequenz : Interdisziplinäre Mediävistische Perspektiven</t>
  </si>
  <si>
    <t>Liturgie und Volkssprache Ser.</t>
  </si>
  <si>
    <t>Rothenberger, Eva</t>
  </si>
  <si>
    <t>Biodiversity in Agricultural Landscapes of Southeastern Brazil</t>
  </si>
  <si>
    <t>Gheler-Costa, Carla</t>
  </si>
  <si>
    <t>Current Trends in Historical Sociolinguistics</t>
  </si>
  <si>
    <t>Russi, Cinzia</t>
  </si>
  <si>
    <t>P140</t>
  </si>
  <si>
    <t>417.7</t>
  </si>
  <si>
    <t>https://ebookcentral.proquest.com/lib/istinye/detail.action?docID=5493951</t>
  </si>
  <si>
    <t>Doing Applied Linguistics : Enabling Transdisciplinary Communication</t>
  </si>
  <si>
    <t>De Gruyter Collection</t>
  </si>
  <si>
    <t>Perrin, Daniel</t>
  </si>
  <si>
    <t>Planning to Cope with Tropical and Subtropical Climate Change</t>
  </si>
  <si>
    <t>Tiepolo, Maurizio</t>
  </si>
  <si>
    <t>Augmented Reality : Reflections on Its Contribution to Knowledge Formation</t>
  </si>
  <si>
    <t>Berlin Studies in Knowledge Research Ser.</t>
  </si>
  <si>
    <t>Ariso, José María</t>
  </si>
  <si>
    <t>https://ebookcentral.proquest.com/lib/istinye/detail.action?docID=5493954</t>
  </si>
  <si>
    <t>Western-Pontic Culture Ambience and Pattern : In Memory of Eugen Comsa</t>
  </si>
  <si>
    <t>Nikolova, Lolita</t>
  </si>
  <si>
    <t>Farewell to Shulamit : Spatial and Social Diversity in the Song of Songs</t>
  </si>
  <si>
    <t>Wilke, Carsten</t>
  </si>
  <si>
    <t>https://ebookcentral.proquest.com/lib/istinye/detail.action?docID=5493956</t>
  </si>
  <si>
    <t>Commentary on the Gospels : English Translation and Introduction</t>
  </si>
  <si>
    <t>Corpus Scriptorum Ecclesiasticorum Latinorum Ser.</t>
  </si>
  <si>
    <t>Fortunatianus Aquileiensis, Fortunatianus</t>
  </si>
  <si>
    <t>Embodying the Vedas : Traditional Vedic Schools of Contemporary Maharashtra</t>
  </si>
  <si>
    <t>Larios, Borayin</t>
  </si>
  <si>
    <t>https://ebookcentral.proquest.com/lib/istinye/detail.action?docID=5493958</t>
  </si>
  <si>
    <t>A Prehistory of Hinduism</t>
  </si>
  <si>
    <t>Devadevan, Manu V.</t>
  </si>
  <si>
    <t>Play Development in Children with Disabilties</t>
  </si>
  <si>
    <t>Besio, Serenella</t>
  </si>
  <si>
    <t>Yearbook of the Maimonides Centre for Advanced Studies. 2017 : Yearbook of the Maimonides Centre for Advanced Studies</t>
  </si>
  <si>
    <t>Jewish Thought, Philosophy, and Religion</t>
  </si>
  <si>
    <t>Rebiger, Bill</t>
  </si>
  <si>
    <t>Zwischen Literatur und Naturwissenschaft : Debatten - Probleme - Visionen 1680-1820</t>
  </si>
  <si>
    <t>Freiburg, Rudolf</t>
  </si>
  <si>
    <t>Filmische Poetiken der Schuld : Die Audiovisuelle Anklage der Sinne Als Modalität des Gemeinschaftsempfindens</t>
  </si>
  <si>
    <t>Grotkopp, Matthias</t>
  </si>
  <si>
    <t>https://ebookcentral.proquest.com/lib/istinye/detail.action?docID=5493963</t>
  </si>
  <si>
    <t>Writing Matters : Presenting and Perceiving Monumental Inscriptions in Antiquity and the Middle Ages</t>
  </si>
  <si>
    <t>Berti, Irene</t>
  </si>
  <si>
    <t>Deep Stories : Practicing, Teaching, and Learning Anthropology with Digital Storytelling</t>
  </si>
  <si>
    <t>Nuñez-Janes, Mariela</t>
  </si>
  <si>
    <t>Derrida on Being As Presence : Questions and Quests</t>
  </si>
  <si>
    <t>White, David A.</t>
  </si>
  <si>
    <t>Manuscripts and Archives : Comparative Views on Record-Keeping</t>
  </si>
  <si>
    <t>Bausi, Alessandro</t>
  </si>
  <si>
    <t>The Arts and Crafts of Literacy : Islamic Manuscript Cultures in Sub-Saharan Africa</t>
  </si>
  <si>
    <t>Brigaglia, Andrea</t>
  </si>
  <si>
    <t>Institutional Change in the Public Sphere : Views on the Nordic Model</t>
  </si>
  <si>
    <t>Jewish Manuscript Cultures : New Perspectives</t>
  </si>
  <si>
    <t>Wandrey, Irina</t>
  </si>
  <si>
    <t>Linear Algebra : A Course for Physicists and Engineers</t>
  </si>
  <si>
    <t>De Gruyter Textbook Ser.</t>
  </si>
  <si>
    <t>Mathai, Arak M.</t>
  </si>
  <si>
    <t>Digital Papyrology I : Methods, Tools and Trends</t>
  </si>
  <si>
    <t>Reggiani, Nicola</t>
  </si>
  <si>
    <t>870.9</t>
  </si>
  <si>
    <t>https://ebookcentral.proquest.com/lib/istinye/detail.action?docID=5493985</t>
  </si>
  <si>
    <t>IFLA's First Fifty Years : Achievement and Challenge in International Librarianship</t>
  </si>
  <si>
    <t>Koops, Willem Roelf Henderikus</t>
  </si>
  <si>
    <t>Le Diplomate Au Travail : Entscheidungsprozesse, Information und Kommunikation Im Umkreis des Westfälischen Friedenskongresses</t>
  </si>
  <si>
    <t>Babel, Rainer</t>
  </si>
  <si>
    <t>https://ebookcentral.proquest.com/lib/istinye/detail.action?docID=5494130</t>
  </si>
  <si>
    <t>Ninth European Powder Diffraction Conference : Prague, September 2-5 2004</t>
  </si>
  <si>
    <t>Zeitschrift Für Kristallographie / Supplemente Ser.</t>
  </si>
  <si>
    <t>Walter de Gruyter</t>
  </si>
  <si>
    <t>Fifth Size Strain Conference. Diffraction Analysis of the Microstructure of Materials : Garmisch-Partenkirchen, October 7-9 2007</t>
  </si>
  <si>
    <t>Tenth European Powder Diffraction Conference : Geneva, September 1-4 2006</t>
  </si>
  <si>
    <t>Eleventh European Powder Diffraction Conference : Warsaw, September 19-22 2008</t>
  </si>
  <si>
    <t>The British and Irish Ruling Class 1660-1945 Vol. 2</t>
  </si>
  <si>
    <t>Wasson, Ellis A.</t>
  </si>
  <si>
    <t>328.41092/2</t>
  </si>
  <si>
    <t>https://ebookcentral.proquest.com/lib/istinye/detail.action?docID=5494918</t>
  </si>
  <si>
    <t>Muslims and Christians in the Bulgarian Rhodopes : Studies on Religious (Anti)Syncretism</t>
  </si>
  <si>
    <t>Lubanska, Magdalena</t>
  </si>
  <si>
    <t>Users' Needs Report on Play for Children with Disabilities : Parents' and Children's Views</t>
  </si>
  <si>
    <t>Sciendo Migration</t>
  </si>
  <si>
    <t>Allodi Westling, Mara</t>
  </si>
  <si>
    <t>Advanced Composite Materials: Properties and Applications</t>
  </si>
  <si>
    <t>Bafekrpour, Ehsan</t>
  </si>
  <si>
    <t>Europe in Green : European Environmental Democracy</t>
  </si>
  <si>
    <t>https://ebookcentral.proquest.com/lib/istinye/detail.action?docID=5494924</t>
  </si>
  <si>
    <t>Novel Molecular Approaches to Target Microbial Virulence</t>
  </si>
  <si>
    <t>Holban, Alina Maria</t>
  </si>
  <si>
    <t>The Roots of Respect : A Historic-Philosophical Itinerary</t>
  </si>
  <si>
    <t>Giorgini, Giovanni</t>
  </si>
  <si>
    <t>Weißbuch Konservative Orthopädie und Unfallchirurgie</t>
  </si>
  <si>
    <t>Psczolla, Matthias</t>
  </si>
  <si>
    <t>The Concept of Constitution in the History of Political Thought</t>
  </si>
  <si>
    <t>Górnisiewicz, Arkadiusz</t>
  </si>
  <si>
    <t>Human Computer Confluence : Transforming Human Experience Through Symbiotic Technologies</t>
  </si>
  <si>
    <t>Gaggioli, Andrea</t>
  </si>
  <si>
    <t>Kinetic Landscapes : The Cide Archaeological Project: Surveying the Turkish Western Black Sea Region</t>
  </si>
  <si>
    <t>Düring, Bleda S.</t>
  </si>
  <si>
    <t>Barriers to Play and Recreation for Children and Young People with Disabilities : Exploring Environmental Factors</t>
  </si>
  <si>
    <t>Barron, Carol</t>
  </si>
  <si>
    <t>Measure Theory in Non-Smooth Spaces</t>
  </si>
  <si>
    <t>Gigli, Nicola</t>
  </si>
  <si>
    <t>https://ebookcentral.proquest.com/lib/istinye/detail.action?docID=5494949</t>
  </si>
  <si>
    <t>Dynamics of Architecture in Late Baroque Rome : Cardinal Pietro Ottoboni at the Cancelleria</t>
  </si>
  <si>
    <t>Olszewski, Edward</t>
  </si>
  <si>
    <t>Non-Extensive Entropy Econometrics for Low Frequency Series : National Accounts-Based Inverse Problems</t>
  </si>
  <si>
    <t>Bwanakare, Second</t>
  </si>
  <si>
    <t>https://ebookcentral.proquest.com/lib/istinye/detail.action?docID=5494957</t>
  </si>
  <si>
    <t>Shape Optimization and Spectral Theory</t>
  </si>
  <si>
    <t>Henrot, Antoine</t>
  </si>
  <si>
    <t>https://ebookcentral.proquest.com/lib/istinye/detail.action?docID=5494961</t>
  </si>
  <si>
    <t>Theater Im Gespräch : Sprachliche Publikumspraktiken in der Theaterpause</t>
  </si>
  <si>
    <t>Gerwinski, Jan</t>
  </si>
  <si>
    <t>Moderate Fundamentalists : Ahmadiyya Muslim Jama'at in the Lens of Cognitive Science of Religion</t>
  </si>
  <si>
    <t>Upal, Muhammad Afzal</t>
  </si>
  <si>
    <t>200.19</t>
  </si>
  <si>
    <t>https://ebookcentral.proquest.com/lib/istinye/detail.action?docID=5494967</t>
  </si>
  <si>
    <t>Governance of a Distant Province in the Middle Ages : Case Study on Upper Lusatia</t>
  </si>
  <si>
    <t>Fokt, Krzysztof</t>
  </si>
  <si>
    <t>https://ebookcentral.proquest.com/lib/istinye/detail.action?docID=5494971</t>
  </si>
  <si>
    <t>The British and Irish Ruling Class 1660-1945 Vol. 1</t>
  </si>
  <si>
    <t>https://ebookcentral.proquest.com/lib/istinye/detail.action?docID=5494975</t>
  </si>
  <si>
    <t>Un(intended) Language Planning in a Globalising World: Multiple Levels of Players at Work</t>
  </si>
  <si>
    <t>CHUA Siew Kheng, Catherine</t>
  </si>
  <si>
    <t>https://ebookcentral.proquest.com/lib/istinye/detail.action?docID=5494977</t>
  </si>
  <si>
    <t>Health Promotion at School : Pedagogical Aspects and Practical Implications</t>
  </si>
  <si>
    <t>Knisel, Elke</t>
  </si>
  <si>
    <t>Health</t>
  </si>
  <si>
    <t>https://ebookcentral.proquest.com/lib/istinye/detail.action?docID=5494979</t>
  </si>
  <si>
    <t>Proceedings from the ICERP 2016 : International Conference on Environmental Research and Public Health</t>
  </si>
  <si>
    <t>Zuo, Yuegang</t>
  </si>
  <si>
    <t>Recent Developments in Nonlocal Theory</t>
  </si>
  <si>
    <t>Palatucci, Giampiero</t>
  </si>
  <si>
    <t>Quo Vadis, Medicus? : Health Behaviour among Health Professionals and Students</t>
  </si>
  <si>
    <t>Laudanska-Krzeminska, Ida</t>
  </si>
  <si>
    <t>RC965.M39</t>
  </si>
  <si>
    <t>610.69</t>
  </si>
  <si>
    <t>https://ebookcentral.proquest.com/lib/istinye/detail.action?docID=5494982</t>
  </si>
  <si>
    <t>Undocumented Migrants and Healthcare : Eight Stories from Switzerland</t>
  </si>
  <si>
    <t>Jossen, Marianne</t>
  </si>
  <si>
    <t>https://ebookcentral.proquest.com/lib/istinye/detail.action?docID=5495468</t>
  </si>
  <si>
    <t>Exploring the Interior : Essays on Literary and Cultural History</t>
  </si>
  <si>
    <t>Guthke, Karl S.</t>
  </si>
  <si>
    <t>809/.033</t>
  </si>
  <si>
    <t>https://ebookcentral.proquest.com/lib/istinye/detail.action?docID=5495469</t>
  </si>
  <si>
    <t>The Juggler of Notre Dame and the Medievalizing of Modernity : Volume 1: the Middle Ages</t>
  </si>
  <si>
    <t>Ziolkowski, Jan M.</t>
  </si>
  <si>
    <t>841.1</t>
  </si>
  <si>
    <t>https://ebookcentral.proquest.com/lib/istinye/detail.action?docID=5495470</t>
  </si>
  <si>
    <t>What Works in Conservation : 2018</t>
  </si>
  <si>
    <t>What Works in Conservation Ser.</t>
  </si>
  <si>
    <t>The Juggler of Notre Dame and the Medievalizing of Modernity : Volume 2: Medieval Meets Medievalism</t>
  </si>
  <si>
    <t>https://ebookcentral.proquest.com/lib/istinye/detail.action?docID=5495472</t>
  </si>
  <si>
    <t>Don Carlos Infante of Spain : A Dramatic Poem</t>
  </si>
  <si>
    <t>Europa Im Geisterkrieg. Studien Zu Nietzsche</t>
  </si>
  <si>
    <t>Stegmaier, Werner</t>
  </si>
  <si>
    <t>Technicolored : Reflections on Race in the Time of TV</t>
  </si>
  <si>
    <t>A Camera Obscura Book Ser.</t>
  </si>
  <si>
    <t>duCille, Ann</t>
  </si>
  <si>
    <t>https://ebookcentral.proquest.com/lib/istinye/detail.action?docID=5495918</t>
  </si>
  <si>
    <t>L' eutrophisation : Manifestations, Causes, Conséquences et Prédictibilité</t>
  </si>
  <si>
    <t>Pinay, Gilles</t>
  </si>
  <si>
    <t>American Classics : Evolutionary Perspectives</t>
  </si>
  <si>
    <t>Evolution, Cognition, and the Arts Ser.</t>
  </si>
  <si>
    <t>Saunders, Judith P.</t>
  </si>
  <si>
    <t>810.9</t>
  </si>
  <si>
    <t>https://ebookcentral.proquest.com/lib/istinye/detail.action?docID=5497069</t>
  </si>
  <si>
    <t>Migrants and City-Making : Dispossession, Displacement, and Urban Regeneration</t>
  </si>
  <si>
    <t>Çaglar, Ayse</t>
  </si>
  <si>
    <t>Borders and Mobility in South Asia and Beyond</t>
  </si>
  <si>
    <t>Jones, Reece</t>
  </si>
  <si>
    <t>Ästhetik des Gemachten : Interdisziplinäre Beiträge Zur Animations- und Comicforschung</t>
  </si>
  <si>
    <t>Backe, Hans-Joachim</t>
  </si>
  <si>
    <t>Innovation et développement Dans les Systèmes Agricoles et Alimentaires</t>
  </si>
  <si>
    <t>Material Aspects of Letter Writing in the Graeco-Roman World : C. 500 BC - C. AD 300</t>
  </si>
  <si>
    <t>Sarri, Antonia</t>
  </si>
  <si>
    <t>Studies on Greek and Coptic Majuscule Scripts and Books</t>
  </si>
  <si>
    <t>Orsini, Pasquale</t>
  </si>
  <si>
    <t>Papierherstellung Im Deutschen Südwesten : Ein Neues Gewerbe Im Späten Mittelalter</t>
  </si>
  <si>
    <t>https://ebookcentral.proquest.com/lib/istinye/detail.action?docID=5507666</t>
  </si>
  <si>
    <t>Image - Action - Space : Situating the Screen in Visual Practice</t>
  </si>
  <si>
    <t>Feiersinger, Luisa</t>
  </si>
  <si>
    <t>Sportfunktionäre und Jüdische Differenz : Zwischen Anerkennung und Antisemitismus - Wien 1918 Bis 1938</t>
  </si>
  <si>
    <t>Hachleitner, Bernhard</t>
  </si>
  <si>
    <t>Regionalismen</t>
  </si>
  <si>
    <t>Dialektik des Globalen. Kernbegriffe Ser.</t>
  </si>
  <si>
    <t>Engel, Ulf</t>
  </si>
  <si>
    <t>https://ebookcentral.proquest.com/lib/istinye/detail.action?docID=5511083</t>
  </si>
  <si>
    <t>Konstruktion Von Sprache und Sprachwissen : Eine Empirische Studie Zur Schriftsprachaneignung Sprachstarker und Sprachschwacher Kinder</t>
  </si>
  <si>
    <t>Reihe Germanistische Linguistik Ser.</t>
  </si>
  <si>
    <t>Schaller, Pascale</t>
  </si>
  <si>
    <t>https://ebookcentral.proquest.com/lib/istinye/detail.action?docID=5511084</t>
  </si>
  <si>
    <t>Rewriting Maimonides : Early Commentaries on the Guide of the Perplexed</t>
  </si>
  <si>
    <t>De Souza, Igor H.</t>
  </si>
  <si>
    <t>BM545.D35R49 2018</t>
  </si>
  <si>
    <t>https://ebookcentral.proquest.com/lib/istinye/detail.action?docID=5511085</t>
  </si>
  <si>
    <t>The Cultural Net : Early Modern Drama As a Paradigm</t>
  </si>
  <si>
    <t>https://ebookcentral.proquest.com/lib/istinye/detail.action?docID=5511086</t>
  </si>
  <si>
    <t>Crossroads of Colonial Cultures : Caribbean Literatures in the Age of Revolution</t>
  </si>
  <si>
    <t>Müller, Gesine</t>
  </si>
  <si>
    <t>840.9/9729</t>
  </si>
  <si>
    <t>https://ebookcentral.proquest.com/lib/istinye/detail.action?docID=5511087</t>
  </si>
  <si>
    <t>Probability and Statistics : A Course for Physicists and Engineers</t>
  </si>
  <si>
    <t>The Nivison Annals : Selected Works of David S. Nivison on Early Chinese Chronology, Astronomy, and Historiography</t>
  </si>
  <si>
    <t>Library of Sinology [LOS] Ser.</t>
  </si>
  <si>
    <t>Nivison, David S.</t>
  </si>
  <si>
    <t>Archive Für Literatur : Der Nachlass und Seine Ordnungen</t>
  </si>
  <si>
    <t>Dallinger, Petra-Maria</t>
  </si>
  <si>
    <t>Wirtschaft und Wirtschaftspolitik in Deutschland : 75 Jahre RWI - Leibniz-Institut Für Wirtschaftsforschung E. V. 1943-2018</t>
  </si>
  <si>
    <t>Jahrbuch Für Wirtschaftsgeschichte. Beihefte Ser.</t>
  </si>
  <si>
    <t>Pierenkemper, Toni</t>
  </si>
  <si>
    <t>Digital Papyrology II : Case Studies on the Digital Edition of Ancient Greek Papyri</t>
  </si>
  <si>
    <t>Contesting Religion : The Media Dynamics of Cultural Conflicts in Scandinavia</t>
  </si>
  <si>
    <t>Lundby, Knut</t>
  </si>
  <si>
    <t>Die Sprache der Mainzer Republik (1792/93) : Historisch-Semantische Untersuchungen Zur Politischen Kommunikation</t>
  </si>
  <si>
    <t>Herrgen, Joachim</t>
  </si>
  <si>
    <t>PF5444.M3H47 2000</t>
  </si>
  <si>
    <t>https://ebookcentral.proquest.com/lib/istinye/detail.action?docID=5511095</t>
  </si>
  <si>
    <t>Wir Sind Nicht Auf der Welt, Um Zu Schweigen : Eine Einleitung in Die Rhetorik</t>
  </si>
  <si>
    <t>Kopperschmidt, Josef</t>
  </si>
  <si>
    <t>List Cultures : Knowledge and Poetics from Mesopotamia to BuzzFeed</t>
  </si>
  <si>
    <t>Young, Liam</t>
  </si>
  <si>
    <t>HM651</t>
  </si>
  <si>
    <t>https://ebookcentral.proquest.com/lib/istinye/detail.action?docID=5513119</t>
  </si>
  <si>
    <t>Gendered Temporalities in the Early Modern World</t>
  </si>
  <si>
    <t>Gendering the Late Medieval and Early Modern World Ser.</t>
  </si>
  <si>
    <t>Wiesner-Hanks, Merry</t>
  </si>
  <si>
    <t>https://ebookcentral.proquest.com/lib/istinye/detail.action?docID=5515154</t>
  </si>
  <si>
    <t>On Self-Translation : Meditations on Language</t>
  </si>
  <si>
    <t>Stavans, Ilan</t>
  </si>
  <si>
    <t>418/.02</t>
  </si>
  <si>
    <t>https://ebookcentral.proquest.com/lib/istinye/detail.action?docID=5515183</t>
  </si>
  <si>
    <t>English Aristocratic Women and the Fabric of Piety, 1450-1550 : The Fabric of Piety</t>
  </si>
  <si>
    <t>J. Harris, Barbara</t>
  </si>
  <si>
    <t>Current Trends inComputer Science andMechanical Automation Vol. 2 : Selected Papers from CSMA2016</t>
  </si>
  <si>
    <t>Wang, Shawn X.</t>
  </si>
  <si>
    <t>https://ebookcentral.proquest.com/lib/istinye/detail.action?docID=5517365</t>
  </si>
  <si>
    <t>Greek Medical Papyri : Text, Context, Hypertext</t>
  </si>
  <si>
    <t>Archiv Für Papyrusforschung und Verwandte Gebiete - Beihefte Ser.</t>
  </si>
  <si>
    <t>https://ebookcentral.proquest.com/lib/istinye/detail.action?docID=5517374</t>
  </si>
  <si>
    <t>Current Trends inComputer Science andMechanical Automation Vol. 1 : Selected Papers from CSMA2016</t>
  </si>
  <si>
    <t>https://ebookcentral.proquest.com/lib/istinye/detail.action?docID=5517379</t>
  </si>
  <si>
    <t>Coming of Age in Byzantium : Adolescence and Society</t>
  </si>
  <si>
    <t>https://ebookcentral.proquest.com/lib/istinye/detail.action?docID=5517386</t>
  </si>
  <si>
    <t>Garbage Citizenship : Vital Infrastructures of Labor in Dakar, Senegal</t>
  </si>
  <si>
    <t>Fredericks, Rosalind</t>
  </si>
  <si>
    <t>JQ3396</t>
  </si>
  <si>
    <t>https://ebookcentral.proquest.com/lib/istinye/detail.action?docID=5520790</t>
  </si>
  <si>
    <t>Storytelling : The Destruction of the Inalienable in the Age of the Holocaust</t>
  </si>
  <si>
    <t>SUNY Series, Literature ... in Theory Ser.</t>
  </si>
  <si>
    <t>Gasché, Rodolphe</t>
  </si>
  <si>
    <t>https://ebookcentral.proquest.com/lib/istinye/detail.action?docID=5521034</t>
  </si>
  <si>
    <t>Christian Metz and the Codes of Cinema : Film Semiology and Beyond</t>
  </si>
  <si>
    <t>Film Theory in Media History Ser.</t>
  </si>
  <si>
    <t>Tröhler, Margrit</t>
  </si>
  <si>
    <t>Advancing the Learning Agenda in Jewish Education</t>
  </si>
  <si>
    <t>Aspectuality : An Onomasiological Model Applied to the Romance Languages</t>
  </si>
  <si>
    <t>Dessì Schmid, Sarah</t>
  </si>
  <si>
    <t>https://ebookcentral.proquest.com/lib/istinye/detail.action?docID=5525591</t>
  </si>
  <si>
    <t>Tempi der Bewegung - Modi des Gefühls : Expressivität, Heitere Affekte und Die Screwball Comedy</t>
  </si>
  <si>
    <t>Greifenstein, Sarah</t>
  </si>
  <si>
    <t>Lived Religion in the Ancient Mediterranean World : Approaching Religious Transformations from Archaeology, History and Classics</t>
  </si>
  <si>
    <t>Gasparini, Valentino</t>
  </si>
  <si>
    <t>Assyrian and Babylonian Scholarly Text Catalogues : Medicine, Magic and Divination</t>
  </si>
  <si>
    <t>Steinert, Ulrike</t>
  </si>
  <si>
    <t>Fabellae : Frammenti Di Favole Latine e Bilingui Latino-Greche Di Tradizione Diretta (III-IV D. C. )</t>
  </si>
  <si>
    <t>Untersuchungen Zur Antiken Literatur und Geschichte Ser.</t>
  </si>
  <si>
    <t>Scappaticcio, Maria Chiara</t>
  </si>
  <si>
    <t>Mesopotamian Eye Disease Texts : The Nineveh Treatise</t>
  </si>
  <si>
    <t>Geller, Markham J.</t>
  </si>
  <si>
    <t>Blumen : Historisch-Kritische Ausgabe</t>
  </si>
  <si>
    <t>Schwentner, Isabella</t>
  </si>
  <si>
    <t>Re-Mapping World Literature : Writing, Book Markets and Epistemologies Between Latin America and the Global South / Escrituras, Mercados y Epistemologías Entre América Latina y el Sur Global</t>
  </si>
  <si>
    <t>Latin American Literatures in the World / Literaturas Latinoamericanas en el Mundo Ser.</t>
  </si>
  <si>
    <t>Der Deutsche Staat Im Jahre 1945 und Seither. Die Berufsbeamten und Die Staatskrisen</t>
  </si>
  <si>
    <t>Heydte, August von der</t>
  </si>
  <si>
    <t>Digital Sound Studies</t>
  </si>
  <si>
    <t>Lingold, Mary Caton</t>
  </si>
  <si>
    <t>ANZUS and the Early Cold War : Strategy and Diplomacy Between Australia, New Zealand and the United States, 1945-1956</t>
  </si>
  <si>
    <t>Kelly, Andrew</t>
  </si>
  <si>
    <t>https://ebookcentral.proquest.com/lib/istinye/detail.action?docID=5527494</t>
  </si>
  <si>
    <t>With and Without Galton : Vasilii Florinskii and the Fate of Eugenics in Russia</t>
  </si>
  <si>
    <t>Krementsov, Nikolai</t>
  </si>
  <si>
    <t>The Juggler of Notre Dame and the Medievalizing of Modernity : Volume 3: the American Middle Ages</t>
  </si>
  <si>
    <t>https://ebookcentral.proquest.com/lib/istinye/detail.action?docID=5527496</t>
  </si>
  <si>
    <t>The Red Countess : Select Autobiographical and Fictional Writing of Hermynia Zur Mühlen (1883-1951)</t>
  </si>
  <si>
    <t>Zur Mühlen, Hermynia</t>
  </si>
  <si>
    <t>Cicero, Philippic 2, 44-50, 78-92, 100-119 : Latin Text, Study Aids with Vocabulary, and Commentary</t>
  </si>
  <si>
    <t>https://ebookcentral.proquest.com/lib/istinye/detail.action?docID=5527498</t>
  </si>
  <si>
    <t>Race and Rurality in the Global Economy</t>
  </si>
  <si>
    <t>Crichlow, Michaeline A.</t>
  </si>
  <si>
    <t>The Oracle Bone Inscriptions from Huayuanzhuang East : Translated with an Introduction and Commentary</t>
  </si>
  <si>
    <t>Schwartz, Adam C.</t>
  </si>
  <si>
    <t>Housing Capital : Resource and Representation</t>
  </si>
  <si>
    <t>Derix, Simone</t>
  </si>
  <si>
    <t>Making Religion and Human Rights at the United Nations</t>
  </si>
  <si>
    <t>Religion and Society Ser.</t>
  </si>
  <si>
    <t>Årsheim, Helge</t>
  </si>
  <si>
    <t>Graffiti Als Interaktionsform : Geritzte Inschriften in Den Wohnhäusern Pompejis</t>
  </si>
  <si>
    <t>Lohmann, Polly</t>
  </si>
  <si>
    <t>Das Steininschriftenprojekt des Wolkenheimklosters Während der Liao-Dynastie (907-1125) : Eine Analyse Seiner Kolophone</t>
  </si>
  <si>
    <t>Chuang, Hui-Ping</t>
  </si>
  <si>
    <t>After Ethnos</t>
  </si>
  <si>
    <t>Rees, Tobias</t>
  </si>
  <si>
    <t>GN33</t>
  </si>
  <si>
    <t>142.42</t>
  </si>
  <si>
    <t>94.95</t>
  </si>
  <si>
    <t>https://ebookcentral.proquest.com/lib/istinye/detail.action?docID=5560069</t>
  </si>
  <si>
    <t>Die Revokation des Edikts Von Nantes und Die Protestanten in Südostfrankreich (Provence und Dauphiné) 1685-1730</t>
  </si>
  <si>
    <t>Bernard, Anna</t>
  </si>
  <si>
    <t>BR845.B435 2003</t>
  </si>
  <si>
    <t>https://ebookcentral.proquest.com/lib/istinye/detail.action?docID=5561647</t>
  </si>
  <si>
    <t>La Conscience des Animaux</t>
  </si>
  <si>
    <t>Le Neindre, Pierre</t>
  </si>
  <si>
    <t>Land Use and Food Security in 2050: a Narrow Road : Agrimonde-Terra</t>
  </si>
  <si>
    <t>Le Mouël, Chantal</t>
  </si>
  <si>
    <t>Bodies As Evidence : Security, Knowledge, and Power</t>
  </si>
  <si>
    <t>Maguire, Mark</t>
  </si>
  <si>
    <t>Reconciliation in Global Context : Why It Is Needed and How It Works</t>
  </si>
  <si>
    <t>Krondorfer, Bjö</t>
  </si>
  <si>
    <t>https://ebookcentral.proquest.com/lib/istinye/detail.action?docID=5571085</t>
  </si>
  <si>
    <t>From Grain to Pixel : The Archival Life of Film in Transition, Third Revised Edition</t>
  </si>
  <si>
    <t>Fossati, Giovanna</t>
  </si>
  <si>
    <t>https://ebookcentral.proquest.com/lib/istinye/detail.action?docID=5583988</t>
  </si>
  <si>
    <t>Happiness Is the Wrong Metric : A Liberal Communitarian Response to Populism</t>
  </si>
  <si>
    <t>Library of Public Policy and Public Administration Ser.</t>
  </si>
  <si>
    <t>Etzioni, Amitai</t>
  </si>
  <si>
    <t>B65</t>
  </si>
  <si>
    <t>https://ebookcentral.proquest.com/lib/istinye/detail.action?docID=5588963</t>
  </si>
  <si>
    <t>Respawn : Gamers, Hackers, and Technogenic Life</t>
  </si>
  <si>
    <t>Milburn, Colin</t>
  </si>
  <si>
    <t>Invited Lectures from the 13th International Congress on Mathematical Education</t>
  </si>
  <si>
    <t>ICME-13 Monographs</t>
  </si>
  <si>
    <t>Kaiser, Gabriele</t>
  </si>
  <si>
    <t>The Juggler of Notre Dame and the Medievalizing of Modernity : Volume 5: Tumbling into the Twentieth Century</t>
  </si>
  <si>
    <t>https://ebookcentral.proquest.com/lib/istinye/detail.action?docID=5607105</t>
  </si>
  <si>
    <t>Hanging on to the Edges : Essays on Science, Society and the Academic Life</t>
  </si>
  <si>
    <t>The Life and Letters of William Sharp and Fiona Macleod : Volume I: 1855-1894</t>
  </si>
  <si>
    <t>Halloran, William F.</t>
  </si>
  <si>
    <t>The Juggler of Notre Dame and the Medievalizing of Modernity : Volume 4: Picture That: Making a Show of the Jongleur</t>
  </si>
  <si>
    <t>The Race of Sound : Listening, Timbre, and Vocality in African American Music</t>
  </si>
  <si>
    <t>Eidsheim, Nina Sun</t>
  </si>
  <si>
    <t>ML3917</t>
  </si>
  <si>
    <t>https://ebookcentral.proquest.com/lib/istinye/detail.action?docID=5609564</t>
  </si>
  <si>
    <t>The Universe, Life and Everything : Dialogues on Our Changing Understanding of Reality</t>
  </si>
  <si>
    <t>Durston, Sarah</t>
  </si>
  <si>
    <t>The Portuguese Language Continuum in Africa and Brazil</t>
  </si>
  <si>
    <t>Issues in Hispanic and Lusophone Linguistics Ser.</t>
  </si>
  <si>
    <t>Álvarez López, Laura</t>
  </si>
  <si>
    <t>Food Anxiety in Globalising Vietnam</t>
  </si>
  <si>
    <t>Springer Singapore Pte. Limited</t>
  </si>
  <si>
    <t>Ehlert, Judith</t>
  </si>
  <si>
    <t>The Dutch and English East India Companies : Diplomacy, Trade and Violence in Early Modern Asia</t>
  </si>
  <si>
    <t>Clulow, Adam</t>
  </si>
  <si>
    <t>Services écosystémiques Fournis Par les Espaces Agricoles : Évaluer et Caractériser</t>
  </si>
  <si>
    <t>Tibi, Anaïs</t>
  </si>
  <si>
    <t>La Transition Agro-écologique des Agricultures du Sud</t>
  </si>
  <si>
    <t>Côte, François-Xavier</t>
  </si>
  <si>
    <t>An Intimate Rebuke : Female Genital Power in Ritual and Politics in West Africa</t>
  </si>
  <si>
    <t>Grillo, Laura S.</t>
  </si>
  <si>
    <t>A Fleet Street in Every Town : The Provincial Press in England, 1855-1900</t>
  </si>
  <si>
    <t>Hobbs, Andrew</t>
  </si>
  <si>
    <t>070.50942090/34</t>
  </si>
  <si>
    <t>https://ebookcentral.proquest.com/lib/istinye/detail.action?docID=5651726</t>
  </si>
  <si>
    <t>Virgil, Aeneid 11, Pallas and Camilla, 1-224, 498-521, 532-596, 648-689, 725-835 : Latin Text, Study Aids with Vocabulary, and Commentary</t>
  </si>
  <si>
    <t>The Juggler of Notre Dame and the Medievalizing of Modernity : Volume 6: War and Peace, Sex and Violence</t>
  </si>
  <si>
    <t>https://ebookcentral.proquest.com/lib/istinye/detail.action?docID=5651728</t>
  </si>
  <si>
    <t>Digital Techniques for Documenting and Preserving Cultural Heritage</t>
  </si>
  <si>
    <t>Arc Humanities Press</t>
  </si>
  <si>
    <t>Collection Development, Cultural Heritage, and Digital Humanities Ser.</t>
  </si>
  <si>
    <t>Bentkowska-Kafel, Anna</t>
  </si>
  <si>
    <t>Urban Europe : Fifty Tales of the City</t>
  </si>
  <si>
    <t>Mamadouh, Virginie</t>
  </si>
  <si>
    <t>Chivalry, Reading, and Women's Culture in Early Modern Spain : From Amadís de Gaula to Don Quixote</t>
  </si>
  <si>
    <t>Triplette, Stacey</t>
  </si>
  <si>
    <t>PQ6048</t>
  </si>
  <si>
    <t>860.9/3522</t>
  </si>
  <si>
    <t xml:space="preserve">Spanish literature-To 1500-History and criticism. </t>
  </si>
  <si>
    <t>Imams in Western Europe : Developments, Transformations, and Institutional Challenges</t>
  </si>
  <si>
    <t>Hashas, Mohammed</t>
  </si>
  <si>
    <t>Hyperion, or the Hermit in Greece</t>
  </si>
  <si>
    <t>Gaskill, Howard</t>
  </si>
  <si>
    <t>Delivering on the Promise of Democracy : Visual Case Studies in Educational Equity and Transformation</t>
  </si>
  <si>
    <t>Jhaj, Sukhwant</t>
  </si>
  <si>
    <t>https://ebookcentral.proquest.com/lib/istinye/detail.action?docID=5725328</t>
  </si>
  <si>
    <t>Life Histories of Etnos Theory in Russia and Beyond</t>
  </si>
  <si>
    <t>Anderson, David G.</t>
  </si>
  <si>
    <t>The Playful Citizen : Civic Engagement in a Mediatized Culture</t>
  </si>
  <si>
    <t>Games and Play Ser.</t>
  </si>
  <si>
    <t>Glas, René</t>
  </si>
  <si>
    <t>Trente Années d'observation des Micro-Algues et des Toxines d'algues Sur le Littoral</t>
  </si>
  <si>
    <t>Belin, Catherine</t>
  </si>
  <si>
    <t>Systèmes Agraires et Changement Climatique Au Sud : Les Chemins de L'adaptation</t>
  </si>
  <si>
    <t>Cochet, Hubert</t>
  </si>
  <si>
    <t>Une Agronomie Pour le XXIe Siècle</t>
  </si>
  <si>
    <t>Richard, Guy</t>
  </si>
  <si>
    <t>The News at the Ends of the Earth : The Print Culture of Polar Exploration</t>
  </si>
  <si>
    <t>Blum, Hester</t>
  </si>
  <si>
    <t>G580</t>
  </si>
  <si>
    <t>https://ebookcentral.proquest.com/lib/istinye/detail.action?docID=5742613</t>
  </si>
  <si>
    <t>The Believer and the Modern Study of the Bible</t>
  </si>
  <si>
    <t>Ganzel, Tova</t>
  </si>
  <si>
    <t>Mastering Russian Spaces : Raum und Raumbewältigung Als Probleme der Russischen Geschichte</t>
  </si>
  <si>
    <t>Schlögel, Karl</t>
  </si>
  <si>
    <t>From Darkness to Light : Writers in Museums 1798-1898</t>
  </si>
  <si>
    <t>Mamoli Zorzi, Rosella</t>
  </si>
  <si>
    <t>Women and Migration : Responses in Art and History</t>
  </si>
  <si>
    <t>Willis, Deborah</t>
  </si>
  <si>
    <t>Whose Book Is It Anyway? : A View from Elsewhere on Publishing, Copyright and Creativity</t>
  </si>
  <si>
    <t>Jefferies, Janis</t>
  </si>
  <si>
    <t>Remapping Travel Narratives, 1000-1700 : To the East and Back Again</t>
  </si>
  <si>
    <t>Connected Histories in the Early Modern World Ser.</t>
  </si>
  <si>
    <t>Piera, Montserrat</t>
  </si>
  <si>
    <t>https://ebookcentral.proquest.com/lib/istinye/detail.action?docID=5752204</t>
  </si>
  <si>
    <t>Anti-Japan : The Politics of Sentiment in Postcolonial East Asia</t>
  </si>
  <si>
    <t>Ching, Leo T. S.</t>
  </si>
  <si>
    <t>Recherche Agronomique et Politique Agricole : Jacques Poly, un Stratège</t>
  </si>
  <si>
    <t>Movable Inn : The Rural Jewish Population of Minsk Guberniya In 1793-1914</t>
  </si>
  <si>
    <t>Kalik, Judith</t>
  </si>
  <si>
    <t>https://ebookcentral.proquest.com/lib/istinye/detail.action?docID=5769487</t>
  </si>
  <si>
    <t>Tennyson's Poems : New Textual Parallels</t>
  </si>
  <si>
    <t>Winnick, R. H.</t>
  </si>
  <si>
    <t>https://ebookcentral.proquest.com/lib/istinye/detail.action?docID=5771514</t>
  </si>
  <si>
    <t>Annunciations : Sacred Music for the Twenty-First Century</t>
  </si>
  <si>
    <t>https://ebookcentral.proquest.com/lib/istinye/detail.action?docID=5771515</t>
  </si>
  <si>
    <t>Energopolitics : Wind and Power in the Anthropocene</t>
  </si>
  <si>
    <t>Boyer, Dominic</t>
  </si>
  <si>
    <t>Engineering: Mechanical</t>
  </si>
  <si>
    <t>Allegories of the Anthropocene</t>
  </si>
  <si>
    <t>DeLoughrey, Elizabeth M.</t>
  </si>
  <si>
    <t>PN849</t>
  </si>
  <si>
    <t>https://ebookcentral.proquest.com/lib/istinye/detail.action?docID=5771691</t>
  </si>
  <si>
    <t>Krieg und Kunst Im Antiken Griechenland und Rom : Heldentum, Identität, Herrschaft, Ideologie</t>
  </si>
  <si>
    <t>Hölscher, Tonio</t>
  </si>
  <si>
    <t>https://ebookcentral.proquest.com/lib/istinye/detail.action?docID=5772835</t>
  </si>
  <si>
    <t>A Future History of Water</t>
  </si>
  <si>
    <t>Ballestero, Andrea</t>
  </si>
  <si>
    <t>Ecologics : Wind and Power in the Anthropocene</t>
  </si>
  <si>
    <t>Howe, Cymene</t>
  </si>
  <si>
    <t>The Fixer : Visa Lottery Chronicles</t>
  </si>
  <si>
    <t>Theory in Forms Ser.</t>
  </si>
  <si>
    <t>Piot, Charles</t>
  </si>
  <si>
    <t>DT16</t>
  </si>
  <si>
    <t>https://ebookcentral.proquest.com/lib/istinye/detail.action?docID=5779779</t>
  </si>
  <si>
    <t>Love and Intrigue : A Bourgeois Tragedy</t>
  </si>
  <si>
    <t>Automated Machine Learning : Methods, Systems, Challenges</t>
  </si>
  <si>
    <t>The Springer Series on Challenges in Machine Learning Ser.</t>
  </si>
  <si>
    <t>Hutter, Frank</t>
  </si>
  <si>
    <t>Peut-On Se Passer du Cuivre en Protection des Cultures Biologiques ? : Expertise Scientifique Collective</t>
  </si>
  <si>
    <t>Andrivon, Didier</t>
  </si>
  <si>
    <t>The Agroecological Transition of Agricultural Systems in the Global South</t>
  </si>
  <si>
    <t>The Pogroms in Ukraine, 1918-19 : Prelude to the Holocaust</t>
  </si>
  <si>
    <t>Wolfthal, Maurice</t>
  </si>
  <si>
    <t>https://ebookcentral.proquest.com/lib/istinye/detail.action?docID=5797730</t>
  </si>
  <si>
    <t>Social Media in Higher Education : Case Studies, Reflections and Analysis</t>
  </si>
  <si>
    <t>Rowell, Chris</t>
  </si>
  <si>
    <t>The Essence of Mathematics Through Elementary Problems</t>
  </si>
  <si>
    <t>Borovik, Alexandre</t>
  </si>
  <si>
    <t>The Revolution Will Not Be Theorized : Cultural Revolution in the Black Power Era</t>
  </si>
  <si>
    <t>Henderson, Errol A.</t>
  </si>
  <si>
    <t>https://ebookcentral.proquest.com/lib/istinye/detail.action?docID=5834351</t>
  </si>
  <si>
    <t>Image, Knife, and Gluepot : Early Assemblage in Manuscript and Print</t>
  </si>
  <si>
    <t>https://ebookcentral.proquest.com/lib/istinye/detail.action?docID=5838458</t>
  </si>
  <si>
    <t>Make We Merry More and Less : An Anthology of Medieval English Popular Literature</t>
  </si>
  <si>
    <t>Gray, Douglas</t>
  </si>
  <si>
    <t>Pandemic Disease in the Medieval World : Rethinking the Black Death</t>
  </si>
  <si>
    <t>The Medieval Globe</t>
  </si>
  <si>
    <t>History of International Relations : A Non-European Perspective</t>
  </si>
  <si>
    <t>Ringmar, Erik</t>
  </si>
  <si>
    <t>The Birth of Energy : Fossil Fuels, Thermodynamics, and the Politics of Work</t>
  </si>
  <si>
    <t>Elements Ser.</t>
  </si>
  <si>
    <t>Daggett, Cara New</t>
  </si>
  <si>
    <t>HD9502</t>
  </si>
  <si>
    <t>https://ebookcentral.proquest.com/lib/istinye/detail.action?docID=5853838</t>
  </si>
  <si>
    <t>Beside You in Time : Sense Methods and Queer Sociabilities in the American Nineteenth Century</t>
  </si>
  <si>
    <t>Freeman, Elizabeth</t>
  </si>
  <si>
    <t>HM656</t>
  </si>
  <si>
    <t>https://ebookcentral.proquest.com/lib/istinye/detail.action?docID=5853842</t>
  </si>
  <si>
    <t>Latter-Day Screens : Gender, Sexuality, and Mediated Mormonism</t>
  </si>
  <si>
    <t>Weber, Brenda R.</t>
  </si>
  <si>
    <t>BX8638</t>
  </si>
  <si>
    <t>289.3</t>
  </si>
  <si>
    <t>https://ebookcentral.proquest.com/lib/istinye/detail.action?docID=5853843</t>
  </si>
  <si>
    <t>Fundamentals for the Anthropocene</t>
  </si>
  <si>
    <t>Pearce, Jack</t>
  </si>
  <si>
    <t>Painting the Sky Black : Louis Kahn and the Architectonization of Nature</t>
  </si>
  <si>
    <t>Sauter, Florian</t>
  </si>
  <si>
    <t>https://ebookcentral.proquest.com/lib/istinye/detail.action?docID=5855100</t>
  </si>
  <si>
    <t>Contemporary Debates in Bioethics: European Perspectives</t>
  </si>
  <si>
    <t>Mihailov, Emilian</t>
  </si>
  <si>
    <t>Transport, Fluids, and Mixing</t>
  </si>
  <si>
    <t>Crippa, Gianluca</t>
  </si>
  <si>
    <t>The Politics of Language Contact in the Himalaya</t>
  </si>
  <si>
    <t>Sonntag, Selma K.</t>
  </si>
  <si>
    <t>Adaptation in the Age of Media Convergence</t>
  </si>
  <si>
    <t>Transmedia Ser.</t>
  </si>
  <si>
    <t>Fehrle, Johannes</t>
  </si>
  <si>
    <t>Conservation Biology in Sub-Saharan Africa</t>
  </si>
  <si>
    <t>Wilson, John W.</t>
  </si>
  <si>
    <t>The Big Thaw : Policy, Governance, and Climate Change in the Circumpolar North</t>
  </si>
  <si>
    <t>SUNY Series in Environmental Governance: Local-Regional-Global Interactions Ser.</t>
  </si>
  <si>
    <t>Zubrow, Ezra B. W.</t>
  </si>
  <si>
    <t>Beyond Jewish Identity : Rethinking Concepts and Imagining Alternatives</t>
  </si>
  <si>
    <t>Essays on Paula Rego : Smile When You Think about Hell</t>
  </si>
  <si>
    <t>Theoretical and Practical Advances in Computer-Based Educational Measurement</t>
  </si>
  <si>
    <t>Methodology of Educational Measurement and Assessment Ser.</t>
  </si>
  <si>
    <t>Veldkamp, Bernard P.</t>
  </si>
  <si>
    <t>Regional and Local Development in Times of Polarisation : Re-Thinking Spatial Policies in Europe</t>
  </si>
  <si>
    <t>New Geographies of Europe Ser.</t>
  </si>
  <si>
    <t>Lang, Thilo</t>
  </si>
  <si>
    <t>Inventing Cinema : Machines, Gestures and Media History</t>
  </si>
  <si>
    <t>Cinema and Technology Ser.</t>
  </si>
  <si>
    <t>Turquety, Benoît</t>
  </si>
  <si>
    <t>Engaging Researchers with Data Management : The Cookbook</t>
  </si>
  <si>
    <t>Clare, Connie</t>
  </si>
  <si>
    <t>Labor and Value : Rethinking Marx's Theory of Exploitation</t>
  </si>
  <si>
    <t>Screpanti, Ernesto</t>
  </si>
  <si>
    <t>Visions of Electric Media : Television in the Victorian and Machine Ages</t>
  </si>
  <si>
    <t>Televisual Culture Ser.</t>
  </si>
  <si>
    <t>Roberts, Ivy</t>
  </si>
  <si>
    <t>Engineering: General</t>
  </si>
  <si>
    <t>https://ebookcentral.proquest.com/lib/istinye/detail.action?docID=5968193</t>
  </si>
  <si>
    <t>Taking the EU to Court : Annulment Proceedings and Multilevel Judicial Conflict</t>
  </si>
  <si>
    <t>Palgrave Studies in European Union Politics Ser.</t>
  </si>
  <si>
    <t>Adam, christian</t>
  </si>
  <si>
    <t>A Fragile Inheritance : Radical Stakes in Contemporary Indian Art</t>
  </si>
  <si>
    <t>Mathur, Saloni</t>
  </si>
  <si>
    <t>N7304</t>
  </si>
  <si>
    <t>https://ebookcentral.proquest.com/lib/istinye/detail.action?docID=5969500</t>
  </si>
  <si>
    <t>Screening Race in American Nontheatrical Film</t>
  </si>
  <si>
    <t>Field, Allyson Nadia</t>
  </si>
  <si>
    <t>Autistic Community and the Neurodiversity Movement : Stories from the Frontline</t>
  </si>
  <si>
    <t>Kapp, Steven K.</t>
  </si>
  <si>
    <t>Ethnography #9</t>
  </si>
  <si>
    <t>Klima, Alan</t>
  </si>
  <si>
    <t>HC445</t>
  </si>
  <si>
    <t>https://ebookcentral.proquest.com/lib/istinye/detail.action?docID=5977952</t>
  </si>
  <si>
    <t>Theft Is Property! : Dispossession and Critical Theory</t>
  </si>
  <si>
    <t>Radical Américas Ser.</t>
  </si>
  <si>
    <t>Nichols, Robert</t>
  </si>
  <si>
    <t>E98</t>
  </si>
  <si>
    <t>https://ebookcentral.proquest.com/lib/istinye/detail.action?docID=5983013</t>
  </si>
  <si>
    <t>The Licit Life of Capitalism : US Oil in Equatorial Guinea</t>
  </si>
  <si>
    <t>Appel, Hannah</t>
  </si>
  <si>
    <t>HD9578</t>
  </si>
  <si>
    <t>https://ebookcentral.proquest.com/lib/istinye/detail.action?docID=5983014</t>
  </si>
  <si>
    <t>Everything Man : The Form and Function of Paul Robeson</t>
  </si>
  <si>
    <t>Redmond, Shana L.</t>
  </si>
  <si>
    <t>Sacred Men : Law, Torture, and Retribution in Guam</t>
  </si>
  <si>
    <t>Global and Insurgent Legalities Ser.</t>
  </si>
  <si>
    <t>Camacho, Keith L.</t>
  </si>
  <si>
    <t>KZ1186</t>
  </si>
  <si>
    <t>341.6/90268</t>
  </si>
  <si>
    <t>https://ebookcentral.proquest.com/lib/istinye/detail.action?docID=5989093</t>
  </si>
  <si>
    <t>Zootechnologies : A Media History of Swarm Research</t>
  </si>
  <si>
    <t>Vehlken, Sebastian</t>
  </si>
  <si>
    <t>Science: Biology/Natural History</t>
  </si>
  <si>
    <t>Prose Fiction : An Introduction to the Semiotics of Narrative</t>
  </si>
  <si>
    <t>Ribó, Ignasi</t>
  </si>
  <si>
    <t>Non-Communicable Disease Prevention : Best Buys, Wasted Buys and Contestable Buys</t>
  </si>
  <si>
    <t>Isaranuwatchai, Wanrudee</t>
  </si>
  <si>
    <t>Affective Justice : The International Criminal Court and the Pan-Africanist Pushback</t>
  </si>
  <si>
    <t>Clarke, Kamari Maxine</t>
  </si>
  <si>
    <t>KZ7312</t>
  </si>
  <si>
    <t>https://ebookcentral.proquest.com/lib/istinye/detail.action?docID=5994654</t>
  </si>
  <si>
    <t>The Creative Underclass : Youth, Race, and the Gentrifying City</t>
  </si>
  <si>
    <t>Denmead, Tyler</t>
  </si>
  <si>
    <t>https://ebookcentral.proquest.com/lib/istinye/detail.action?docID=5996261</t>
  </si>
  <si>
    <t>Affective Trajectories : Religion and Emotion in African Cityscapes</t>
  </si>
  <si>
    <t>Dilger, Hansjörg</t>
  </si>
  <si>
    <t>The Waning Sword : Conversion Imagery and Celestial Myth In 'Beowulf'</t>
  </si>
  <si>
    <t>Pettit, Edward</t>
  </si>
  <si>
    <t>https://ebookcentral.proquest.com/lib/istinye/detail.action?docID=6020769</t>
  </si>
  <si>
    <t>The DARPA Model for Transformative Technologies : Perspectives on the U. S. Defense Advanced Research Projects Agency</t>
  </si>
  <si>
    <t>Bonvillian, William Boone</t>
  </si>
  <si>
    <t>Visualizing Fascism : The Twentieth-Century Rise of the Global Right</t>
  </si>
  <si>
    <t>Thomas, Julia Adeney</t>
  </si>
  <si>
    <t>Technocrats of the Imagination : Art, Technology, and the Military-Industrial Avant-Garde</t>
  </si>
  <si>
    <t>A Cultural Politics Book Ser.</t>
  </si>
  <si>
    <t>Beck, John</t>
  </si>
  <si>
    <t>Boundary Value Problems, Weyl Functions, and Differential Operators</t>
  </si>
  <si>
    <t>Birkhäuser</t>
  </si>
  <si>
    <t>Monographs in Mathematics Ser.</t>
  </si>
  <si>
    <t>Behrndt, Jussi</t>
  </si>
  <si>
    <t>Programming for Computations - Python : A Gentle Introduction to Numerical Simulations with Python 3. 6</t>
  </si>
  <si>
    <t>Texts in Computational Science and Engineering Ser.</t>
  </si>
  <si>
    <t>Linge, Svein</t>
  </si>
  <si>
    <t>Sensor and Signature Modeling for Aircraft Conceptual Development</t>
  </si>
  <si>
    <t>Linköping University Electronic Press</t>
  </si>
  <si>
    <t>Marcus, Carina</t>
  </si>
  <si>
    <t>https://ebookcentral.proquest.com/lib/istinye/detail.action?docID=6119032</t>
  </si>
  <si>
    <t>Time of Flight Estimation for Radio Network Positioning</t>
  </si>
  <si>
    <t>Radnosrati, Kamiar</t>
  </si>
  <si>
    <t>https://ebookcentral.proquest.com/lib/istinye/detail.action?docID=6119033</t>
  </si>
  <si>
    <t>Health-related quality of life after cardiac arrest</t>
  </si>
  <si>
    <t>Israelsson, Johan</t>
  </si>
  <si>
    <t>https://ebookcentral.proquest.com/lib/istinye/detail.action?docID=6119034</t>
  </si>
  <si>
    <t>Overcoming Limitations of Iontronic Delivery Devices</t>
  </si>
  <si>
    <t>Seitanidou, Maria</t>
  </si>
  <si>
    <t>https://ebookcentral.proquest.com/lib/istinye/detail.action?docID=6119035</t>
  </si>
  <si>
    <t>Pharmacogenetic studies of thiopurine methyltransferase genotype-phenotype concordance and effect of methotrexate on thiopurine metabolism</t>
  </si>
  <si>
    <t>Zimdahl, Anna</t>
  </si>
  <si>
    <t>https://ebookcentral.proquest.com/lib/istinye/detail.action?docID=6119036</t>
  </si>
  <si>
    <t>"Chorus of the Saved" : Constructing the Holocaust Survivor in Swedish Public Discourse, 1943-1966</t>
  </si>
  <si>
    <t>Wagrell, Kristin</t>
  </si>
  <si>
    <t>https://ebookcentral.proquest.com/lib/istinye/detail.action?docID=6119037</t>
  </si>
  <si>
    <t>Computational Photography : High Dynamic Range and Light Fields</t>
  </si>
  <si>
    <t>Hajisharif, Saghi</t>
  </si>
  <si>
    <t>https://ebookcentral.proquest.com/lib/istinye/detail.action?docID=6119038</t>
  </si>
  <si>
    <t>Kähler-Poisson Algebras</t>
  </si>
  <si>
    <t>Al-Shujary, Ahmed</t>
  </si>
  <si>
    <t>https://ebookcentral.proquest.com/lib/istinye/detail.action?docID=6119039</t>
  </si>
  <si>
    <t>The Tiberian Pronunciation Tradition of Biblical Hebrew, Volume 1</t>
  </si>
  <si>
    <t>Semitic Languages and Cultures Ser.</t>
  </si>
  <si>
    <t>Khan, Geoffrey</t>
  </si>
  <si>
    <t>492.4</t>
  </si>
  <si>
    <t>https://ebookcentral.proquest.com/lib/istinye/detail.action?docID=6119556</t>
  </si>
  <si>
    <t>The Tiberian Pronunciation Tradition of Biblical Hebrew, Volume 2</t>
  </si>
  <si>
    <t>https://ebookcentral.proquest.com/lib/istinye/detail.action?docID=6119557</t>
  </si>
  <si>
    <t>Mobile Mapping : Space, Cartography and the Digital</t>
  </si>
  <si>
    <t>Wilmott, Clancy</t>
  </si>
  <si>
    <t>Digital Technology and the Practices of Humanities Research</t>
  </si>
  <si>
    <t>Edmond, Jennifer</t>
  </si>
  <si>
    <t>Organic electronic materials for hydrogen peroxide production</t>
  </si>
  <si>
    <t>Gryszel, Maciej</t>
  </si>
  <si>
    <t>https://ebookcentral.proquest.com/lib/istinye/detail.action?docID=6125607</t>
  </si>
  <si>
    <t>Revolution and Disenchantment : Arab Marxism and the Binds of Emancipation</t>
  </si>
  <si>
    <t>Bardawil, Fadi A.</t>
  </si>
  <si>
    <t>The influence of clients on the social identities within the audit profession</t>
  </si>
  <si>
    <t>Sylvander, Johanna</t>
  </si>
  <si>
    <t>https://ebookcentral.proquest.com/lib/istinye/detail.action?docID=6129767</t>
  </si>
  <si>
    <t>Synthesis and characterization of two- and three-dimensional nanolaminated carbides</t>
  </si>
  <si>
    <t>Tao, Quanzheng</t>
  </si>
  <si>
    <t>https://ebookcentral.proquest.com/lib/istinye/detail.action?docID=6129768</t>
  </si>
  <si>
    <t>Improving Design for Remanufacturing Though Feedback from Remanufacturing to Design</t>
  </si>
  <si>
    <t>Lindkvist Haziri, Louise</t>
  </si>
  <si>
    <t>https://ebookcentral.proquest.com/lib/istinye/detail.action?docID=6129769</t>
  </si>
  <si>
    <t>Paris in the Dark : Going to the Movies in the City of Light, 1930-1950</t>
  </si>
  <si>
    <t>Smoodin, Eric</t>
  </si>
  <si>
    <t>PN1993</t>
  </si>
  <si>
    <t>https://ebookcentral.proquest.com/lib/istinye/detail.action?docID=6130869</t>
  </si>
  <si>
    <t>Charlotte Smith and the Sonnet : Form, Place and Tradition in the Late Eighteenth Century</t>
  </si>
  <si>
    <t>Liverpool University Press</t>
  </si>
  <si>
    <t>Romantic Reconfigurations: Studies in Literature and Culture 1780-1850 Ser.</t>
  </si>
  <si>
    <t>Roberts, Bethan</t>
  </si>
  <si>
    <t>821/.6</t>
  </si>
  <si>
    <t>https://ebookcentral.proquest.com/lib/istinye/detail.action?docID=6132344</t>
  </si>
  <si>
    <t>Fellow Travellers : Communist Trade Unionism and Industrial Relations on the French Railways, 1914-1939</t>
  </si>
  <si>
    <t>Studies in Labour History Ser.</t>
  </si>
  <si>
    <t>Beaumont, Thomas</t>
  </si>
  <si>
    <t>https://ebookcentral.proquest.com/lib/istinye/detail.action?docID=6132349</t>
  </si>
  <si>
    <t>Ethnopornography : Sexuality, Colonialism, and Archival Knowledge</t>
  </si>
  <si>
    <t>Sigal, Pete</t>
  </si>
  <si>
    <t>“Doing things together” : Towards a health promoting approach to couples’ relationships and everyday life in dementia</t>
  </si>
  <si>
    <t>Bielsten, Therése</t>
  </si>
  <si>
    <t>https://ebookcentral.proquest.com/lib/istinye/detail.action?docID=6134160</t>
  </si>
  <si>
    <t>Managing Quality in Cross-cultural Settings</t>
  </si>
  <si>
    <t>Wangwacharakul, Promporn</t>
  </si>
  <si>
    <t>https://ebookcentral.proquest.com/lib/istinye/detail.action?docID=6134161</t>
  </si>
  <si>
    <t>Doctoral education in the entrepreneurial university : enhanced employability?</t>
  </si>
  <si>
    <t>Germain-Alamartine, Eloïse</t>
  </si>
  <si>
    <t>https://ebookcentral.proquest.com/lib/istinye/detail.action?docID=6134162</t>
  </si>
  <si>
    <t>Electronic transitions and correlation effects : From pure elements to complex materials</t>
  </si>
  <si>
    <t>Jönsson, Johan</t>
  </si>
  <si>
    <t>https://ebookcentral.proquest.com/lib/istinye/detail.action?docID=6142605</t>
  </si>
  <si>
    <t>Customer Benefits in City Logistics : Towards Viable Urban Consolidation Centres</t>
  </si>
  <si>
    <t>Johansson, Henrik</t>
  </si>
  <si>
    <t>https://ebookcentral.proquest.com/lib/istinye/detail.action?docID=6142606</t>
  </si>
  <si>
    <t>Synthesis and Characterization of Some Nanostructured Materials for Visible Light-driven Photo Processes</t>
  </si>
  <si>
    <t>Adam, Rania Elhadi</t>
  </si>
  <si>
    <t>https://ebookcentral.proquest.com/lib/istinye/detail.action?docID=6142607</t>
  </si>
  <si>
    <t>Laser Speckle Contrast Imaging in Reconstructive Surgery</t>
  </si>
  <si>
    <t>Zötterman, Johan</t>
  </si>
  <si>
    <t>https://ebookcentral.proquest.com/lib/istinye/detail.action?docID=6142608</t>
  </si>
  <si>
    <t>Upper extremity impairments in type 1 diabetes in comparison to matched controls without diabetes : associations to the IGF-system, metabolic factors, disability and quality of life</t>
  </si>
  <si>
    <t>Gutefeldt, Kerstin</t>
  </si>
  <si>
    <t>https://ebookcentral.proquest.com/lib/istinye/detail.action?docID=6147646</t>
  </si>
  <si>
    <t>Applications of Partial Polymorphisms in (Fine-Grained) Complexity of Constraint Satisfaction Problems</t>
  </si>
  <si>
    <t>Roy, Biman</t>
  </si>
  <si>
    <t>https://ebookcentral.proquest.com/lib/istinye/detail.action?docID=6147647</t>
  </si>
  <si>
    <t>Gallucci's Commentary on dürer's 'Four Books on Human Proportion' : Renaissance Proportion Theory</t>
  </si>
  <si>
    <t>Hutson, James</t>
  </si>
  <si>
    <t>Models in Microeconomic Theory ('He' Edition)</t>
  </si>
  <si>
    <t>Osborne, Martin J.</t>
  </si>
  <si>
    <t>Models in Microeconomic Theory ('She' Edition)</t>
  </si>
  <si>
    <t>Agency : Moral Identity and Free Will</t>
  </si>
  <si>
    <t>Weissman, David</t>
  </si>
  <si>
    <t>123.5</t>
  </si>
  <si>
    <t>https://ebookcentral.proquest.com/lib/istinye/detail.action?docID=6154392</t>
  </si>
  <si>
    <t>Important Factors for Accurate Scale-Resolving Simulations of Automotive Aerodynamics</t>
  </si>
  <si>
    <t>Ekman, Petter</t>
  </si>
  <si>
    <t>https://ebookcentral.proquest.com/lib/istinye/detail.action?docID=6157380</t>
  </si>
  <si>
    <t>To See or Not to See : A Study on Capillary Refill</t>
  </si>
  <si>
    <t>Toll, Rani</t>
  </si>
  <si>
    <t>https://ebookcentral.proquest.com/lib/istinye/detail.action?docID=6157381</t>
  </si>
  <si>
    <t>Tid för att Planera : Att stödja vardagsplanering hos ungdomar med intellektuell funktionsnedsättning</t>
  </si>
  <si>
    <t>Palmqvist, Lisa</t>
  </si>
  <si>
    <t>https://ebookcentral.proquest.com/lib/istinye/detail.action?docID=6157382</t>
  </si>
  <si>
    <t>Human-automation teamwork : Current practices and future directions in air traffic control</t>
  </si>
  <si>
    <t>Svensson, Åsa</t>
  </si>
  <si>
    <t>https://ebookcentral.proquest.com/lib/istinye/detail.action?docID=6173782</t>
  </si>
  <si>
    <t>Physical Fitness in Hospitalized Frail Elderly Patients</t>
  </si>
  <si>
    <t>Åhlund, Kristina</t>
  </si>
  <si>
    <t>https://ebookcentral.proquest.com/lib/istinye/detail.action?docID=6173783</t>
  </si>
  <si>
    <t>Learning to Make Safe Real-Time Decisions Under Uncertainty for Autonomous Robots</t>
  </si>
  <si>
    <t>Andersson, Olov</t>
  </si>
  <si>
    <t>https://ebookcentral.proquest.com/lib/istinye/detail.action?docID=6173784</t>
  </si>
  <si>
    <t>Antinuclear and antiphospholipid antibodies versus disease manifestations and clinical outcomes in systemic lupus erythematosus</t>
  </si>
  <si>
    <t>Frodlund, Martina</t>
  </si>
  <si>
    <t>https://ebookcentral.proquest.com/lib/istinye/detail.action?docID=6173785</t>
  </si>
  <si>
    <t>The Life and Letters of William Sharp and Fiona Macleod : Volume 2: 1895-1899</t>
  </si>
  <si>
    <t>Age of Information Aware Communication Systems : Modeling and Performance Analysis</t>
  </si>
  <si>
    <t>Kosta, Antzela</t>
  </si>
  <si>
    <t>https://ebookcentral.proquest.com/lib/istinye/detail.action?docID=6177564</t>
  </si>
  <si>
    <t>Advancement of sensor technology for monitoring and control of upstream bioprocesses</t>
  </si>
  <si>
    <t>Randek, Judit</t>
  </si>
  <si>
    <t>https://ebookcentral.proquest.com/lib/istinye/detail.action?docID=6177565</t>
  </si>
  <si>
    <t>An Open Secret : The History of Unwanted Pregnancy and Abortion in Modern Bolivia</t>
  </si>
  <si>
    <t>Kimball, Natalie L.</t>
  </si>
  <si>
    <t>Five essays on visuality in accounting</t>
  </si>
  <si>
    <t>Havemo, Emelie</t>
  </si>
  <si>
    <t>Swedish</t>
  </si>
  <si>
    <t>https://ebookcentral.proquest.com/lib/istinye/detail.action?docID=6183814</t>
  </si>
  <si>
    <t>Motion planning and feedback control techniques with applications to long tractor-trailer vehicles</t>
  </si>
  <si>
    <t>Ljungqvist, Oskar</t>
  </si>
  <si>
    <t>https://ebookcentral.proquest.com/lib/istinye/detail.action?docID=6183815</t>
  </si>
  <si>
    <t>Genomics and Transcriptomics of Behaviour and Plumage Colouration</t>
  </si>
  <si>
    <t>Fogelholm, Jesper</t>
  </si>
  <si>
    <t>https://ebookcentral.proquest.com/lib/istinye/detail.action?docID=6183817</t>
  </si>
  <si>
    <t>Governing the manifold subject : a praxiography of Swedish HIV treatment</t>
  </si>
  <si>
    <t>Christensen, Jeffrey A.</t>
  </si>
  <si>
    <t>https://ebookcentral.proquest.com/lib/istinye/detail.action?docID=6183818</t>
  </si>
  <si>
    <t>Theoretical description of Ti and Ti alloys from first principles</t>
  </si>
  <si>
    <t>Skripnyak, Natalia</t>
  </si>
  <si>
    <t>https://ebookcentral.proquest.com/lib/istinye/detail.action?docID=6183819</t>
  </si>
  <si>
    <t>Improved Energy Efficiency in the Aluminium Industry and its Supply Chains</t>
  </si>
  <si>
    <t>Haraldsson, Joakim</t>
  </si>
  <si>
    <t>https://ebookcentral.proquest.com/lib/istinye/detail.action?docID=6183820</t>
  </si>
  <si>
    <t>Earth 2020 : An Insider's Guide to a Rapidly Changing Planet</t>
  </si>
  <si>
    <t>Tortell, Philippe D.</t>
  </si>
  <si>
    <t>https://ebookcentral.proquest.com/lib/istinye/detail.action?docID=6184690</t>
  </si>
  <si>
    <t>Margery Spring Rice : Pioneer of Women's Health in the Early Twentieth Century</t>
  </si>
  <si>
    <t>Pollard, Lucy</t>
  </si>
  <si>
    <t>https://ebookcentral.proquest.com/lib/istinye/detail.action?docID=6184691</t>
  </si>
  <si>
    <t>Systems studies of Biogas production : Comparisons and performance</t>
  </si>
  <si>
    <t>Lindkvist, Emma</t>
  </si>
  <si>
    <t>https://ebookcentral.proquest.com/lib/istinye/detail.action?docID=6188803</t>
  </si>
  <si>
    <t>Controllability of Complex Networks at Minimum Cost</t>
  </si>
  <si>
    <t>Lindmark, Gustav</t>
  </si>
  <si>
    <t>https://ebookcentral.proquest.com/lib/istinye/detail.action?docID=6188804</t>
  </si>
  <si>
    <t>Responses to Children’s Crying : Emotion Socialization in a Swedish Preschool</t>
  </si>
  <si>
    <t>Holm Kvist, Malva</t>
  </si>
  <si>
    <t>https://ebookcentral.proquest.com/lib/istinye/detail.action?docID=6188805</t>
  </si>
  <si>
    <t>Self-management support to handle everyday life with Parkinson´s disease</t>
  </si>
  <si>
    <t>Hellqvist, Carina</t>
  </si>
  <si>
    <t>https://ebookcentral.proquest.com/lib/istinye/detail.action?docID=6188806</t>
  </si>
  <si>
    <t>Colorectal Liver Metastases – Different Aspects on Treatment with Associated Liver Partition and Portal Vein Ligation for Staged Hepatectomy and on Portal Vein Occlusion</t>
  </si>
  <si>
    <t>Hasselgren, Kristina</t>
  </si>
  <si>
    <t>https://ebookcentral.proquest.com/lib/istinye/detail.action?docID=6188807</t>
  </si>
  <si>
    <t>Quantitative Muscle Composition Analysis Using Magnetic Resonance Imaging</t>
  </si>
  <si>
    <t>Karlsson, Anette</t>
  </si>
  <si>
    <t>https://ebookcentral.proquest.com/lib/istinye/detail.action?docID=6192717</t>
  </si>
  <si>
    <t>Designing for Resilience : Navigating Change in Service Systems</t>
  </si>
  <si>
    <t>Rodrigues, Vanessa</t>
  </si>
  <si>
    <t>https://ebookcentral.proquest.com/lib/istinye/detail.action?docID=6192719</t>
  </si>
  <si>
    <t>Contributions to linear discriminant analysis with applications to growth curves</t>
  </si>
  <si>
    <t>Ngailo, Edward Kanuti</t>
  </si>
  <si>
    <t>https://ebookcentral.proquest.com/lib/istinye/detail.action?docID=6192720</t>
  </si>
  <si>
    <t>The world, Sweden and the child : International influence on Swedish child policy during the emergence of the welfare state in the interwar period</t>
  </si>
  <si>
    <t>Löw, Joel</t>
  </si>
  <si>
    <t>https://ebookcentral.proquest.com/lib/istinye/detail.action?docID=6192721</t>
  </si>
  <si>
    <t>A First-Principles Study of Highly Anharmonic and Dynamically Disordered Solids</t>
  </si>
  <si>
    <t>Klarbring, Johan</t>
  </si>
  <si>
    <t>https://ebookcentral.proquest.com/lib/istinye/detail.action?docID=6192722</t>
  </si>
  <si>
    <t>A Typology of Business Model Changes : Cases from Swedish Wood Manufacturing Industry</t>
  </si>
  <si>
    <t>Semnani Kenlind, Sarah</t>
  </si>
  <si>
    <t>https://ebookcentral.proquest.com/lib/istinye/detail.action?docID=6192723</t>
  </si>
  <si>
    <t>Health, Experienced Support and School Performance among Children in Out-of-home care</t>
  </si>
  <si>
    <t>Tordön, Rikard</t>
  </si>
  <si>
    <t>https://ebookcentral.proquest.com/lib/istinye/detail.action?docID=6192724</t>
  </si>
  <si>
    <t>Adaptive behaviour in traffic : An individual road user perspective</t>
  </si>
  <si>
    <t>Nygårdhs, Sara</t>
  </si>
  <si>
    <t>https://ebookcentral.proquest.com/lib/istinye/detail.action?docID=6192725</t>
  </si>
  <si>
    <t>High Confidence Network Predictions from Big Biological Data</t>
  </si>
  <si>
    <t>Magnusson, Rasmus</t>
  </si>
  <si>
    <t>https://ebookcentral.proquest.com/lib/istinye/detail.action?docID=6192727</t>
  </si>
  <si>
    <t>Disordering the Establishment : Participatory Art and Institutional Critique in France, 1958-1981</t>
  </si>
  <si>
    <t>Art History Publication Initiative Ser.</t>
  </si>
  <si>
    <t>Woodruff, Lily</t>
  </si>
  <si>
    <t>https://ebookcentral.proquest.com/lib/istinye/detail.action?docID=6192800</t>
  </si>
  <si>
    <t>Designing visualization and interaction for industrial control rooms of the future</t>
  </si>
  <si>
    <t>Domova, Veronika</t>
  </si>
  <si>
    <t>https://ebookcentral.proquest.com/lib/istinye/detail.action?docID=6199845</t>
  </si>
  <si>
    <t>Electrochemical water splitting based on metal oxide composite nanostructures</t>
  </si>
  <si>
    <t>Tahira, Aneela</t>
  </si>
  <si>
    <t>https://ebookcentral.proquest.com/lib/istinye/detail.action?docID=6199846</t>
  </si>
  <si>
    <t>Molecular mechanisms of modulation of K&lt;sub&gt;V&lt;/sub&gt;7 channels by polyunsaturated fatty acids and their analogues</t>
  </si>
  <si>
    <t>Larsson, Johan</t>
  </si>
  <si>
    <t>https://ebookcentral.proquest.com/lib/istinye/detail.action?docID=6199847</t>
  </si>
  <si>
    <t>Creative Multilingualism : A Manifesto</t>
  </si>
  <si>
    <t>Kohl, Katrin</t>
  </si>
  <si>
    <t>Living Earth Community : Multiple Ways of Being and Knowing</t>
  </si>
  <si>
    <t>Mickey, Sam</t>
  </si>
  <si>
    <t>Studies in Rabbinic Hebrew</t>
  </si>
  <si>
    <t>Heijmans, Shai</t>
  </si>
  <si>
    <t>Antisemitism in the North : History and State of Research</t>
  </si>
  <si>
    <t>Religious Minorities in the North Ser.</t>
  </si>
  <si>
    <t>Carbon-Based Smart Materials</t>
  </si>
  <si>
    <t>Charitidis, Constantinos A.</t>
  </si>
  <si>
    <t>Literatura Latinoamericana Mundial : Dispositivos y Disidencias</t>
  </si>
  <si>
    <t>Guerrero, Gustavo</t>
  </si>
  <si>
    <t>Richard Schaukal in Netzwerken und Feldern der Literarischen Moderne</t>
  </si>
  <si>
    <t>Studien und Texte Zur Sozialgeschichte der Literatur Ser.</t>
  </si>
  <si>
    <t>Mitterer, Cornelius</t>
  </si>
  <si>
    <t>https://ebookcentral.proquest.com/lib/istinye/detail.action?docID=6209790</t>
  </si>
  <si>
    <t>Mineral Building Traditions in the Himalayas : The Mineralogical Impact on the Use of Clay As Building Material</t>
  </si>
  <si>
    <t>Feiglstorfer, Hubert</t>
  </si>
  <si>
    <t>Engineering: Construction</t>
  </si>
  <si>
    <t>ReiseSchreiben : Potsdamer Vorlesungen Zur Reiseliteratur</t>
  </si>
  <si>
    <t>Ette, Ottmar</t>
  </si>
  <si>
    <t>https://ebookcentral.proquest.com/lib/istinye/detail.action?docID=6209792</t>
  </si>
  <si>
    <t>Visualizing the Invisible with the Human Body : Physiognomy and Ekphrasis in the Ancient World</t>
  </si>
  <si>
    <t>Science, Technology, and Medicine in Ancient Cultures Ser.</t>
  </si>
  <si>
    <t>Johnson, J. Cale</t>
  </si>
  <si>
    <t>Religious Individualisation : Historical Dimensions and Comparative Perspectives</t>
  </si>
  <si>
    <t>Fuchs, Martin</t>
  </si>
  <si>
    <t>Prosodie und Konstruktionsgrammatik</t>
  </si>
  <si>
    <t>Comprehending and Confronting Antisemitism : A Multi-Faceted Approach</t>
  </si>
  <si>
    <t>Lange, Armin</t>
  </si>
  <si>
    <t>Die Feinen Unterschiede : Kultur, Kunst und Konsum Im Antiken Rom</t>
  </si>
  <si>
    <t>Stein-Hölkeskamp, Elke</t>
  </si>
  <si>
    <t>German and Dutch in Contrast : Synchronic, Diachronic and Psycholinguistic Perspectives</t>
  </si>
  <si>
    <t>Vogelaer, Gunther</t>
  </si>
  <si>
    <t>Early Printed Narrative Literature in Western Europe</t>
  </si>
  <si>
    <t>Besamusca, Bart</t>
  </si>
  <si>
    <t>The Second World War in the Twenty-First-Century Museum : From Narrative, Memory, and Experience to Experientiality</t>
  </si>
  <si>
    <t>Media and Cultural Memory / Medien und Kulturelle Erinnerung Ser.</t>
  </si>
  <si>
    <t>Jaeger, Stephan</t>
  </si>
  <si>
    <t>https://ebookcentral.proquest.com/lib/istinye/detail.action?docID=6209844</t>
  </si>
  <si>
    <t>Aging Between Participation and Simulation : Ethical Dimensions of Socially Assistive Technologies in Elderly Care</t>
  </si>
  <si>
    <t>Haltaufderheide, Joschka</t>
  </si>
  <si>
    <t>Homo Absconditus : Helmuth Plessners Philosophische Anthropologie Im Vergleich</t>
  </si>
  <si>
    <t>Krüger, Hans-Peter</t>
  </si>
  <si>
    <t>https://ebookcentral.proquest.com/lib/istinye/detail.action?docID=6209856</t>
  </si>
  <si>
    <t>Schreiben Auf Statuarischen Monumenten : Aspekte Materialer Textkultur in Archaischer und Frühklassischer Zeit</t>
  </si>
  <si>
    <t>Dietrich, Nikolaus</t>
  </si>
  <si>
    <t>From Memory to Marble : The Historical Frieze of the Voortrekker Monument Part I: the Frieze</t>
  </si>
  <si>
    <t>Rankin, Elizabeth</t>
  </si>
  <si>
    <t>Cosmopolitan Responsibility : Global Injustice, Relational Equality, and Individual Agency</t>
  </si>
  <si>
    <t>Heilinger, Jan-Christoph</t>
  </si>
  <si>
    <t>https://ebookcentral.proquest.com/lib/istinye/detail.action?docID=6209863</t>
  </si>
  <si>
    <t>Dialekte Machen : Konstruktion und Gebrauch Arealer Varianten Im Kontext Sprachraumbezogener Alltagsdiskurse</t>
  </si>
  <si>
    <t>Linguistik - Impulse and Tendenzen Ser.</t>
  </si>
  <si>
    <t>Schiesser, Alexandra</t>
  </si>
  <si>
    <t>https://ebookcentral.proquest.com/lib/istinye/detail.action?docID=6209868</t>
  </si>
  <si>
    <t>Verwaltungsrecht in der Klausur</t>
  </si>
  <si>
    <t>De Gruyter Studium Ser.</t>
  </si>
  <si>
    <t>Eisentraut, Nikolas</t>
  </si>
  <si>
    <t>https://ebookcentral.proquest.com/lib/istinye/detail.action?docID=6209869</t>
  </si>
  <si>
    <t>Confucius and Cicero : Old Ideas for a New World, New Ideas for an Old World</t>
  </si>
  <si>
    <t>Roma Sinica Ser.</t>
  </si>
  <si>
    <t>Balbo, Andrea</t>
  </si>
  <si>
    <t>Material Aspects of Reading in Ancient and Medieval Cultures : Materiality, Presence and Performance</t>
  </si>
  <si>
    <t>Krauß, Anna</t>
  </si>
  <si>
    <t>The Emergence of Multiple-Text Manuscripts</t>
  </si>
  <si>
    <t>Formulaic Language and New Data : Theoretical and Methodological Implications</t>
  </si>
  <si>
    <t>Formelhafte Sprache / Formulaic Language Ser.</t>
  </si>
  <si>
    <t>Piirainen, Elisabeth</t>
  </si>
  <si>
    <t>Zur Geschichte Deutscher Wissenschaftssprachen : Aufsätze, Essays, Vorträge und Die Abhandlung ,,Erkenntnis und Sprache in Goethes Naturwissenschaft</t>
  </si>
  <si>
    <t>Lingua Academica Ser.</t>
  </si>
  <si>
    <t>Pörksen, Uwe</t>
  </si>
  <si>
    <t>The Crisis of the 14th Century : Teleconnections Between Environmental and Societal Change?</t>
  </si>
  <si>
    <t>Bauch, Martin</t>
  </si>
  <si>
    <t>Barren Women : Religion and Medicine in the Medieval Middle East</t>
  </si>
  <si>
    <t>Islam - Thought, Culture, and Society Ser.</t>
  </si>
  <si>
    <t>Verskin, Sara</t>
  </si>
  <si>
    <t>Le Lettere Di Dante : Ambienti Culturali, Contesti Storici e Circolazione Dei Saperi</t>
  </si>
  <si>
    <t>Toscana Bilingue. Storia Sociale Della Traduzione Medievale / Bilingualism in Medieval Tuscany Ser.</t>
  </si>
  <si>
    <t>Montefusco, Antonio</t>
  </si>
  <si>
    <t>Migration und Avantgarde : Paris 1917-1962</t>
  </si>
  <si>
    <t>Mimesis Ser.</t>
  </si>
  <si>
    <t>Bung, Stephanie</t>
  </si>
  <si>
    <t>The Roll in England and France in the Late Middle Ages : Form and Content</t>
  </si>
  <si>
    <t>Holz, Stefan G.</t>
  </si>
  <si>
    <t>Logiken der Sammlung : Das Archiv Zwischen Strategie und Eigendynamik</t>
  </si>
  <si>
    <t>New Perspectives on the History of Literature : Swedish Educational programmes about Classical Antiquity, Romanticism and Strindberg 1960-2012</t>
  </si>
  <si>
    <t>Skillermark, Stina-Karin</t>
  </si>
  <si>
    <t>https://ebookcentral.proquest.com/lib/istinye/detail.action?docID=6213312</t>
  </si>
  <si>
    <t>Studies in Semitic Vocalisation and Reading Traditions</t>
  </si>
  <si>
    <t>Magnetooptical properties of dilute nitride nanowires</t>
  </si>
  <si>
    <t>Jansson, Mattias</t>
  </si>
  <si>
    <t>https://ebookcentral.proquest.com/lib/istinye/detail.action?docID=6231741</t>
  </si>
  <si>
    <t>A European Public Investment Outlook</t>
  </si>
  <si>
    <t>Cerniglia, Floriana</t>
  </si>
  <si>
    <t>A Lexicon of Medieval Nordic Law</t>
  </si>
  <si>
    <t>Love, Jeffrey</t>
  </si>
  <si>
    <t>The museum of contradictions : The co-production of museum ideals in the Swedish public debate on Moderna Museet in Stockholm, 1972–2013</t>
  </si>
  <si>
    <t>Hodén, Tintin</t>
  </si>
  <si>
    <t>https://ebookcentral.proquest.com/lib/istinye/detail.action?docID=6238610</t>
  </si>
  <si>
    <t>Global Health Economics: Shaping Health Policy In Low- And Middle-income Countries</t>
  </si>
  <si>
    <t>World Scientific Publishing Company</t>
  </si>
  <si>
    <t>World Scientific</t>
  </si>
  <si>
    <t>World Scientific Series In Global Health Economics And Public Policy</t>
  </si>
  <si>
    <t>Revill, Paul</t>
  </si>
  <si>
    <t>Discourses We Live By : Narratives of Educational and Social Endeavour</t>
  </si>
  <si>
    <t>Wright, Hazel R.</t>
  </si>
  <si>
    <t>Proteasome Inhibitors against Cancer: Determining Biology and Finding Novel Compounds</t>
  </si>
  <si>
    <t>Mofers, Arjan</t>
  </si>
  <si>
    <t>https://ebookcentral.proquest.com/lib/istinye/detail.action?docID=6265689</t>
  </si>
  <si>
    <t>Jewish-Muslim Intellectual History Entangled : Textual Materials from the Firkovitch Collection, Saint Petersburg</t>
  </si>
  <si>
    <t>Camilla, Adang</t>
  </si>
  <si>
    <t>Simplified Signs : A Manual Sign-Communication System for Special Populations, Volume 1</t>
  </si>
  <si>
    <t xml:space="preserve">Bonvillian, John D. </t>
  </si>
  <si>
    <t>Simplified Signs : A Manual Sign-Communication System for Special Populations, Volume 2</t>
  </si>
  <si>
    <t>Sailing from Polis to Empire : Ships in the Eastern Mediterranean During the Hellenistic Period</t>
  </si>
  <si>
    <t>Nantet, Emmanuel</t>
  </si>
  <si>
    <t>Ecosystem-Based Management, Ecosystem Services and Aquatic Biodiversity : Theory, Tools and Applications</t>
  </si>
  <si>
    <t>Bewertung Von Eigentumswohnungen : Entscheidungsorientierte Bewertung Aus Sicht Privater Investoren</t>
  </si>
  <si>
    <t>Springer Fachmedien Wiesbaden GmbH</t>
  </si>
  <si>
    <t>Finanzwirtschaft, Unternehmensbewertung and Revisionswesen Ser.</t>
  </si>
  <si>
    <t>Walochnik, Stephan</t>
  </si>
  <si>
    <t>HF4999.2-6182</t>
  </si>
  <si>
    <t>https://ebookcentral.proquest.com/lib/istinye/detail.action?docID=6310309</t>
  </si>
  <si>
    <t>Paths : Why Is Life ﬁlled with So Many Detours?</t>
  </si>
  <si>
    <t>Gulyás, András</t>
  </si>
  <si>
    <t>Human Challenge Studies in Endemic Settings : Ethical and Regulatory Issues</t>
  </si>
  <si>
    <t>SpringerBriefs in Ethics Ser.</t>
  </si>
  <si>
    <t>Jamrozik, Euzebiusz</t>
  </si>
  <si>
    <t>Global Citizenship Education : Critical and International Perspectives</t>
  </si>
  <si>
    <t>Akkari, Abdeljalil</t>
  </si>
  <si>
    <t>The Limits of Art : On Borderline Cases of Artworks and Their Aesthetic Properties</t>
  </si>
  <si>
    <t>SpringerBriefs in Philosophy Ser.</t>
  </si>
  <si>
    <t>Benovsky, Jiri</t>
  </si>
  <si>
    <t>B808.5.A-Z</t>
  </si>
  <si>
    <t>https://ebookcentral.proquest.com/lib/istinye/detail.action?docID=6310338</t>
  </si>
  <si>
    <t>Water Resource Systems Planning and Management : An Introduction to Methods, Models, and Applications</t>
  </si>
  <si>
    <t>Loucks, Daniel P.</t>
  </si>
  <si>
    <t>Finite Difference Computing with Exponential Decay Models</t>
  </si>
  <si>
    <t>Lecture Notes in Computational Science and Engineering Ser.</t>
  </si>
  <si>
    <t>Langtangen, Hans Petter</t>
  </si>
  <si>
    <t>Orthogeriatrics : The Management of Older Patients with Fragility Fractures</t>
  </si>
  <si>
    <t>Practical Issues in Geriatrics Ser.</t>
  </si>
  <si>
    <t>Falaschi, Paolo</t>
  </si>
  <si>
    <t>Forschendes Lernen : Theorie, Empirie, Praxis</t>
  </si>
  <si>
    <t>Springer VS</t>
  </si>
  <si>
    <t>Wulf, Carmen</t>
  </si>
  <si>
    <t>Global Business Strategy : Multinational Corporations Venturing into Emerging Markets</t>
  </si>
  <si>
    <t>Springer Japan</t>
  </si>
  <si>
    <t>Springer Texts in Business and Economics Ser.</t>
  </si>
  <si>
    <t>Motohashi, Kazuyuki</t>
  </si>
  <si>
    <t>HF1365</t>
  </si>
  <si>
    <t>658.18</t>
  </si>
  <si>
    <t>https://ebookcentral.proquest.com/lib/istinye/detail.action?docID=6314336</t>
  </si>
  <si>
    <t>Medical Imaging Systems : An Introductory Guide</t>
  </si>
  <si>
    <t>Lecture Notes in Computer Science Ser.</t>
  </si>
  <si>
    <t>Maier, Andreas</t>
  </si>
  <si>
    <t>The Coupling of Safety and Security : Exploring Interrelations in Theory and Practice</t>
  </si>
  <si>
    <t>SpringerBriefs in Applied Sciences and Technology Ser.</t>
  </si>
  <si>
    <t>Bieder, Corinne</t>
  </si>
  <si>
    <t>Enabling industrial energy benchmarking : Process-level energy end-use, key performance indicators, and efficiency potential</t>
  </si>
  <si>
    <t>Andersson, Elias</t>
  </si>
  <si>
    <t>https://ebookcentral.proquest.com/lib/istinye/detail.action?docID=6317371</t>
  </si>
  <si>
    <t>Closing nutrient cycles</t>
  </si>
  <si>
    <t>Akram, Usman</t>
  </si>
  <si>
    <t>https://ebookcentral.proquest.com/lib/istinye/detail.action?docID=6317372</t>
  </si>
  <si>
    <t>Skalbar Bayesiansk spatial analys med Gaussiska Markov-fält</t>
  </si>
  <si>
    <t>Sidén, Per</t>
  </si>
  <si>
    <t>https://ebookcentral.proquest.com/lib/istinye/detail.action?docID=6317373</t>
  </si>
  <si>
    <t>Internet use and digital participation in everyday life : Adolescents and young adults with intellectual disabilities</t>
  </si>
  <si>
    <t>Alfredsson Ågren, Kristin</t>
  </si>
  <si>
    <t>https://ebookcentral.proquest.com/lib/istinye/detail.action?docID=6317374</t>
  </si>
  <si>
    <t>Organic electronic devices for solar energy conversion and storage</t>
  </si>
  <si>
    <t>Jin, Yingzhi</t>
  </si>
  <si>
    <t>https://ebookcentral.proquest.com/lib/istinye/detail.action?docID=6317375</t>
  </si>
  <si>
    <t>Mathematical modeling of neurovascular coupling</t>
  </si>
  <si>
    <t>Sten, Sebastian</t>
  </si>
  <si>
    <t>https://ebookcentral.proquest.com/lib/istinye/detail.action?docID=6317376</t>
  </si>
  <si>
    <t>Combatting Illicit Trade on the EU Border : A Comparative Perspective</t>
  </si>
  <si>
    <t>Nowak, Celina</t>
  </si>
  <si>
    <t>KJE2041-2635</t>
  </si>
  <si>
    <t>https://ebookcentral.proquest.com/lib/istinye/detail.action?docID=6320909</t>
  </si>
  <si>
    <t>Measuring the Business Value of Cloud Computing</t>
  </si>
  <si>
    <t>Palgrave Studies in Digital Business and Enabling Technologies Ser.</t>
  </si>
  <si>
    <t>Lynn, Theo</t>
  </si>
  <si>
    <t>Technical Universities : Past, Present and Future</t>
  </si>
  <si>
    <t>Higher Education Dynamics Ser.</t>
  </si>
  <si>
    <t>Service Design Capabilities</t>
  </si>
  <si>
    <t>Springer Series in Design and Innovation Ser.</t>
  </si>
  <si>
    <t>Morelli, Nicola</t>
  </si>
  <si>
    <t>Sustainable Land Management in a European Context : A Co-Design Approach</t>
  </si>
  <si>
    <t>Human-Environment Interactions Ser.</t>
  </si>
  <si>
    <t>Weith, Thomas</t>
  </si>
  <si>
    <t>Hochwasserminderung Im ländlichen Raum : Ein Handbuch Zur Quantitativen Planung</t>
  </si>
  <si>
    <t>Springer Berlin / Heidelberg</t>
  </si>
  <si>
    <t>Springer Spektrum</t>
  </si>
  <si>
    <t>Seibert, Simon P.</t>
  </si>
  <si>
    <t>Immune-to-Brain Signaling in Fever : The Brain Endothelium as Interface</t>
  </si>
  <si>
    <t>Mirrasekhian, Elahe</t>
  </si>
  <si>
    <t>https://ebookcentral.proquest.com/lib/istinye/detail.action?docID=6321945</t>
  </si>
  <si>
    <t>Contributions to Semantic Dependency Parsing : Search, Learning, and Application</t>
  </si>
  <si>
    <t>Kurtz, Robin</t>
  </si>
  <si>
    <t>https://ebookcentral.proquest.com/lib/istinye/detail.action?docID=6321946</t>
  </si>
  <si>
    <t>Switching Kinetics and Charge Transport in Organic Ferroelectrics</t>
  </si>
  <si>
    <t>Cornelissen, Tim</t>
  </si>
  <si>
    <t>https://ebookcentral.proquest.com/lib/istinye/detail.action?docID=6321947</t>
  </si>
  <si>
    <t>Species’ responses to an ever-changing world</t>
  </si>
  <si>
    <t>Årevall, Jonatan</t>
  </si>
  <si>
    <t>https://ebookcentral.proquest.com/lib/istinye/detail.action?docID=6321948</t>
  </si>
  <si>
    <t>Die Emotionale Erfahrung des Asyls : Lebenswelten Afghanischer Geflüchteter in Berlin</t>
  </si>
  <si>
    <t>Behnam Shad, Klaus</t>
  </si>
  <si>
    <t>H1-970.9</t>
  </si>
  <si>
    <t>https://ebookcentral.proquest.com/lib/istinye/detail.action?docID=6331579</t>
  </si>
  <si>
    <t>Particle Physics Reference Library : Volume 1: Theory and Experiments</t>
  </si>
  <si>
    <t>Schopper, Herwig</t>
  </si>
  <si>
    <t>Evidenzbasierter Fledermausschutz in Windkraftvorhaben</t>
  </si>
  <si>
    <t>Voigt, Christian C.</t>
  </si>
  <si>
    <t>Evaluating Information Retrieval and Access Tasks : NTCIR's Legacy of Research Impact</t>
  </si>
  <si>
    <t>The Information Retrieval Ser.</t>
  </si>
  <si>
    <t>Sakai, Tetsuya</t>
  </si>
  <si>
    <t>Die Business Judgement Rule : Auslegung der Legalit�tspflicht Bei Unklarer Rechtslage</t>
  </si>
  <si>
    <t>Business, Economics, and Law Ser.</t>
  </si>
  <si>
    <t>Willen, Max</t>
  </si>
  <si>
    <t>https://ebookcentral.proquest.com/lib/istinye/detail.action?docID=6331614</t>
  </si>
  <si>
    <t>Particle Physics Reference Library : Volume 2: Detectors for Particles and Radiation</t>
  </si>
  <si>
    <t>Fabjan, Christian W.</t>
  </si>
  <si>
    <t>Pflege-Report 2020 : Neuausrichtung Von Versorgung und Finanzierung</t>
  </si>
  <si>
    <t>Jacobs, Klaus</t>
  </si>
  <si>
    <t>Cyber-Physical Systems: a Model-Based Approach</t>
  </si>
  <si>
    <t>Taha, Walid M.</t>
  </si>
  <si>
    <t>Agiles Lernen Im Unternehmen</t>
  </si>
  <si>
    <t>Springer Vieweg</t>
  </si>
  <si>
    <t>Longmuß, Jörg</t>
  </si>
  <si>
    <t>Forest and Rangeland Soils of the United States under Changing Conditions : A Comprehensive Science Synthesis</t>
  </si>
  <si>
    <t>Pouyat, Richard V.</t>
  </si>
  <si>
    <t>Media Primitivism : Technological Art in Africa</t>
  </si>
  <si>
    <t>The Visual Arts of Africa and Its Diasporas Ser.</t>
  </si>
  <si>
    <t>Collier, Delinda</t>
  </si>
  <si>
    <t>NX456</t>
  </si>
  <si>
    <t>https://ebookcentral.proquest.com/lib/istinye/detail.action?docID=6336113</t>
  </si>
  <si>
    <t>Thinking Like a Climate : Governing a City in Times of Environmental Change</t>
  </si>
  <si>
    <t>Knox, Hannah</t>
  </si>
  <si>
    <t>Reliability and Validity of International Large-Scale Assessment : Understanding IEA's Comparative Studies of Student Achievement</t>
  </si>
  <si>
    <t>IEA Research for Education Ser.</t>
  </si>
  <si>
    <t>Wagemaker, Hans</t>
  </si>
  <si>
    <t>LB3050-3060.87</t>
  </si>
  <si>
    <t>https://ebookcentral.proquest.com/lib/istinye/detail.action?docID=6336345</t>
  </si>
  <si>
    <t>Words, Objects and Events in Economics : The Making of Economic Theory</t>
  </si>
  <si>
    <t>Virtues and Economics Ser.</t>
  </si>
  <si>
    <t>Róna, Peter</t>
  </si>
  <si>
    <t>Haptics: Science, Technology, Applications : 12th International Conference, EuroHaptics 2020, Leiden, the Netherlands, September 6-9, 2020, Proceedings</t>
  </si>
  <si>
    <t>Driving in Virtual Reality : Requirements for automotive research and development</t>
  </si>
  <si>
    <t>Blissing, Björn</t>
  </si>
  <si>
    <t>https://ebookcentral.proquest.com/lib/istinye/detail.action?docID=6340287</t>
  </si>
  <si>
    <t>Health Technology Assessment of Assistance Dogs and Dog-Assisted Interventions</t>
  </si>
  <si>
    <t>Lundqvist, Martina</t>
  </si>
  <si>
    <t>https://ebookcentral.proquest.com/lib/istinye/detail.action?docID=6340288</t>
  </si>
  <si>
    <t>Reasons for Language : Language and Analogical Reasoning Ability in Children with Cochlear Implants and Children with Typical Hearing</t>
  </si>
  <si>
    <t>Socher, Michaela</t>
  </si>
  <si>
    <t>https://ebookcentral.proquest.com/lib/istinye/detail.action?docID=6340289</t>
  </si>
  <si>
    <t>Renewable and Scalable Energy Storage Materials Derived from Quinones in Biomass</t>
  </si>
  <si>
    <t>Liu, Lianlian</t>
  </si>
  <si>
    <t>https://ebookcentral.proquest.com/lib/istinye/detail.action?docID=6340291</t>
  </si>
  <si>
    <t>The Economics of Water : Rules and Institutions</t>
  </si>
  <si>
    <t>Springer Water Ser.</t>
  </si>
  <si>
    <t>Meran, Georg</t>
  </si>
  <si>
    <t>Optical Studies of Bio-inspired Materials for Camouflage</t>
  </si>
  <si>
    <t>Åkerlind, Christina</t>
  </si>
  <si>
    <t>https://ebookcentral.proquest.com/lib/istinye/detail.action?docID=6348692</t>
  </si>
  <si>
    <t>Neurogenic bladder and bowel dysfunction : Clinical aspects in children with spinal dysraphism</t>
  </si>
  <si>
    <t>Wide, Peter</t>
  </si>
  <si>
    <t>https://ebookcentral.proquest.com/lib/istinye/detail.action?docID=6348693</t>
  </si>
  <si>
    <t>Cell-Free Massive MIMO : Scalability, Signal Processing and Power Control</t>
  </si>
  <si>
    <t>Interdonato, Giovanni</t>
  </si>
  <si>
    <t>https://ebookcentral.proquest.com/lib/istinye/detail.action?docID=6348694</t>
  </si>
  <si>
    <t>Exploring Proactive Market Strategies : How Proactivity Shapes Value-Creation</t>
  </si>
  <si>
    <t>Brege, Harald</t>
  </si>
  <si>
    <t>https://ebookcentral.proquest.com/lib/istinye/detail.action?docID=6348695</t>
  </si>
  <si>
    <t>Craftspeople and Designer Makers in the Contemporary Creative Economy</t>
  </si>
  <si>
    <t>Creative Working Lives Ser.</t>
  </si>
  <si>
    <t>Luckman, Susan</t>
  </si>
  <si>
    <t>Co-Creating Digital Public Services for an Ageing Society : Evidence for User-Centric Design</t>
  </si>
  <si>
    <t>Public Administration and Information Technology Ser.</t>
  </si>
  <si>
    <t>Waltzing Through Europe : Attitudes Towards Couple Dances in the Long Nineteenth Century</t>
  </si>
  <si>
    <t>Bakka, Egil</t>
  </si>
  <si>
    <t>Chronicles from Kashmir : An Annotated, Multimedia Script</t>
  </si>
  <si>
    <t>The Play in the System : The Art of Parasitical Resistance</t>
  </si>
  <si>
    <t>Fisher, Anna Watkins</t>
  </si>
  <si>
    <t>https://ebookcentral.proquest.com/lib/istinye/detail.action?docID=6352082</t>
  </si>
  <si>
    <t>Carbon Pricing in Japan</t>
  </si>
  <si>
    <t>Economics, Law, and Institutions in Asia Pacific Ser.</t>
  </si>
  <si>
    <t>Arimura, Toshi H.</t>
  </si>
  <si>
    <t>The Narrative Subject : Storytelling in the Age of the Internet</t>
  </si>
  <si>
    <t>Schachtner, Christina</t>
  </si>
  <si>
    <t>HM621-HM656</t>
  </si>
  <si>
    <t>https://ebookcentral.proquest.com/lib/istinye/detail.action?docID=6352749</t>
  </si>
  <si>
    <t>The Demography of Disasters : Impacts for Population and Place</t>
  </si>
  <si>
    <t>Karácsonyi, Dávid</t>
  </si>
  <si>
    <t>Educational Aspirations and Attainments : How resources relate to outcomes for children of immigrants in disadvantaged Swedish schools</t>
  </si>
  <si>
    <t>Nygård, Olav</t>
  </si>
  <si>
    <t>https://ebookcentral.proquest.com/lib/istinye/detail.action?docID=6353538</t>
  </si>
  <si>
    <t>Tailoring Conducting Polymer Interface for Sensing and Biosensing</t>
  </si>
  <si>
    <t>Meng, Lingyin</t>
  </si>
  <si>
    <t>https://ebookcentral.proquest.com/lib/istinye/detail.action?docID=6353540</t>
  </si>
  <si>
    <t>High-Quality Perovskite Films for Efficient and Stable Light-Emitting Diodes</t>
  </si>
  <si>
    <t>Wang, Heyong</t>
  </si>
  <si>
    <t>https://ebookcentral.proquest.com/lib/istinye/detail.action?docID=6353541</t>
  </si>
  <si>
    <t>The Ethics of Bilateral Labor Agreements for Nurses : Perspectives from the Philippines</t>
  </si>
  <si>
    <t>Fernandez, Klein</t>
  </si>
  <si>
    <t>https://ebookcentral.proquest.com/lib/istinye/detail.action?docID=6353542</t>
  </si>
  <si>
    <t>Life Cycle Management</t>
  </si>
  <si>
    <t>Springer Netherlands</t>
  </si>
  <si>
    <t>LCA Compendium - the Complete World of Life Cycle Assessment Ser.</t>
  </si>
  <si>
    <t>Sonnemann, Guido</t>
  </si>
  <si>
    <t>From Melancholia to Depression : Disordered Mood in Nineteenth-Century Psychiatry</t>
  </si>
  <si>
    <t>Mental Health in Historical Perspective Ser.</t>
  </si>
  <si>
    <t>Jansson, Åsa</t>
  </si>
  <si>
    <t>HN</t>
  </si>
  <si>
    <t>https://ebookcentral.proquest.com/lib/istinye/detail.action?docID=6355554</t>
  </si>
  <si>
    <t>Pluralistic Struggles in Gender, Sexuality and Coloniality : Challenging Swedish Exceptionalism</t>
  </si>
  <si>
    <t>Alm, Erika</t>
  </si>
  <si>
    <t>An insight into the metabolism of New Psychoactive Substances : Structural elucidation of urinary metabolites of synthetic cannabinoids and fentanyl analogues using synthesized reference standards</t>
  </si>
  <si>
    <t>Wallgren, Jakob</t>
  </si>
  <si>
    <t>https://ebookcentral.proquest.com/lib/istinye/detail.action?docID=6357729</t>
  </si>
  <si>
    <t>Virulent Zones : Animal Disease and Global Health at China's Pandemic Epicenter</t>
  </si>
  <si>
    <t>Fearnley, Lyle</t>
  </si>
  <si>
    <t>Developments in Demographic Forecasting</t>
  </si>
  <si>
    <t>The Springer Series on Demographic Methods and Population Analysis Ser.</t>
  </si>
  <si>
    <t>Mazzuco, Stefano</t>
  </si>
  <si>
    <t>A Philosophical Examination of Social Justice and Child Poverty</t>
  </si>
  <si>
    <t>Palgrave Macmillan UK</t>
  </si>
  <si>
    <t>Schweiger, G.</t>
  </si>
  <si>
    <t>When Can Oil Economies Be Deemed Sustainable?</t>
  </si>
  <si>
    <t>The Political Economy of the Middle East Ser.</t>
  </si>
  <si>
    <t>Luciani, Giacomo</t>
  </si>
  <si>
    <t>Methods for Capacity Allocation in Deregulated Railway Markets</t>
  </si>
  <si>
    <t>Ait Ali, Abderrahman</t>
  </si>
  <si>
    <t>https://ebookcentral.proquest.com/lib/istinye/detail.action?docID=6363053</t>
  </si>
  <si>
    <t>Middle ear cholesteatoma : Surgical outcome and aspects of the innate immunity</t>
  </si>
  <si>
    <t>Westerberg, Johanna</t>
  </si>
  <si>
    <t>https://ebookcentral.proquest.com/lib/istinye/detail.action?docID=6363054</t>
  </si>
  <si>
    <t>Diagnosing pneumonia in primary care : Aspects of the value of clinical and laboratory findings and the use of chest X-ray</t>
  </si>
  <si>
    <t>Moberg, Anna</t>
  </si>
  <si>
    <t>https://ebookcentral.proquest.com/lib/istinye/detail.action?docID=6363055</t>
  </si>
  <si>
    <t>Couches minces métalliques sur substrats à faible interaction : Dynamics nanométriques de croissance, contraintes résiduelles, et manipulation de morphologie</t>
  </si>
  <si>
    <t>Jamnig, Andreas</t>
  </si>
  <si>
    <t>https://ebookcentral.proquest.com/lib/istinye/detail.action?docID=6363056</t>
  </si>
  <si>
    <t>Self-Control, Financial Well-Being, and Motivated Reasoning : Essays in Behavioral Finance</t>
  </si>
  <si>
    <t>Strömbäck, Camilla</t>
  </si>
  <si>
    <t>https://ebookcentral.proquest.com/lib/istinye/detail.action?docID=6363057</t>
  </si>
  <si>
    <t>Utveckling och utvärdering av en internetbaserad behandling för generaliserat ångestsyndrom : ett acceptansbaserat förhållningssätt</t>
  </si>
  <si>
    <t>Dahlin, Mats</t>
  </si>
  <si>
    <t>https://ebookcentral.proquest.com/lib/istinye/detail.action?docID=6363058</t>
  </si>
  <si>
    <t>Teaching Materials in Practice : The Use of Teaching Materials in Religious Education at Swedish Upper Secondary Schools</t>
  </si>
  <si>
    <t>Widholm, Tomas</t>
  </si>
  <si>
    <t>https://ebookcentral.proquest.com/lib/istinye/detail.action?docID=6363059</t>
  </si>
  <si>
    <t>Quantitative genetics of gene expression and methylation in the chicken</t>
  </si>
  <si>
    <t>Höglund, Andrey</t>
  </si>
  <si>
    <t>https://ebookcentral.proquest.com/lib/istinye/detail.action?docID=6363060</t>
  </si>
  <si>
    <t>Incontinence, physical activity, and pelvic floor muscle training in female pelvic cancer survivors after radiotherapy</t>
  </si>
  <si>
    <t>Lindgren, Anna</t>
  </si>
  <si>
    <t>https://ebookcentral.proquest.com/lib/istinye/detail.action?docID=6363061</t>
  </si>
  <si>
    <t>Technology, Design and the Arts - Opportunities and Challenges</t>
  </si>
  <si>
    <t>Springer Series on Cultural Computing Ser.</t>
  </si>
  <si>
    <t>Earnshaw, Rae</t>
  </si>
  <si>
    <t>Rewilding European Landscapes</t>
  </si>
  <si>
    <t>Pereira, Henrique M.</t>
  </si>
  <si>
    <t>New Horizons for a Data-Driven Economy : A Roadmap for Usage and Exploitation of Big Data in Europe</t>
  </si>
  <si>
    <t>Cavanillas, José María</t>
  </si>
  <si>
    <t>The GEO Handbook on Biodiversity Observation Networks</t>
  </si>
  <si>
    <t>Walters, Michele</t>
  </si>
  <si>
    <t>The Sustainability of Agro-Food and Natural Resource Systems in the Mediterranean Basin</t>
  </si>
  <si>
    <t>Vastola, Antonella</t>
  </si>
  <si>
    <t>The Plight of Older Workers : Labor Market Experience after Plant Closure in the Swiss Manufacturing Sector</t>
  </si>
  <si>
    <t>Life Course Research and Social Policies Ser.</t>
  </si>
  <si>
    <t>Baumann, Isabel</t>
  </si>
  <si>
    <t>HM548</t>
  </si>
  <si>
    <t>https://ebookcentral.proquest.com/lib/istinye/detail.action?docID=6363098</t>
  </si>
  <si>
    <t>Optics in Our Time</t>
  </si>
  <si>
    <t>Al-Amri, Mohammad D.</t>
  </si>
  <si>
    <t>Communicating, Networking: Interacting : The International Year of Global Understanding - IYGU</t>
  </si>
  <si>
    <t>SpringerBriefs in Global Understanding Ser.</t>
  </si>
  <si>
    <t>Robertson, Margaret E.</t>
  </si>
  <si>
    <t>P87-96</t>
  </si>
  <si>
    <t>https://ebookcentral.proquest.com/lib/istinye/detail.action?docID=6363103</t>
  </si>
  <si>
    <t>Marine Anthropogenic Litter</t>
  </si>
  <si>
    <t>Bergmann, Melanie</t>
  </si>
  <si>
    <t>Remote Sensing of Plant Biodiversity</t>
  </si>
  <si>
    <t>Cavender-Bares, Jeannine</t>
  </si>
  <si>
    <t>Becoming a World-Class University : The Case of King Abdulaziz University</t>
  </si>
  <si>
    <t>Tayeb, Osama</t>
  </si>
  <si>
    <t>South-North Migration of EU Citizens in Times of Crisis</t>
  </si>
  <si>
    <t>Lafleur, Jean-Michel</t>
  </si>
  <si>
    <t>Has Latin American Inequality Changed Direction? : Looking over the Long Run</t>
  </si>
  <si>
    <t>Bértola, Luis</t>
  </si>
  <si>
    <t>Innovations in Quantitative Risk Management : TU München, September 2013</t>
  </si>
  <si>
    <t>Springer Proceedings in Mathematics and Statistics Ser.</t>
  </si>
  <si>
    <t>Glau, Kathrin</t>
  </si>
  <si>
    <t>Higher Education Reforms in Romania : Between the Bologna Process and National Challenges</t>
  </si>
  <si>
    <t>Curaj, Adrian</t>
  </si>
  <si>
    <t>Biotechnologies for Plant Mutation Breeding : Protocols</t>
  </si>
  <si>
    <t>Melting Hadrons, Boiling Quarks - from Hagedorn Temperature to Ultra-Relativistic Heavy-Ion Collisions at CERN : With a Tribute to Rolf Hagedorn</t>
  </si>
  <si>
    <t>Rafelski, Johann</t>
  </si>
  <si>
    <t>Evidence-Based Positron Emission Tomography : Summary of Recent Meta-Analyses on PET</t>
  </si>
  <si>
    <t>Treglia, Giorgio</t>
  </si>
  <si>
    <t>Teacher Quality, Instructional Quality and Student Outcomes : Relationships Across Countries, Cohorts and Time</t>
  </si>
  <si>
    <t>Nilsen, Trude</t>
  </si>
  <si>
    <t>Intertwingled : The Work and Influence of Ted Nelson</t>
  </si>
  <si>
    <t>History of Computing Ser.</t>
  </si>
  <si>
    <t>Dechow, Douglas R.</t>
  </si>
  <si>
    <t>Contemporary Bioethics : Islamic Perspective</t>
  </si>
  <si>
    <t>Al-Bar, Mohammed Ali</t>
  </si>
  <si>
    <t>China: Surpassing the Middle Income Trap</t>
  </si>
  <si>
    <t>Contemporary China Studies</t>
  </si>
  <si>
    <t>Zhou, Shaojie</t>
  </si>
  <si>
    <t>Psychometric Framework for Modeling Parental Involvement and Reading Literacy</t>
  </si>
  <si>
    <t>Punter, R. Annemiek</t>
  </si>
  <si>
    <t>Research Assessment in the Humanities : Towards Criteria and Procedures</t>
  </si>
  <si>
    <t>Ochsner, Michael</t>
  </si>
  <si>
    <t>River Basin Development and Human Rights in Eastern Africa -- a Policy Crossroads</t>
  </si>
  <si>
    <t>Carr, Claudia J.</t>
  </si>
  <si>
    <t>Safer Healthcare : Strategies for the Real World</t>
  </si>
  <si>
    <t>Vincent, Charles</t>
  </si>
  <si>
    <t>The Geopolitics of the Global Energy Transition</t>
  </si>
  <si>
    <t>Lecture Notes in Energy Ser.</t>
  </si>
  <si>
    <t>Hafner, Manfred</t>
  </si>
  <si>
    <t>Opening Science : The Evolving Guide on How the Internet Is Changing Research, Collaboration and Scholarly Publishing</t>
  </si>
  <si>
    <t>Friesike, Sascha</t>
  </si>
  <si>
    <t>Computation and the Humanities : Towards an Oral History of Digital Humanities</t>
  </si>
  <si>
    <t>Nyhan, Julianne</t>
  </si>
  <si>
    <t>European Guide to Power System Testing : The ERIGrid Holistic Approach for Evaluating Complex Smart Grid Configurations</t>
  </si>
  <si>
    <t>Strasser, Thomas I.</t>
  </si>
  <si>
    <t>The Interconnected Arctic -- UArctic Congress 2016</t>
  </si>
  <si>
    <t>Springer Polar Sciences Ser.</t>
  </si>
  <si>
    <t>Latola, Kirsi</t>
  </si>
  <si>
    <t>Infrastructure and Economic Growth in Asia</t>
  </si>
  <si>
    <t>Economic Studies in Inequality, Social Exclusion and Well-Being Ser.</t>
  </si>
  <si>
    <t>Cockburn, John</t>
  </si>
  <si>
    <t>Ecological Risk Assessment for Chlorpyrifos in Terrestrial and Aquatic Systems in the United States</t>
  </si>
  <si>
    <t>Reviews of Environmental Contamination and Toxicology Ser.</t>
  </si>
  <si>
    <t>Giesy, John P.</t>
  </si>
  <si>
    <t>High Mountain Conservation in a Changing World</t>
  </si>
  <si>
    <t>Advances in Global Change Research Ser.</t>
  </si>
  <si>
    <t>Catalan, Jordi</t>
  </si>
  <si>
    <t>The South Texas Health Status Review : A Health Disparities Roadmap</t>
  </si>
  <si>
    <t>Ramirez, Amelie G.</t>
  </si>
  <si>
    <t>The Challenge of Chance : A Multidisciplinary Approach from Science and the Humanities</t>
  </si>
  <si>
    <t>The Frontiers Collection</t>
  </si>
  <si>
    <t>Landsman, Klaas</t>
  </si>
  <si>
    <t>The Cellular Automaton Interpretation of Quantum Mechanics</t>
  </si>
  <si>
    <t>Fundamental Theories of Physics Ser.</t>
  </si>
  <si>
    <t>'t Hooft, Gerard</t>
  </si>
  <si>
    <t>Agile Processes in Software Engineering and Extreme Programming : 21st International Conference on Agile Software Development, XP 2020, Copenhagen, Denmark, June 8-12, 2020, Proceedings</t>
  </si>
  <si>
    <t>Lecture Notes in Business Information Processing Ser.</t>
  </si>
  <si>
    <t>Stray, Viktoria</t>
  </si>
  <si>
    <t>New Methods for Measuring and Analyzing Segregation</t>
  </si>
  <si>
    <t>Fossett, Mark</t>
  </si>
  <si>
    <t>HB848-3697</t>
  </si>
  <si>
    <t>https://ebookcentral.proquest.com/lib/istinye/detail.action?docID=6367949</t>
  </si>
  <si>
    <t>Integrated Groundwater Management : Concepts, Approaches and Challenges</t>
  </si>
  <si>
    <t>Jakeman, Anthony J.</t>
  </si>
  <si>
    <t>Fading Foundations : Probability and the Regress Problem</t>
  </si>
  <si>
    <t>Synthese Library</t>
  </si>
  <si>
    <t>Ethics Dumping : Case Studies from North-South Research Collaborations</t>
  </si>
  <si>
    <t>SpringerBriefs in Research and Innovation Governance Ser.</t>
  </si>
  <si>
    <t>Schroeder, Doris</t>
  </si>
  <si>
    <t>Physiology, Psychoacoustics and Cognition in Normal and Impaired Hearing</t>
  </si>
  <si>
    <t>Advances in Experimental Medicine and Biology Ser.</t>
  </si>
  <si>
    <t>van Dijk, Pim</t>
  </si>
  <si>
    <t>The Bavarian Commentary and Ovid : Clm 4610, the Earliest Documented Commentary on The 'Metamorphoses'</t>
  </si>
  <si>
    <t>Wahlsten Böckerman, Robin</t>
  </si>
  <si>
    <t>https://ebookcentral.proquest.com/lib/istinye/detail.action?docID=6368222</t>
  </si>
  <si>
    <t>The Life and Letters of William Sharp and Fiona Macleod : Volume 3: 1900-1905</t>
  </si>
  <si>
    <t>Liminal Spaces : Migration and Women of the Guyanese Diaspora</t>
  </si>
  <si>
    <t>Ali, Grace Aneiza</t>
  </si>
  <si>
    <t>https://ebookcentral.proquest.com/lib/istinye/detail.action?docID=6368224</t>
  </si>
  <si>
    <t>Research, Ethics and Risk in the Authoritarian Field</t>
  </si>
  <si>
    <t>Glasius, Marlies</t>
  </si>
  <si>
    <t>Care in Healthcare : Reflections on Theory and Practice</t>
  </si>
  <si>
    <t>Krause, Franziska</t>
  </si>
  <si>
    <t>Railway Ecology</t>
  </si>
  <si>
    <t>Borda-de-Água, Luís</t>
  </si>
  <si>
    <t>Investigating the Body in the Victorian Asylum : Doctors, Patients, and Practices</t>
  </si>
  <si>
    <t>Wallis, Jennifer</t>
  </si>
  <si>
    <t>https://ebookcentral.proquest.com/lib/istinye/detail.action?docID=6369363</t>
  </si>
  <si>
    <t>Dignity in the 21st Century : Middle East and West</t>
  </si>
  <si>
    <t>Spanish Economic Growth, 1850-2015</t>
  </si>
  <si>
    <t>Palgrave Studies in Economic History Ser.</t>
  </si>
  <si>
    <t>Prados de la Escosura, Leandro</t>
  </si>
  <si>
    <t>Beyond Safety Training : Embedding Safety in Professional Skills</t>
  </si>
  <si>
    <t>Promoting Active Citizenship : Markets and Choice in Scandinavian Welfare</t>
  </si>
  <si>
    <t>Sivesind, Karl Henrik</t>
  </si>
  <si>
    <t>The Innovation Revolution in Agriculture : A Roadmap to Value Creation</t>
  </si>
  <si>
    <t>S1-972</t>
  </si>
  <si>
    <t>https://ebookcentral.proquest.com/lib/istinye/detail.action?docID=6369633</t>
  </si>
  <si>
    <t>Exploring the Biopsychosocial Model in Irritable Bowel Syndrome : with emphasis on stress, comorbidities and fatigue</t>
  </si>
  <si>
    <t>Norlin, Anna-Karin</t>
  </si>
  <si>
    <t>https://ebookcentral.proquest.com/lib/istinye/detail.action?docID=6370592</t>
  </si>
  <si>
    <t>Aspects of Vitamin D Deficiency in Elderly People in Nursing Homes and in Patients with Type 2 Diabetes : with Emphasis on Mortality, Cardiovascular Morbidity and Mental Health</t>
  </si>
  <si>
    <t>Samefors, Maria</t>
  </si>
  <si>
    <t>https://ebookcentral.proquest.com/lib/istinye/detail.action?docID=6370593</t>
  </si>
  <si>
    <t>Vegetable Grafting : Principles and Practices</t>
  </si>
  <si>
    <t>CAB International</t>
  </si>
  <si>
    <t>Colla, Giuseppe</t>
  </si>
  <si>
    <t>Review of Invertebrate Biological Control Agents Introduced into Europe</t>
  </si>
  <si>
    <t>Gerber, Esther</t>
  </si>
  <si>
    <t>Legumes in Cropping Systems</t>
  </si>
  <si>
    <t>Murphy-Bokern, Donal</t>
  </si>
  <si>
    <t>New Land, New Life : A Success Story of New Land Resettlement in Bangladesh</t>
  </si>
  <si>
    <t>Jenkins, Andrew</t>
  </si>
  <si>
    <t>Building Agricultural Extension Capacity in Post-Conflict Settings</t>
  </si>
  <si>
    <t>McNamara, Paul</t>
  </si>
  <si>
    <t>Global Health Research in an Unequal World : Ethics Case Studies from Africa</t>
  </si>
  <si>
    <t>Aellah, Gemma</t>
  </si>
  <si>
    <t>Immune maturation and modulation in childhood allergies : Aspects of epigenetic, mucosal and systemic immune mediators in allergy development and prevention</t>
  </si>
  <si>
    <t>Huoman, Johanna</t>
  </si>
  <si>
    <t>https://ebookcentral.proquest.com/lib/istinye/detail.action?docID=6373741</t>
  </si>
  <si>
    <t>Photoemission and Characterization of Neutrophils and Nanoparticles : Energy Mapping and Elemental Composition with sub-µm Resolution</t>
  </si>
  <si>
    <t>Skallberg, Andreas</t>
  </si>
  <si>
    <t>https://ebookcentral.proquest.com/lib/istinye/detail.action?docID=6373742</t>
  </si>
  <si>
    <t>Construction Logistics in a City Development Setting</t>
  </si>
  <si>
    <t>Janné, Mats</t>
  </si>
  <si>
    <t>https://ebookcentral.proquest.com/lib/istinye/detail.action?docID=6373743</t>
  </si>
  <si>
    <t>Clinical and immunological aspects on recurrent pregnancy loss</t>
  </si>
  <si>
    <t>Bruno, Valentina</t>
  </si>
  <si>
    <t>https://ebookcentral.proquest.com/lib/istinye/detail.action?docID=6373744</t>
  </si>
  <si>
    <t>Introducing Vigilant Audiences</t>
  </si>
  <si>
    <t>Trottier, Daniel</t>
  </si>
  <si>
    <t>The Cultural Life of James Bond : Specters Of 007</t>
  </si>
  <si>
    <t>Verheul, Jaap</t>
  </si>
  <si>
    <t>https://ebookcentral.proquest.com/lib/istinye/detail.action?docID=6374669</t>
  </si>
  <si>
    <t>Autonomous Vehicle Maneuvering at the Limit of Friction</t>
  </si>
  <si>
    <t>Fors, Victor</t>
  </si>
  <si>
    <t>https://ebookcentral.proquest.com/lib/istinye/detail.action?docID=6377670</t>
  </si>
  <si>
    <t>Feedback in primary school classrooms</t>
  </si>
  <si>
    <t>Eriksson, Elisabeth</t>
  </si>
  <si>
    <t>https://ebookcentral.proquest.com/lib/istinye/detail.action?docID=6377672</t>
  </si>
  <si>
    <t>Molecular and serological tools for clinical diagnostics of Lyme borreliosis - can the laboratory analysis be improved?</t>
  </si>
  <si>
    <t>Lager, Malin</t>
  </si>
  <si>
    <t>https://ebookcentral.proquest.com/lib/istinye/detail.action?docID=6377673</t>
  </si>
  <si>
    <t>Computed Tomography of the Coronary Arteries : Developmental and Prognostic Investigations</t>
  </si>
  <si>
    <t>Sandstedt, Mårten</t>
  </si>
  <si>
    <t>https://ebookcentral.proquest.com/lib/istinye/detail.action?docID=6377674</t>
  </si>
  <si>
    <t>Making up Numbers : A History of Invention in Mathematics</t>
  </si>
  <si>
    <t>Kopp, Ekkehard</t>
  </si>
  <si>
    <t>https://ebookcentral.proquest.com/lib/istinye/detail.action?docID=6379906</t>
  </si>
  <si>
    <t>B C, Before Computers : On Information Technology from Writing to the Age of Digital Data</t>
  </si>
  <si>
    <t>Robertson, Stephen</t>
  </si>
  <si>
    <t>004.09</t>
  </si>
  <si>
    <t>https://ebookcentral.proquest.com/lib/istinye/detail.action?docID=6379907</t>
  </si>
  <si>
    <t>Affirmative Aesthetics and Wilful Women : Gender, Space and Mobility in Contemporary Cinema</t>
  </si>
  <si>
    <t>Ceuterick, Maud</t>
  </si>
  <si>
    <t>https://ebookcentral.proquest.com/lib/istinye/detail.action?docID=6380808</t>
  </si>
  <si>
    <t>International Labour Organization and Global Social Governance</t>
  </si>
  <si>
    <t>Halonen, Tarja</t>
  </si>
  <si>
    <t>Script Effects As the Hidden Drive of the Mind, Cognition, and Culture</t>
  </si>
  <si>
    <t>Literacy Studies</t>
  </si>
  <si>
    <t>Pae, Hye K.</t>
  </si>
  <si>
    <t>Illiberal Trends and Anti-EU Politics in East Central Europe</t>
  </si>
  <si>
    <t>Lorenz, Astrid</t>
  </si>
  <si>
    <t>Chemical Youth : Navigating Uncertainty in Search of the Good Life</t>
  </si>
  <si>
    <t>Critical Studies in Risk and Uncertainty Ser.</t>
  </si>
  <si>
    <t>Hardon, Anita</t>
  </si>
  <si>
    <t>Future Space-Transport-System Components under High Thermal and Mechanical Loads : Results from the DFG Collaborative Research Center TRR40</t>
  </si>
  <si>
    <t>Notes on Numerical Fluid Mechanics and Multidisciplinary Design Ser.</t>
  </si>
  <si>
    <t>Adams, Nikolaus A.</t>
  </si>
  <si>
    <t>Demystifying Climate Models : A Users Guide to Earth System Models</t>
  </si>
  <si>
    <t>Earth Systems Data and Models Ser.</t>
  </si>
  <si>
    <t>Gettelman, Andrew</t>
  </si>
  <si>
    <t>Re-Configurations : Contextualising Transformation Processes and Lasting Crises in the Middle East and North Africa</t>
  </si>
  <si>
    <t>Politik und Gesellschaft des Nahen Ostens Ser.</t>
  </si>
  <si>
    <t>Ouaissa, Rachid</t>
  </si>
  <si>
    <t>Data Privacy and Trust in Cloud Computing : Building Trust in the Cloud Through Assurance and Accountability</t>
  </si>
  <si>
    <t>Semantic Systems. in the Era of Knowledge Graphs : 16th International Conference on Semantic Systems, SEMANTiCS 2020, Amsterdam, the Netherlands, September 7-10, 2020, Proceedings</t>
  </si>
  <si>
    <t>Blomqvist, Eva</t>
  </si>
  <si>
    <t>Beyond Media Borders, Volume 2 : Intermedial Relations among Multimodal Media</t>
  </si>
  <si>
    <t>Elleström, Lars</t>
  </si>
  <si>
    <t>302.23</t>
  </si>
  <si>
    <t>https://ebookcentral.proquest.com/lib/istinye/detail.action?docID=6381290</t>
  </si>
  <si>
    <t>Beyond Media Borders, Volume 1 : Intermedial Relations among Multimodal Media</t>
  </si>
  <si>
    <t>https://ebookcentral.proquest.com/lib/istinye/detail.action?docID=6381308</t>
  </si>
  <si>
    <t>Ethics and Drug Resistance: Collective Responsibility for Global Public Health</t>
  </si>
  <si>
    <t>Public Health Ethics Analysis Ser.</t>
  </si>
  <si>
    <t>International Symposium on Mathematics, Quantum Theory, and Cryptography : Proceedings of MQC 2019</t>
  </si>
  <si>
    <t>Mathematics for Industry Ser.</t>
  </si>
  <si>
    <t>Takagi, Tsuyoshi</t>
  </si>
  <si>
    <t>Quantization on Nilpotent Lie Groups</t>
  </si>
  <si>
    <t>Progress in Mathematics Ser.</t>
  </si>
  <si>
    <t>Fischer, Veronique</t>
  </si>
  <si>
    <t>The Economics of Big Science : Essays by Leading Scientists and Policymakers</t>
  </si>
  <si>
    <t>Science Policy Reports</t>
  </si>
  <si>
    <t>Beck, Hans Peter</t>
  </si>
  <si>
    <t>Migration and Social Protection in Europe and Beyond (Volume 1) : Comparing Access to Welfare Entitlements</t>
  </si>
  <si>
    <t>Modeling Excitable Tissue : The EMI Framework</t>
  </si>
  <si>
    <t>Simula SpringerBriefs on Computing Ser.</t>
  </si>
  <si>
    <t>Tveito, Aslak</t>
  </si>
  <si>
    <t>Modes of Bio-Bordering : The Hidden (Dis)integration of Europe</t>
  </si>
  <si>
    <t>Palgrave Pivot</t>
  </si>
  <si>
    <t>Amelung, Nina</t>
  </si>
  <si>
    <t>Migration and Social Protection in Europe and Beyond (Volume 2) : Comparing Consular Services and Diaspora Policies</t>
  </si>
  <si>
    <t>Civilian Lunatic Asylums During the First World War : A Study of Austerity on London's Fringe</t>
  </si>
  <si>
    <t>Hilton, Claire</t>
  </si>
  <si>
    <t>Survival of the Tamest : The Domesticated Phenotype in Red Junglefowl Selected for Tameness</t>
  </si>
  <si>
    <t>Katajamaa, Rebecca</t>
  </si>
  <si>
    <t>https://ebookcentral.proquest.com/lib/istinye/detail.action?docID=6382228</t>
  </si>
  <si>
    <t>Human Trafficking in Medieval Europe : Slavery, Sexual Exploitation, and Prostitution</t>
  </si>
  <si>
    <t>Social Worlds of Late Antiquity and the Early Middle Ages Ser.</t>
  </si>
  <si>
    <t>Paolella, Christopher</t>
  </si>
  <si>
    <t>Atlas: A 25-year Insider Story Of The Lhc Experiment</t>
  </si>
  <si>
    <t>Advanced Series On Directions In High Energy Physics</t>
  </si>
  <si>
    <t>Jenni, Peter</t>
  </si>
  <si>
    <t>Myanmar: Reintegrating Into The International Community</t>
  </si>
  <si>
    <t>Li, Chenyang</t>
  </si>
  <si>
    <t>Biocomputing 2017 - Proceedings Of The Pacific Symposium</t>
  </si>
  <si>
    <t>Altman, Russ B</t>
  </si>
  <si>
    <t>Biocomputing 2016 - Proceedings Of The Pacific Symposium</t>
  </si>
  <si>
    <t>Genome Informatics 2009: Genome Informatics Series Vol. 22 - Proceedings Of The 9th Annual International Workshop On Bioinformatics And Systems Biology (Ibsb 2009)</t>
  </si>
  <si>
    <t>Imperial College Press</t>
  </si>
  <si>
    <t>Klipp, Edda</t>
  </si>
  <si>
    <t>Genome Informatics 2009: Genome Informatics Series Vol. 23 - Proceedings Of The 20th International Conference</t>
  </si>
  <si>
    <t>Sakakibara, Yasubumi</t>
  </si>
  <si>
    <t>Biocomputing 2020 - Proceedings Of The Pacific Symposium</t>
  </si>
  <si>
    <t>Fourteenth Marcel Grossmann Meeting, The: On Recent Developments In Theoretical And Experimental General Relativity, Astrophysics, And Relativistic Field Theories - Proceedings Of The Mg14 Meeting On General Relativity (In 4 Parts)</t>
  </si>
  <si>
    <t>Bianchi, Massimo</t>
  </si>
  <si>
    <t>Polarization Phenomena In Physics: Applications To Nuclear Reactions</t>
  </si>
  <si>
    <t>Tanifuji, Makoto</t>
  </si>
  <si>
    <t>https://ebookcentral.proquest.com/lib/istinye/detail.action?docID=6383178</t>
  </si>
  <si>
    <t>Biocomputing 2018 - Proceedings Of The Pacific Symposium</t>
  </si>
  <si>
    <t>Nature, Place &amp; People: Forging Connections Through Neighbourhood Landscape Design</t>
  </si>
  <si>
    <t>Tan, Puay-yok</t>
  </si>
  <si>
    <t>Innovations In Insurance, Risk- And Asset Management - Proceedings Of The Innovations In Insurance, Risk- And Asset Management Conference</t>
  </si>
  <si>
    <t>Agriculture &amp; Food Systems To 2050: Global Trends, Challenges And Opportunities</t>
  </si>
  <si>
    <t>World Scientific Series In Grand Public Policy Challenges Of The 21st Century</t>
  </si>
  <si>
    <t>Serraj, Rachid</t>
  </si>
  <si>
    <t>Biocomputing 2019 - Proceedings Of The Pacific Symposium</t>
  </si>
  <si>
    <t>Biocomputing 2012 - Proceedings Of The Pacific Symposium</t>
  </si>
  <si>
    <t>Klein, Teri E</t>
  </si>
  <si>
    <t>Biocomputing 2013 - Proceedings Of The Pacific Symposium</t>
  </si>
  <si>
    <t>Biocomputing 2011 - Proceedings Of The Pacific Symposium</t>
  </si>
  <si>
    <t>Biocomputing 2010 - Proceedings Of The Pacific Symposium</t>
  </si>
  <si>
    <t>Biological Information: New Perspectives - Proceedings Of The Symposium</t>
  </si>
  <si>
    <t>Sanford, John C</t>
  </si>
  <si>
    <t>Pacific Symposium On Biocomputing 2014</t>
  </si>
  <si>
    <t>60 Years Of Cern Experiments And Discoveries</t>
  </si>
  <si>
    <t>Pacific Symposium On Biocomputing 2015</t>
  </si>
  <si>
    <t>High Luminosity Large Hadron Collider, The: The New Machine For Illuminating The Mysteries Of Universe</t>
  </si>
  <si>
    <t>Rossi, Lucio</t>
  </si>
  <si>
    <t>Sustainable Asia: Supporting The Transition To Sustainable Consumption And Production In Asian Developing Countries</t>
  </si>
  <si>
    <t>Schroeder, Patrick</t>
  </si>
  <si>
    <t>Standard Theory Of Particle Physics, The: Essays To Celebrate Cern's 60th Anniversary</t>
  </si>
  <si>
    <t>Maiani, Luciano</t>
  </si>
  <si>
    <t>Technology Meets Research - 60 Years Of Cern Technology: Selected Highlights</t>
  </si>
  <si>
    <t>Fabjan, Christian W</t>
  </si>
  <si>
    <t>Social Determinants of Health in Non-Communicable Diseases : Case Studies from Japan</t>
  </si>
  <si>
    <t>Springer Series on Epidemiology and Public Health Ser.</t>
  </si>
  <si>
    <t>Kondo, Katsunori</t>
  </si>
  <si>
    <t>HB71-74</t>
  </si>
  <si>
    <t>https://ebookcentral.proquest.com/lib/istinye/detail.action?docID=6383534</t>
  </si>
  <si>
    <t>The State of Peacebuilding in Africa : Lessons Learned for Policymakers and Practitioners</t>
  </si>
  <si>
    <t>McNamee, Terence</t>
  </si>
  <si>
    <t>Data Parallel C++ : Mastering DPC++ for Programming of Heterogeneous Systems Using C++ and SYCL</t>
  </si>
  <si>
    <t>Apress L. P.</t>
  </si>
  <si>
    <t>Reinders, James</t>
  </si>
  <si>
    <t>Claiming Union Widowhood : Race, Respectability, and Poverty in the Post-Emancipation South</t>
  </si>
  <si>
    <t>Brimmer, Brandi Clay</t>
  </si>
  <si>
    <t>UB374</t>
  </si>
  <si>
    <t>https://ebookcentral.proquest.com/lib/istinye/detail.action?docID=6383590</t>
  </si>
  <si>
    <t>Minimally Invasive Glaucoma Surgery</t>
  </si>
  <si>
    <t>Sng, Chelvin C. A.</t>
  </si>
  <si>
    <t>Cohesion, Coherence and Temporal Reference from an Experimental Corpus Pragmatics Perspective</t>
  </si>
  <si>
    <t>Yearbook of Corpus Linguistics and Pragmatics Ser.</t>
  </si>
  <si>
    <t>Grisot, Cristina</t>
  </si>
  <si>
    <t>P98-98.5</t>
  </si>
  <si>
    <t>https://ebookcentral.proquest.com/lib/istinye/detail.action?docID=6384525</t>
  </si>
  <si>
    <t>Cultural Convergence : The Dublin Gate Theatre, 1928-1960</t>
  </si>
  <si>
    <t>Pilný, Ondřej</t>
  </si>
  <si>
    <t>Implementing Deeper Learning and 21st Century Education Reforms : Building an Education Renaissance after a Global Pandemic</t>
  </si>
  <si>
    <t>Reimers, Fernando M.</t>
  </si>
  <si>
    <t>LB43</t>
  </si>
  <si>
    <t>https://ebookcentral.proquest.com/lib/istinye/detail.action?docID=6384926</t>
  </si>
  <si>
    <t>Patterns of Change in 18th-Century English : A Sociolinguistic Approach</t>
  </si>
  <si>
    <t>Advances in Historical Sociolinguistics Ser.</t>
  </si>
  <si>
    <t>Nevalainen, Terttu</t>
  </si>
  <si>
    <t>Constructicography : Constructicon Development Across Languages</t>
  </si>
  <si>
    <t>Constructional Approaches to Language Ser.</t>
  </si>
  <si>
    <t>Lyngfelt, Benjamin</t>
  </si>
  <si>
    <t>Atypical Language Development in Romance Languages</t>
  </si>
  <si>
    <t>Aguilar-Mediavilla, Eva</t>
  </si>
  <si>
    <t>Approaches to Hungarian : Volume 16: Papers from the 2017 Budapest Conference</t>
  </si>
  <si>
    <t>Approaches to Hungarian Ser.</t>
  </si>
  <si>
    <t>Hegedűs, Veronika</t>
  </si>
  <si>
    <t>Language Planning As Nation Building : Ideology, Policy and Implementation in the Netherlands, 1750-1850</t>
  </si>
  <si>
    <t>Rutten, Gijsbert</t>
  </si>
  <si>
    <t>PF74.7</t>
  </si>
  <si>
    <t>https://ebookcentral.proquest.com/lib/istinye/detail.action?docID=6385914</t>
  </si>
  <si>
    <t>A Comparative Grammar of the Early Germanic Languages</t>
  </si>
  <si>
    <t>Studies in Germanic Linguistics Ser.</t>
  </si>
  <si>
    <t>Fulk, R. D.</t>
  </si>
  <si>
    <t>PD99</t>
  </si>
  <si>
    <t>https://ebookcentral.proquest.com/lib/istinye/detail.action?docID=6385916</t>
  </si>
  <si>
    <t>Skyping the Family : Interpersonal Video Communication and Domestic Life</t>
  </si>
  <si>
    <t>Benjamins Current Topics Ser.</t>
  </si>
  <si>
    <t>Harper, Richard</t>
  </si>
  <si>
    <t>Sozioanalyse in der Pädagogischen Arbeit : Ansätze und Möglichkeiten Zur Bearbeitung Von Bildungsungleichheit</t>
  </si>
  <si>
    <t>Bildung und Gesellschaft Ser.</t>
  </si>
  <si>
    <t>Rutter, Sabrina</t>
  </si>
  <si>
    <t>LB1024.2-1050.75</t>
  </si>
  <si>
    <t>https://ebookcentral.proquest.com/lib/istinye/detail.action?docID=6386034</t>
  </si>
  <si>
    <t>Applied Pedagogies for Higher Education : Real World Learning and Innovation Across the Curriculum</t>
  </si>
  <si>
    <t>Morley, Dawn A.</t>
  </si>
  <si>
    <t>Digitalisierung Souverän Gestalten : Innovative Impulse Im Maschinenbau</t>
  </si>
  <si>
    <t>Hartmann, Ernst A.</t>
  </si>
  <si>
    <t>Pain, Touch, and Decision Making : Behavioral and Brain Responses to Affective Somatosensory Stimulation</t>
  </si>
  <si>
    <t>Koppel, Lina</t>
  </si>
  <si>
    <t>https://ebookcentral.proquest.com/lib/istinye/detail.action?docID=6386233</t>
  </si>
  <si>
    <t>Support for the conceptual design stage of effective and resource-efficient offerings : A pragmatic and cross-disciplinary approach</t>
  </si>
  <si>
    <t>Brambila, Sergio</t>
  </si>
  <si>
    <t>https://ebookcentral.proquest.com/lib/istinye/detail.action?docID=6386234</t>
  </si>
  <si>
    <t>Lattice dynamics : From fundamental research to practical applications</t>
  </si>
  <si>
    <t>Tidholm, Johan</t>
  </si>
  <si>
    <t>https://ebookcentral.proquest.com/lib/istinye/detail.action?docID=6386235</t>
  </si>
  <si>
    <t>The pain profile in fibromyalgia : Painomic studies of pain characteristics and proteins in blood</t>
  </si>
  <si>
    <t>Wåhlén, Karin</t>
  </si>
  <si>
    <t>https://ebookcentral.proquest.com/lib/istinye/detail.action?docID=6386236</t>
  </si>
  <si>
    <t>Innate immune responses to &lt;em&gt;Mycobacterium tuberculosis&lt;/em&gt; infection : How extracellular traps and trained immunity can restrict bacterial growth.</t>
  </si>
  <si>
    <t>Braian, Clara</t>
  </si>
  <si>
    <t>https://ebookcentral.proquest.com/lib/istinye/detail.action?docID=6386237</t>
  </si>
  <si>
    <t>Social Hierarchies between Democracy and Autocracy</t>
  </si>
  <si>
    <t>Toelstede, Björn</t>
  </si>
  <si>
    <t>https://ebookcentral.proquest.com/lib/istinye/detail.action?docID=6386238</t>
  </si>
  <si>
    <t>Transnational Solidarity in Times of Crises : Citizen Organisations and Collective Learning in Europe</t>
  </si>
  <si>
    <t>Palgrave Studies in European Political Sociology Ser.</t>
  </si>
  <si>
    <t>Lahusen, Christian</t>
  </si>
  <si>
    <t>European Higher Education Area: Challenges for a New Decade</t>
  </si>
  <si>
    <t>Migration and Social Protection in Europe and Beyond (Volume 3) : A Focus on Non-EU Sending States</t>
  </si>
  <si>
    <t>Guardians of Public Value : How Public Organisations Become and Remain Institutions</t>
  </si>
  <si>
    <t>Boin, Arjen</t>
  </si>
  <si>
    <t>Studierendenmigration und Entwicklung : Eine Fallstudie Am Beispiel des KAAD</t>
  </si>
  <si>
    <t>Krannich, Sascha</t>
  </si>
  <si>
    <t>Digital Entrepreneurship : Impact on Business and Society</t>
  </si>
  <si>
    <t>Future of Business and Finance Ser.</t>
  </si>
  <si>
    <t>Soltanifar, Mariusz</t>
  </si>
  <si>
    <t>Towards a Comparative Analysis of Social Inequalities Between Europe and Latin America</t>
  </si>
  <si>
    <t>López-Roldán, Pedro</t>
  </si>
  <si>
    <t>Wirtschaft Neu Lehren : Erfahrungen Aus der Pluralen, Sozioökonomischen Hochschulbildung</t>
  </si>
  <si>
    <t>Sozioökonomische Bildung und Wissenschaft Ser.</t>
  </si>
  <si>
    <t>Urban, Janina</t>
  </si>
  <si>
    <t>Applications of summation-by-parts operators</t>
  </si>
  <si>
    <t>Ålund, Oskar</t>
  </si>
  <si>
    <t>https://ebookcentral.proquest.com/lib/istinye/detail.action?docID=6396307</t>
  </si>
  <si>
    <t>Immune regulation at the foetal-maternal interface</t>
  </si>
  <si>
    <t>Color Tuning for Perovskite Light-Emitting Diodes</t>
  </si>
  <si>
    <t>Yu, Hongling</t>
  </si>
  <si>
    <t>https://ebookcentral.proquest.com/lib/istinye/detail.action?docID=6396309</t>
  </si>
  <si>
    <t>[Faust. Jern und Bäteln. Scherz, List und Rache]</t>
  </si>
  <si>
    <t>1790-04-01</t>
  </si>
  <si>
    <t>Goethe, Johann Wolfgang</t>
  </si>
  <si>
    <t>253.50</t>
  </si>
  <si>
    <t>https://ebookcentral.proquest.com/lib/istinye/detail.action?docID=6396950</t>
  </si>
  <si>
    <t>Social Movements and Solidarity Structures in Crisis-Ridden Greece</t>
  </si>
  <si>
    <t>Malamidis, Haris</t>
  </si>
  <si>
    <t>Water Conflicts and Cooperation: a Media Handbook</t>
  </si>
  <si>
    <t>Dewedar, Rasha</t>
  </si>
  <si>
    <t>Maria Stuart</t>
  </si>
  <si>
    <t>Plato's 'Republic' : An Introduction</t>
  </si>
  <si>
    <t>McAleer, Sean</t>
  </si>
  <si>
    <t>https://ebookcentral.proquest.com/lib/istinye/detail.action?docID=6402742</t>
  </si>
  <si>
    <t>The Atheist's Bible : Diderot's 'Éléments de Physiologie'</t>
  </si>
  <si>
    <t>Unsettling Responsibility in Science Education : Indigenous Science, Deconstruction, and the Multicultural Science Education Debate</t>
  </si>
  <si>
    <t>Palgrave Studies in Educational Futures Ser.</t>
  </si>
  <si>
    <t>XcalableMP PGAS Programming Language : From Programming Model to Applications</t>
  </si>
  <si>
    <t>Sato, Mitsuhisa</t>
  </si>
  <si>
    <t>QA76.76.C65</t>
  </si>
  <si>
    <t>https://ebookcentral.proquest.com/lib/istinye/detail.action?docID=6403583</t>
  </si>
  <si>
    <t>The Social Dynamics of Labor Market Inclusion</t>
  </si>
  <si>
    <t>Strindlund, Lena</t>
  </si>
  <si>
    <t>https://ebookcentral.proquest.com/lib/istinye/detail.action?docID=6404589</t>
  </si>
  <si>
    <t>Kunskap i läroplaner för yrkesutbildning och makt i samhälle och på arbetsmarknaden : Politik och praktik: efterfrågebaserad och arbetsgivarstyrd svensk yrkeshögskoleutbildning</t>
  </si>
  <si>
    <t>Köpsén, Johanna</t>
  </si>
  <si>
    <t>https://ebookcentral.proquest.com/lib/istinye/detail.action?docID=6404590</t>
  </si>
  <si>
    <t>Neuro-immuno-regulation of inflammation in the colonic mucosa : Focus on mast cells and eosinophils in bowel disorders</t>
  </si>
  <si>
    <t>Casado Bedmar, Maria Teresa</t>
  </si>
  <si>
    <t>https://ebookcentral.proquest.com/lib/istinye/detail.action?docID=6404591</t>
  </si>
  <si>
    <t>Metal film growth on weakly-interacting substrates : Multiscale modeling</t>
  </si>
  <si>
    <t>Gervilla Palomar, Víctor</t>
  </si>
  <si>
    <t>https://ebookcentral.proquest.com/lib/istinye/detail.action?docID=6404592</t>
  </si>
  <si>
    <t>Drug use during pregnancy with focus on antidepressants</t>
  </si>
  <si>
    <t>Wolgast, Emelie</t>
  </si>
  <si>
    <t>https://ebookcentral.proquest.com/lib/istinye/detail.action?docID=6404593</t>
  </si>
  <si>
    <t>Pilot Society and the Energy Transition : The Co-Shaping of Innovation, Participation and Politics</t>
  </si>
  <si>
    <t>Ryghaug, Marianne</t>
  </si>
  <si>
    <t>Teaching Multiplication with Lesson Study : Japanese and Ibero-American Theories for International Mathematics Education</t>
  </si>
  <si>
    <t>Isoda, Masami</t>
  </si>
  <si>
    <t>Improving a Country's Education : PISA 2018 Results in 10 Countries</t>
  </si>
  <si>
    <t>Crato, Nuno</t>
  </si>
  <si>
    <t>https://ebookcentral.proquest.com/lib/istinye/detail.action?docID=6407583</t>
  </si>
  <si>
    <t>Organic Waste Composting Through Nexus Thinking : Practices, Policies, and Trends</t>
  </si>
  <si>
    <t>Hettiarachchi, Hiroshan</t>
  </si>
  <si>
    <t>Produktivitätsmanagement 4. 0 : Praxiserprobte Vorgehensweisen Zur Nutzung der Digitalisierung in der Industrie</t>
  </si>
  <si>
    <t>Ifaa-Edition Ser.</t>
  </si>
  <si>
    <t>Jeske, Tim</t>
  </si>
  <si>
    <t>Anti-Microbial Resistance in Global Perspective</t>
  </si>
  <si>
    <t>Ackers, Louise</t>
  </si>
  <si>
    <t>Multiscale Biomechanics and Tribology of Inorganic and Organic Systems : In Memory of Professor Sergey Psakhie</t>
  </si>
  <si>
    <t>Springer Tracts in Mechanical Engineering Ser.</t>
  </si>
  <si>
    <t>Ostermeyer, Georg-Peter</t>
  </si>
  <si>
    <t>The Impact of the International Livestock Research Institute</t>
  </si>
  <si>
    <t>McIntire, John</t>
  </si>
  <si>
    <t>The Palgrave Handbook of Development Cooperation for Achieving the 2030 Agenda : Contested Collaboration</t>
  </si>
  <si>
    <t>Teacher Transition into Innovative Learning Environments : A Global Perspective</t>
  </si>
  <si>
    <t>Imms, Wesley</t>
  </si>
  <si>
    <t>Asylum Matters : On the Front Line of Administrative Decision-Making</t>
  </si>
  <si>
    <t>Palgrave Socio-Legal Studies</t>
  </si>
  <si>
    <t>Affolter, Laura</t>
  </si>
  <si>
    <t>K3236-3268.5</t>
  </si>
  <si>
    <t>https://ebookcentral.proquest.com/lib/istinye/detail.action?docID=6417096</t>
  </si>
  <si>
    <t>Klima : Politik and Green Deal | Technologie and Digitalisierung | Gesellschaft and Wirtschaft</t>
  </si>
  <si>
    <t>Wittpahl, Volker</t>
  </si>
  <si>
    <t>Tourismus und Klimawandel</t>
  </si>
  <si>
    <t>Pröbstl-Haider, Ulrike</t>
  </si>
  <si>
    <t>Environmental Valuation with Discrete Choice Experiments : Guidance on Design, Implementation and Data Analysis</t>
  </si>
  <si>
    <t>SpringerBriefs in Economics Ser.</t>
  </si>
  <si>
    <t>Mariel, Petr</t>
  </si>
  <si>
    <t>Taming the Big Green Elephant : Setting in Motion the Transformation Towards Sustainability</t>
  </si>
  <si>
    <t>Globale Gesellschaft und Internationale Beziehungen Ser.</t>
  </si>
  <si>
    <t>Hernández, Ariel Macaspac</t>
  </si>
  <si>
    <t>JA1-92</t>
  </si>
  <si>
    <t>https://ebookcentral.proquest.com/lib/istinye/detail.action?docID=6417126</t>
  </si>
  <si>
    <t>European Cultural Diplomacy and Arab Christians in Palestine, 1918-1948 : Between Contention and Connection</t>
  </si>
  <si>
    <t>Sanchez Summerer, Karène</t>
  </si>
  <si>
    <t>Gender, Reading, and Truth in the Twelfth Century : The Woman in the Mirror</t>
  </si>
  <si>
    <t>Medieval Media and Culture Ser.</t>
  </si>
  <si>
    <t>Powell, Morgan</t>
  </si>
  <si>
    <t>The World of the Seafarer : Qualitative Accounts of Working in the Global Shipping Industry</t>
  </si>
  <si>
    <t>WMU Studies in Maritime Affairs Ser.</t>
  </si>
  <si>
    <t>Gekara, Victor Oyaro</t>
  </si>
  <si>
    <t>Ernst Denert Award for Software Engineering 2019 : Practice Meets Foundations</t>
  </si>
  <si>
    <t>Felderer, Michael</t>
  </si>
  <si>
    <t>NL ARMS Netherlands Annual Review of Military Studies 2020 : Deterrence in the 21st Century--Insights from Theory and Practice</t>
  </si>
  <si>
    <t>T.M.C. Asser Press</t>
  </si>
  <si>
    <t>Nl Arms Ser.</t>
  </si>
  <si>
    <t>Osinga, Frans</t>
  </si>
  <si>
    <t>Education and Climate Change : The Role of Universities</t>
  </si>
  <si>
    <t>International Explorations in Outdoor and Environmental Education Ser.</t>
  </si>
  <si>
    <t>GE70-90</t>
  </si>
  <si>
    <t>https://ebookcentral.proquest.com/lib/istinye/detail.action?docID=6420694</t>
  </si>
  <si>
    <t>Mesoscale Analysis of Hydraulics</t>
  </si>
  <si>
    <t>Xu, Weilin</t>
  </si>
  <si>
    <t>Italienisches, Europäisches und Internationales Immaterialgüterrecht</t>
  </si>
  <si>
    <t>Bibliothek des Wirtschaftsrechts Ser.</t>
  </si>
  <si>
    <t>Laimer, Simon</t>
  </si>
  <si>
    <t>Inside Asylum Bureaucracy: Organizing Refugee Status Determination in Austria</t>
  </si>
  <si>
    <t>Dahlvik, Julia</t>
  </si>
  <si>
    <t>JV6001-9480</t>
  </si>
  <si>
    <t>https://ebookcentral.proquest.com/lib/istinye/detail.action?docID=6422500</t>
  </si>
  <si>
    <t>Plant Selection for Bioretention Systems and Stormwater Treatment Practices</t>
  </si>
  <si>
    <t>SpringerBriefs in Water Science and Technology Ser.</t>
  </si>
  <si>
    <t>Hunt, William F.</t>
  </si>
  <si>
    <t>Social and Political Dimensions of Mathematics Education : Current Thinking</t>
  </si>
  <si>
    <t>ICME-13 Topical Surveys Ser.</t>
  </si>
  <si>
    <t>Jurdak, Murad</t>
  </si>
  <si>
    <t>Seeing Ourselves Through Technology : How We Use Selfies, Blogs and Wearable Devices to See and Shape Ourselves</t>
  </si>
  <si>
    <t>Rettberg, Jill W.</t>
  </si>
  <si>
    <t>https://ebookcentral.proquest.com/lib/istinye/detail.action?docID=6422503</t>
  </si>
  <si>
    <t>North Sea Region Climate Change Assessment</t>
  </si>
  <si>
    <t>Regional Climate Studies</t>
  </si>
  <si>
    <t>Quante, Markus</t>
  </si>
  <si>
    <t>Natural Computing and Beyond : Winter School Hakodate 2011, Hakodate, Japan, March 2011 and 6th International Workshop on Natural Computing, Tokyo, Japan, March 2012, Proceedings</t>
  </si>
  <si>
    <t>Proceedings in Information and Communications Technology Ser.</t>
  </si>
  <si>
    <t>Suzuki, Yasuhiro</t>
  </si>
  <si>
    <t>Complications and Quandaries in the ICT Sector : Standard Essential Patents and Competition Issues</t>
  </si>
  <si>
    <t>Bharadwaj, Ashish</t>
  </si>
  <si>
    <t>Theories in and of Mathematics Education : Theory Strands in German Speaking Countries</t>
  </si>
  <si>
    <t>Bikner-Ahsbahs, Angelika</t>
  </si>
  <si>
    <t>Diseases of the Chest, Breast, Heart and Vessels 2019-2022 : Diagnostic and Interventional Imaging</t>
  </si>
  <si>
    <t>IDKD Springer Ser.</t>
  </si>
  <si>
    <t>Comparative Perspectives on Work-Life Balance and Gender Equality : Fathers on Leave Alone</t>
  </si>
  <si>
    <t>O'Brien, Margaret</t>
  </si>
  <si>
    <t>Capital Punishment and the Criminal Corpse in Scotland, 1740-1834</t>
  </si>
  <si>
    <t>Palgrave Historical Studies in the Criminal Corpse and Its Afterlife Ser.</t>
  </si>
  <si>
    <t>Bennett, Rachel E.</t>
  </si>
  <si>
    <t>DA1-995</t>
  </si>
  <si>
    <t>https://ebookcentral.proquest.com/lib/istinye/detail.action?docID=6422512</t>
  </si>
  <si>
    <t>The Privacy Engineer's Manifesto : Getting from Policy to Code to QA to Value</t>
  </si>
  <si>
    <t>Dennedy, Michelle</t>
  </si>
  <si>
    <t>Android Application Development for the Intel Platform</t>
  </si>
  <si>
    <t>Cohen, Ryan</t>
  </si>
  <si>
    <t>Transitions in Mathematics Education</t>
  </si>
  <si>
    <t>Gueudet, Ghislaine</t>
  </si>
  <si>
    <t>Safety Cultures, Safety Models : Taking Stock and Moving Forward</t>
  </si>
  <si>
    <t>Junge Perspektiven der Türkeiforschung in Deutschland : Band 1</t>
  </si>
  <si>
    <t>Kreiser, Klaus</t>
  </si>
  <si>
    <t>Flexibel Studieren - Vereinbarkeit Ermöglichen : Studienstrukturen Für eine Diverse Studierendenschaft</t>
  </si>
  <si>
    <t>Springer Vieweg. in Springer Fachmedien Wiesbaden GmbH</t>
  </si>
  <si>
    <t>Buß, Imke</t>
  </si>
  <si>
    <t>LB2300-2799.3</t>
  </si>
  <si>
    <t>https://ebookcentral.proquest.com/lib/istinye/detail.action?docID=6422518</t>
  </si>
  <si>
    <t>Wissenschaft und Gesellschaft: ein Vertrauensvoller Dialog : Positionen und Perspektiven der Wissenschaftskommunikation Heute</t>
  </si>
  <si>
    <t>Schnurr, Johannes</t>
  </si>
  <si>
    <t>Second Assessment of Climate Change for the Baltic Sea Basin</t>
  </si>
  <si>
    <t>The BACC II Author Team, The Bacc</t>
  </si>
  <si>
    <t>Executing Magic in the Modern Era : Criminal Bodies and the Gallows in Popular Medicine</t>
  </si>
  <si>
    <t>Migration, Gender and Social Justice : Perspectives on Human Insecurity</t>
  </si>
  <si>
    <t>Hexagon Series on Human and Environmental Security and Peace Ser.</t>
  </si>
  <si>
    <t>Truong, Thanh-Dam</t>
  </si>
  <si>
    <t>Radiological Issues for Fukushima's Revitalized Future</t>
  </si>
  <si>
    <t>Takahashi, Tomoyuki</t>
  </si>
  <si>
    <t>Advances in Production Technology</t>
  </si>
  <si>
    <t>Lecture Notes in Production Engineering Ser.</t>
  </si>
  <si>
    <t>Brecher, Christian</t>
  </si>
  <si>
    <t>Building the Infrastructure for Cloud Security : A Solutions View</t>
  </si>
  <si>
    <t>Yeluri, Raghuram</t>
  </si>
  <si>
    <t>Kundennutzen Durch Digitale Transformation : Business-Process-Management-Studie - Status Quo und Erfolgsmuster</t>
  </si>
  <si>
    <t>Springer Gabler</t>
  </si>
  <si>
    <t>Brucker-Kley, Elke</t>
  </si>
  <si>
    <t>Twitter Als Basis Wissenschaftlicher Studien : Eine Bewertung Gängiger Erhebungs- und Analysemethoden der Twitter-Forschung</t>
  </si>
  <si>
    <t>Pfaffenberger, Fabian</t>
  </si>
  <si>
    <t>https://ebookcentral.proquest.com/lib/istinye/detail.action?docID=6422527</t>
  </si>
  <si>
    <t>Prozessintelligenz : Business-Process-Management-Studie - Status Quo und Erfolgsmuster</t>
  </si>
  <si>
    <t>The EU and China in African Authoritarian Regimes : Domestic Politics and Governance Reforms</t>
  </si>
  <si>
    <t>Governance and Limited Statehood Ser.</t>
  </si>
  <si>
    <t>Hackenesch, Christine</t>
  </si>
  <si>
    <t>Socioeconomic and Environmental Implications of Agricultural Residue Burning : A Case Study of Punjab, India</t>
  </si>
  <si>
    <t>Springer (India) Private Limited</t>
  </si>
  <si>
    <t>SpringerBriefs in Environmental Science Ser.</t>
  </si>
  <si>
    <t>Kumar, Parmod</t>
  </si>
  <si>
    <t>Self-Reported Population Health: an International Perspective Based on EQ-5D</t>
  </si>
  <si>
    <t>Szende, Agota</t>
  </si>
  <si>
    <t>Subseafloor Biosphere Linked to Hydrothermal Systems : TAIGA Concept</t>
  </si>
  <si>
    <t>Ishibashi, Jun-ichiro</t>
  </si>
  <si>
    <t>Compositionality and Concepts in Linguistics and Psychology</t>
  </si>
  <si>
    <t>Language, Cognition, and Mind Ser.</t>
  </si>
  <si>
    <t>Hampton, James A.</t>
  </si>
  <si>
    <t>Exceptional Lifespans</t>
  </si>
  <si>
    <t>Demographic Research Monographs</t>
  </si>
  <si>
    <t>Maier, Heiner</t>
  </si>
  <si>
    <t>Ranaviruses : Lethal Pathogens of Ectothermic Vertebrates</t>
  </si>
  <si>
    <t>Gray, Matthew J.</t>
  </si>
  <si>
    <t>A History of Radionuclide Studies in the UK : 50th Anniversary of the British Nuclear Medicine Society</t>
  </si>
  <si>
    <t>McCready, Ralph</t>
  </si>
  <si>
    <t>Inorganic Constituents in Soil : Basics and Visuals</t>
  </si>
  <si>
    <t>Nanzyo, Masami</t>
  </si>
  <si>
    <t>Nils Petter Gleditsch: Pioneer in the Analysis of War and Peace</t>
  </si>
  <si>
    <t>SpringerBriefs on Pioneers in Science and Practice Ser.</t>
  </si>
  <si>
    <t>Gleditsch, Nils Petter</t>
  </si>
  <si>
    <t>K3581-3598.22</t>
  </si>
  <si>
    <t>https://ebookcentral.proquest.com/lib/istinye/detail.action?docID=6422538</t>
  </si>
  <si>
    <t>Aquaculture Perspective of Multi-Use Sites in the Open Ocean : The Untapped Potential for Marine Resources in the Anthropocene</t>
  </si>
  <si>
    <t>Buck, Bela H.</t>
  </si>
  <si>
    <t>Agricultural and Forestry Reconstruction after the Great East Japan Earthquake : Tsunami, Radioactive, and Reputational Damages</t>
  </si>
  <si>
    <t>Monma, Toshiyuki</t>
  </si>
  <si>
    <t>Transgovernance : Advancing Sustainability Governance</t>
  </si>
  <si>
    <t>Meuleman, Louis</t>
  </si>
  <si>
    <t>The InfoSec Handbook : An Introduction to Information Security</t>
  </si>
  <si>
    <t>Nayak, Umesha</t>
  </si>
  <si>
    <t>Verrechnungspreise : Grundlagen und Praxis</t>
  </si>
  <si>
    <t>Dawid, Roman</t>
  </si>
  <si>
    <t>HF5681.T3</t>
  </si>
  <si>
    <t>https://ebookcentral.proquest.com/lib/istinye/detail.action?docID=6422543</t>
  </si>
  <si>
    <t>Early Geometrical Thinking in the Environment of Patterns, Mosaics and Isometries</t>
  </si>
  <si>
    <t>Swoboda, Ewa</t>
  </si>
  <si>
    <t>The Handbook of Salutogenesis</t>
  </si>
  <si>
    <t>Mittelmark, Maurice B.</t>
  </si>
  <si>
    <t>Peer Review, Peer Education, and Modeling in the Practice of Clinical Ethics Consultation: the Zadeh Project</t>
  </si>
  <si>
    <t>Finder, Stuart G.</t>
  </si>
  <si>
    <t>The Making of Islamic Heritage : Muslim Pasts and Heritage Presents</t>
  </si>
  <si>
    <t>Heritage Studies in the Muslim World Ser.</t>
  </si>
  <si>
    <t>Rico, Trinidad</t>
  </si>
  <si>
    <t>Circular Migration and the Rights of Migrant Workers in Central and Eastern Europe : The EU Promise of a Triple Win Solution</t>
  </si>
  <si>
    <t>Vankova, Zvezda</t>
  </si>
  <si>
    <t>https://ebookcentral.proquest.com/lib/istinye/detail.action?docID=6422551</t>
  </si>
  <si>
    <t>Financial Crisis Management and Democracy : Lessons from Europe and Latin America</t>
  </si>
  <si>
    <t>De Souza Guilherme, Bettina</t>
  </si>
  <si>
    <t>Energy Efficient Servers : Blueprints for Data Center Optimization</t>
  </si>
  <si>
    <t>Gough, Corey</t>
  </si>
  <si>
    <t>Report on Global Environmental Competitiveness (2013)</t>
  </si>
  <si>
    <t>Current Chinese Economic Report Ser.</t>
  </si>
  <si>
    <t>Jianping, Li</t>
  </si>
  <si>
    <t>Managing the Complexity of Critical Infrastructures : A Modelling and Simulation Approach</t>
  </si>
  <si>
    <t>Studies in Systems, Decision and Control Ser.</t>
  </si>
  <si>
    <t>Setola, Roberto</t>
  </si>
  <si>
    <t>Autonomous Driving : Technical, Legal and Social Aspects</t>
  </si>
  <si>
    <t>Maurer, Markus</t>
  </si>
  <si>
    <t>Balanced Urban Development: Options and Strategies for Liveable Cities</t>
  </si>
  <si>
    <t>Water Science and Technology Library</t>
  </si>
  <si>
    <t>Maheshwari, Basant</t>
  </si>
  <si>
    <t>The Future Internet : Future Internet Assembly 2013: Validated Results and New Horizons</t>
  </si>
  <si>
    <t>Digital Video Concepts, Methods, and Metrics : Quality, Compression, Performance, and Power Trade-Off Analysis</t>
  </si>
  <si>
    <t>Akramullah, Shahriar</t>
  </si>
  <si>
    <t>Air Quality Integrated Assessment : A European Perspective</t>
  </si>
  <si>
    <t>Guariso, Giorgio</t>
  </si>
  <si>
    <t>White Paper on Joint Replacement : Status of Hip and Knee Arthroplasty Care in Germany</t>
  </si>
  <si>
    <t>Bleß, Hans-Holger</t>
  </si>
  <si>
    <t>Teaching and Learning of Calculus</t>
  </si>
  <si>
    <t>Bressoud, David</t>
  </si>
  <si>
    <t>The Future of the Law of the Sea : Bridging Gaps Between National, Individual and Common Interests</t>
  </si>
  <si>
    <t>Andreone, Gemma</t>
  </si>
  <si>
    <t>KZA1002-5205</t>
  </si>
  <si>
    <t>341.45</t>
  </si>
  <si>
    <t>https://ebookcentral.proquest.com/lib/istinye/detail.action?docID=6422564</t>
  </si>
  <si>
    <t>A Life Course Perspective on Health Trajectories and Transitions</t>
  </si>
  <si>
    <t>Burton-Jeangros, Claudine</t>
  </si>
  <si>
    <t>Model-Driven Development and Operation of Multi-Cloud Applications : The MODAClouds Approach</t>
  </si>
  <si>
    <t>Di Nitto, Elisabetta</t>
  </si>
  <si>
    <t>Innovations in Derivatives Markets : Fixed Income Modeling, Valuation Adjustments, Risk Management, and Regulation</t>
  </si>
  <si>
    <t>Diseases of the Abdomen and Pelvis 2018-2021 : Diagnostic Imaging - IDKD Book</t>
  </si>
  <si>
    <t>Advances in Wheat Genetics: from Genome to Field : Proceedings of the 12th International Wheat Genetics Symposium</t>
  </si>
  <si>
    <t>Ogihara, Yasunari</t>
  </si>
  <si>
    <t>Illustrated Pollen Terminology</t>
  </si>
  <si>
    <t>Halbritter, Heidemarie</t>
  </si>
  <si>
    <t>Knowledge and Action</t>
  </si>
  <si>
    <t>Knowledge and Space Ser.</t>
  </si>
  <si>
    <t>Agroecology Now! : Transformations Towards More Just and Sustainable Food Systems</t>
  </si>
  <si>
    <t>Anderson, Colin Ray</t>
  </si>
  <si>
    <t>A History of Force Feeding : Hunger Strikes, Prisons and Medical Ethics, 1909-1974</t>
  </si>
  <si>
    <t>Miller, Ian</t>
  </si>
  <si>
    <t>Die Big-Data-Debatte : Chancen und Risiken der Digital Vernetzten Gesellschaft</t>
  </si>
  <si>
    <t>Ship and Offshore Structure Design in Climate Change Perspective</t>
  </si>
  <si>
    <t>SpringerBriefs in Climate Studies</t>
  </si>
  <si>
    <t>Bitner-Gregersen, Elzbieta Maria</t>
  </si>
  <si>
    <t>Risikoadaptierte Prävention : Governance Perspective Für Leistungsansprüche Bei Genetischen (Brustkrebs-)Risiken</t>
  </si>
  <si>
    <t>Essentials Ser.</t>
  </si>
  <si>
    <t>Meier, Friedhelm</t>
  </si>
  <si>
    <t>Nordic Mediation Research</t>
  </si>
  <si>
    <t>Nylund, Anna</t>
  </si>
  <si>
    <t>Promoting Social Dialogue in European Organizations : Human Resources Management and Constructive Conflict Management</t>
  </si>
  <si>
    <t>Industrial Relations and Conflict Management Ser.</t>
  </si>
  <si>
    <t>Euwema, Martin</t>
  </si>
  <si>
    <t>Tuberculosis in Adults and Children</t>
  </si>
  <si>
    <t>SpringerBriefs in Public Health Ser.</t>
  </si>
  <si>
    <t>Heemskerk, Dorothee</t>
  </si>
  <si>
    <t>Guideline for Salinity Assessment, Mitigation and Adaptation Using Nuclear and Related Techniques</t>
  </si>
  <si>
    <t>Zaman, Mohammad</t>
  </si>
  <si>
    <t>Methodological Investigations in Agent-Based Modelling : With Applications for the Social Sciences</t>
  </si>
  <si>
    <t>Methodos Ser.</t>
  </si>
  <si>
    <t>Silverman, Eric</t>
  </si>
  <si>
    <t>International Comparative Studies in Mathematics : Lessons for Improving Students' Learning</t>
  </si>
  <si>
    <t>Cai, Jinfa</t>
  </si>
  <si>
    <t>Proceedings of the 13th International Congress on Mathematical Education : Icme-13</t>
  </si>
  <si>
    <t>QA10.92-20</t>
  </si>
  <si>
    <t>https://ebookcentral.proquest.com/lib/istinye/detail.action?docID=6422584</t>
  </si>
  <si>
    <t>Weather and Climate Services for the Energy Industry</t>
  </si>
  <si>
    <t>Troccoli, Alberto</t>
  </si>
  <si>
    <t>Companion to European Heritage Revivals</t>
  </si>
  <si>
    <t>Egberts, Linde</t>
  </si>
  <si>
    <t>Lone Parenthood in the Life Course</t>
  </si>
  <si>
    <t>Bernardi, Laura</t>
  </si>
  <si>
    <t>Grassroots Politics and Oil Culture in Venezuela : The Revolutionary Petro-State</t>
  </si>
  <si>
    <t>Strønen, Iselin Åsedotter</t>
  </si>
  <si>
    <t>The Ecological Scarcity Method for the European Union : A Volkswagen Research Initiative: Environmental Assessments</t>
  </si>
  <si>
    <t>AutoUni - Schriftenreihe Ser.</t>
  </si>
  <si>
    <t>Ahbe, Stephan</t>
  </si>
  <si>
    <t>Innovative Medicine : Basic Research and Development</t>
  </si>
  <si>
    <t>Nakao, Kazuwa</t>
  </si>
  <si>
    <t>Access to Online Resources : A Guide for the Modern Librarian</t>
  </si>
  <si>
    <t>Botyriute, Kristina</t>
  </si>
  <si>
    <t>Z664.2-718.85</t>
  </si>
  <si>
    <t>https://ebookcentral.proquest.com/lib/istinye/detail.action?docID=6422591</t>
  </si>
  <si>
    <t>Skills Development for Inclusive and Sustainable Growth in Developing Asia-Pacific</t>
  </si>
  <si>
    <t>Technical and Vocational Education and Training: Issues, Concerns and Prospects Ser.</t>
  </si>
  <si>
    <t>Maclean, Rupert</t>
  </si>
  <si>
    <t>DevOps for Digital Leaders : Reignite Business with a Modern DevOps-Enabled Software Factory</t>
  </si>
  <si>
    <t>Ravichandran, Aruna</t>
  </si>
  <si>
    <t>Migration in the Southern Balkans : From Ottoman Territory to Globalized Nation States</t>
  </si>
  <si>
    <t>Vermeulen, Hans</t>
  </si>
  <si>
    <t>Reflections on the Fukushima Daiichi Nuclear Accident : Toward Social-Scientific Literacy and Engineering Resilience</t>
  </si>
  <si>
    <t>Ahn, Joonhong</t>
  </si>
  <si>
    <t>Rising Powers and Peacebuilding : Breaking the Mold?</t>
  </si>
  <si>
    <t>Rethinking Peace and Conflict Studies</t>
  </si>
  <si>
    <t>Call, Charles T.</t>
  </si>
  <si>
    <t>Telecommunication Economics : Selected Results of the COST Action IS0605 Econ@Tel</t>
  </si>
  <si>
    <t>Hadjiantonis, Antonis M.</t>
  </si>
  <si>
    <t>Entity-Oriented Search</t>
  </si>
  <si>
    <t>Balog, Krisztian</t>
  </si>
  <si>
    <t>QA75.5-76.95</t>
  </si>
  <si>
    <t>https://ebookcentral.proquest.com/lib/istinye/detail.action?docID=6422600</t>
  </si>
  <si>
    <t>Mobilities of Knowledge</t>
  </si>
  <si>
    <t>Jöns, Heike</t>
  </si>
  <si>
    <t>Interface Oral Health Science 2016 : Innovative Research on Biosis-Abiosis Intelligent Interface</t>
  </si>
  <si>
    <t>Sasaki, Keiichi</t>
  </si>
  <si>
    <t>A History of Self-Harm in Britain : A Genealogy of Cutting and Overdosing</t>
  </si>
  <si>
    <t>Millard, Chris</t>
  </si>
  <si>
    <t>R131-684</t>
  </si>
  <si>
    <t>https://ebookcentral.proquest.com/lib/istinye/detail.action?docID=6422603</t>
  </si>
  <si>
    <t>The European Higher Education Area : Between Critical Reflections and Future Policies</t>
  </si>
  <si>
    <t>Talent Development in European Higher Education : Honors Programs in the Benelux, Nordic and German-Speaking Countries</t>
  </si>
  <si>
    <t>Wolfensberger, Marca V. C.</t>
  </si>
  <si>
    <t>https://ebookcentral.proquest.com/lib/istinye/detail.action?docID=6422605</t>
  </si>
  <si>
    <t>Ocean-Atmosphere Interactions of Gases and Particles</t>
  </si>
  <si>
    <t>Springer Earth System Sciences Ser.</t>
  </si>
  <si>
    <t>Liss, Peter S.</t>
  </si>
  <si>
    <t>Constructions of Cancer in Early Modern England : Ravenous Natures</t>
  </si>
  <si>
    <t>Palgrave Studies in Literature, Science and Medicine Ser.</t>
  </si>
  <si>
    <t>Skuse, Alanna</t>
  </si>
  <si>
    <t>Nuclear Back-End and Transmutation Technology for Waste Disposal : Beyond the Fukushima Accident</t>
  </si>
  <si>
    <t>Nakajima, Ken</t>
  </si>
  <si>
    <t>Bisociative Knowledge Discovery : An Introduction to Concept, Algorithms, Tools, and Applications</t>
  </si>
  <si>
    <t>Berthold, Michael R.</t>
  </si>
  <si>
    <t>Disasters: Core Concepts and Ethical Theories</t>
  </si>
  <si>
    <t>Advancing Global Bioethics Ser.</t>
  </si>
  <si>
    <t>O'Mathúna, Dónal P.</t>
  </si>
  <si>
    <t>Ukrainian Migration to the European Union : Lessons from Migration Studies</t>
  </si>
  <si>
    <t>Fedyuk, Olena</t>
  </si>
  <si>
    <t>Managing Elevated Risk : Global Liquidity, Capital Flows, and Macroprudential Policy--An Asian Perspective</t>
  </si>
  <si>
    <t>Azis, Iwan J.</t>
  </si>
  <si>
    <t>Social Statistics and Ethnic Diversity : Cross-National Perspectives in Classifications and Identity Politics</t>
  </si>
  <si>
    <t>Simon, Patrick</t>
  </si>
  <si>
    <t>Science and Technology Governance and Ethics : A Global Perspective from Europe, India and China</t>
  </si>
  <si>
    <t>Ladikas, Miltos</t>
  </si>
  <si>
    <t>Krankenhaus-Report 2019 : Das Digitale Krankenhaus</t>
  </si>
  <si>
    <t>Mare-Wint : New Materials and Reliability in Offshore Wind Turbine Technology</t>
  </si>
  <si>
    <t>Ostachowicz, Wiesław</t>
  </si>
  <si>
    <t>A History of Male Psychological Disorders in Britain, 1945-1980</t>
  </si>
  <si>
    <t>Haggett, Alison</t>
  </si>
  <si>
    <t>Humanities World Report 2015</t>
  </si>
  <si>
    <t>Holm, P.</t>
  </si>
  <si>
    <t>Weißbuch Gelenkersatz : Versorgungssituation Endoprothetischer Hüft- und Knieoperationen in Deutschland</t>
  </si>
  <si>
    <t>Nicotinic Acetylcholine Receptor Signaling in Neuroprotection</t>
  </si>
  <si>
    <t>Akaike, Akinori</t>
  </si>
  <si>
    <t>Biomineralization : From Molecular and Nano-Structural Analyses to Environmental Science</t>
  </si>
  <si>
    <t>Endo, Kazuyoshi</t>
  </si>
  <si>
    <t>Nuel Belnap on Indeterminism and Free Action</t>
  </si>
  <si>
    <t>Outstanding Contributions to Logic Ser.</t>
  </si>
  <si>
    <t>Müller, Thomas</t>
  </si>
  <si>
    <t>Library and Information Sciences : Trends and Research</t>
  </si>
  <si>
    <t>Chen, Chuanfu</t>
  </si>
  <si>
    <t>Protecting the Rights of People with Autism in the Fields of Education and Employment : International, European and National Perspectives</t>
  </si>
  <si>
    <t>Della Fina, Valentina</t>
  </si>
  <si>
    <t>Integrating Immigrants in Europe : Research-Policy Dialogues</t>
  </si>
  <si>
    <t>Scholten, Peter</t>
  </si>
  <si>
    <t>Economics of Land Degradation and Improvement - a Global Assessment for Sustainable Development</t>
  </si>
  <si>
    <t>Nkonya, Ephraim</t>
  </si>
  <si>
    <t>Ethnic Identity, Social Mobility and the Role of Soulmates</t>
  </si>
  <si>
    <t>Slootman, Marieke</t>
  </si>
  <si>
    <t>https://ebookcentral.proquest.com/lib/istinye/detail.action?docID=6422633</t>
  </si>
  <si>
    <t>Nanoinformatics</t>
  </si>
  <si>
    <t>Tanaka, Isao</t>
  </si>
  <si>
    <t>Das Blaue Buch : Chemotherapie-Manual Hämatologie und Onkologie</t>
  </si>
  <si>
    <t>Engelhardt, Monika</t>
  </si>
  <si>
    <t>Perspectives on European Earthquake Engineering and Seismology : Volume 2</t>
  </si>
  <si>
    <t>Geotechnical, Geological and Earthquake Engineering Ser.</t>
  </si>
  <si>
    <t>Ansal, Atilla</t>
  </si>
  <si>
    <t>Research on Teaching and Learning Mathematics at the Tertiary Level : State-Of-the-art and Looking Ahead</t>
  </si>
  <si>
    <t>Biza, Irene</t>
  </si>
  <si>
    <t>Food Price Volatility and Its Implications for Food Security and Policy</t>
  </si>
  <si>
    <t>Kalkuhl, Matthias</t>
  </si>
  <si>
    <t>Interdisciplinary Mathematics Education : A State of the Art</t>
  </si>
  <si>
    <t>Williams, Julian</t>
  </si>
  <si>
    <t>The Ethics of Educational Healthcare Placements in Low and Middle Income Countries : First Do No Harm?</t>
  </si>
  <si>
    <t>Ahmed, Anya</t>
  </si>
  <si>
    <t>Formalizing the Shadow Economy in Serbia : Policy Measures and Growth Effects</t>
  </si>
  <si>
    <t>Contributions to Economics Ser.</t>
  </si>
  <si>
    <t>Krstić, Gorana</t>
  </si>
  <si>
    <t>Öffentliche Verwaltung - Verwaltung in Der Öffentlichkeit : Herausforderungen und Chancen der Kommunikation öffentlicher Institutionen</t>
  </si>
  <si>
    <t>Kocks, Klaus</t>
  </si>
  <si>
    <t>Education and Skills for Inclusive Growth, Green Jobs and the Greening of Economies in Asia : Case Study Summaries of India, Indonesia, Sri Lanka and Viet Nam</t>
  </si>
  <si>
    <t>Fungal Disease in Britain and the United States 1850-2000 : Mycoses and Modernity</t>
  </si>
  <si>
    <t>Science, Technology and Medicine in Modern History Ser.</t>
  </si>
  <si>
    <t>Homei, A.</t>
  </si>
  <si>
    <t>Socioeconomics of Agriculture</t>
  </si>
  <si>
    <t>Mann, Stefan</t>
  </si>
  <si>
    <t>S401</t>
  </si>
  <si>
    <t>https://ebookcentral.proquest.com/lib/istinye/detail.action?docID=6422649</t>
  </si>
  <si>
    <t>Sustainable Living with Environmental Risks</t>
  </si>
  <si>
    <t>Kaneko, Nobuhiro</t>
  </si>
  <si>
    <t>A Demographic Perspective on Gender, Family and Health in Europe</t>
  </si>
  <si>
    <t>Doblhammer, Gabriele</t>
  </si>
  <si>
    <t>Religiöse Rituale und Soziale Ordnung</t>
  </si>
  <si>
    <t>Veröffentlichungen der Sektion Religionssoziologie der Deutschen Gesellschaft Für Soziologie Ser.</t>
  </si>
  <si>
    <t>Walthert, Rafael</t>
  </si>
  <si>
    <t>BL60</t>
  </si>
  <si>
    <t>https://ebookcentral.proquest.com/lib/istinye/detail.action?docID=6422652</t>
  </si>
  <si>
    <t>Etiology and Morphogenesis of Congenital Heart Disease : From Gene Function and Cellular Interaction to Morphology</t>
  </si>
  <si>
    <t>Nakanishi, Toshio</t>
  </si>
  <si>
    <t>The Restless Compendium : Interdisciplinary Investigations of Rest and Its Opposites</t>
  </si>
  <si>
    <t>Callard, Felicity</t>
  </si>
  <si>
    <t>Linear Selection Indices in Modern Plant Breeding</t>
  </si>
  <si>
    <t>Céron-Rojas, J. Jesus</t>
  </si>
  <si>
    <t>Transdisziplinär und Transformativ Forschen : Eine Methodensammlung</t>
  </si>
  <si>
    <t>Di Giulio, Antonietta</t>
  </si>
  <si>
    <t>Gesundheitsversorgung Am Lebensende : Soziale Ungleichheit in Bezug Auf Institutionsaufenthalte und Sterbeorte</t>
  </si>
  <si>
    <t>Hedinger, Damian</t>
  </si>
  <si>
    <t>https://ebookcentral.proquest.com/lib/istinye/detail.action?docID=6422659</t>
  </si>
  <si>
    <t>Media Resistance : Protest, Dislike, Abstention</t>
  </si>
  <si>
    <t>https://ebookcentral.proquest.com/lib/istinye/detail.action?docID=6422660</t>
  </si>
  <si>
    <t>Pragmatic Philanthropy : Asian Charity Explained</t>
  </si>
  <si>
    <t>Shapiro, Ruth A.</t>
  </si>
  <si>
    <t>Manifesto of the New Economy : Institutions and Business Models of the Digital Society</t>
  </si>
  <si>
    <t>Dolgin, Alexander</t>
  </si>
  <si>
    <t>Agricultural Implications of the Fukushima Nuclear Accident</t>
  </si>
  <si>
    <t>Nakanishi, Tomoko M.</t>
  </si>
  <si>
    <t>Handbook of Ocean Wave Energy</t>
  </si>
  <si>
    <t>Ocean Engineering and Oceanography Ser.</t>
  </si>
  <si>
    <t>Pecher, Arthur</t>
  </si>
  <si>
    <t>Young People's Views of Government, Peaceful Coexistence, and Diversity in Five Latin American Countries : IEA International Civic and Citizenship Education Study 2016 Latin American Report</t>
  </si>
  <si>
    <t>Berufliche Passagen Im Lebenslauf : Berufsbildungs- und Transitionsforschung in der Schweiz</t>
  </si>
  <si>
    <t>Häfeli, Kurt</t>
  </si>
  <si>
    <t>Social Innovations in the Urban Context</t>
  </si>
  <si>
    <t>Nonprofit and Civil Society Studies</t>
  </si>
  <si>
    <t>Brandsen, Taco</t>
  </si>
  <si>
    <t>Protest Movements in Asylum and Deportation</t>
  </si>
  <si>
    <t>Rosenberger, Sieglinde</t>
  </si>
  <si>
    <t>TouchDevelop : Programming on the Go</t>
  </si>
  <si>
    <t>Horspool, Nigel</t>
  </si>
  <si>
    <t>Environmental Governance of the Baltic Sea</t>
  </si>
  <si>
    <t>MARE Publication Ser.</t>
  </si>
  <si>
    <t>Gilek, Michael</t>
  </si>
  <si>
    <t>Interferometry and Synthesis in Radio Astronomy</t>
  </si>
  <si>
    <t>Astronomy and Astrophysics Library</t>
  </si>
  <si>
    <t>Thompson, A. Richard</t>
  </si>
  <si>
    <t>Cyborgs in Latin America</t>
  </si>
  <si>
    <t>Brown, J.</t>
  </si>
  <si>
    <t>PN843-849</t>
  </si>
  <si>
    <t>https://ebookcentral.proquest.com/lib/istinye/detail.action?docID=6422672</t>
  </si>
  <si>
    <t>Physical (a)Causality : Determinism, Randomness and Uncaused Events</t>
  </si>
  <si>
    <t>Svozil, Karl</t>
  </si>
  <si>
    <t>Embedded Firmware Solutions : Development Best Practices for the Internet of Things</t>
  </si>
  <si>
    <t>Zimmer, Vincent</t>
  </si>
  <si>
    <t>Pflege-Report 2019 : Mehr Personal in der Langzeitpflege - Aber Woher?</t>
  </si>
  <si>
    <t>Freiwilliges Engagement in Deutschland : Der Deutsche Freiwilligensurvey 2014</t>
  </si>
  <si>
    <t>Empirische Studien Zum Bürgerschaftlichen Engagement Ser.</t>
  </si>
  <si>
    <t>Contemporary Issues in Human Rights Law : Europe and Asia</t>
  </si>
  <si>
    <t>Nakanishi, Yumiko</t>
  </si>
  <si>
    <t>K7000-7720.22</t>
  </si>
  <si>
    <t>https://ebookcentral.proquest.com/lib/istinye/detail.action?docID=6422677</t>
  </si>
  <si>
    <t>Climate Smart Agriculture : Building Resilience to Climate Change</t>
  </si>
  <si>
    <t>Natural Resource Management and Policy Ser.</t>
  </si>
  <si>
    <t>Lipper, Leslie</t>
  </si>
  <si>
    <t>Childlessness in Europe: Contexts, Causes, and Consequences</t>
  </si>
  <si>
    <t>Kreyenfeld, Michaela</t>
  </si>
  <si>
    <t>Nature-Based Solutions to Climate Change Adaptation in Urban Areas : Linkages Between Science, Policy and Practice</t>
  </si>
  <si>
    <t>Theory and Practice of Urban Sustainability Transitions Ser.</t>
  </si>
  <si>
    <t>Kabisch, Nadja</t>
  </si>
  <si>
    <t>Renewing Local Planning to Face Climate Change in the Tropics</t>
  </si>
  <si>
    <t>Green Energy and Technology Ser.</t>
  </si>
  <si>
    <t>Inklusives Wachstum und Wirtschaftliche Sicherheit : Erkenntnisse ökonomischer Spitzenforschung Prägnant Zusammengefasst</t>
  </si>
  <si>
    <t>Keuschnigg, Christian</t>
  </si>
  <si>
    <t>HD87-87.55</t>
  </si>
  <si>
    <t>https://ebookcentral.proquest.com/lib/istinye/detail.action?docID=6422682</t>
  </si>
  <si>
    <t>META-NET Strategic Research Agenda for Multilingual Europe 2020</t>
  </si>
  <si>
    <t>White Paper Ser.</t>
  </si>
  <si>
    <t>Rehm, Georg</t>
  </si>
  <si>
    <t>Early Childhood Policies and Systems in Eight Countries : Findings from IEA's Early Childhood Education Study</t>
  </si>
  <si>
    <t>Bertram, Tony</t>
  </si>
  <si>
    <t>Mergers and Alliances in Higher Education : International Practice and Emerging Opportunities</t>
  </si>
  <si>
    <t>Inter-Group Relations and Migrant Integration in European Cities : Changing Neighbourhoods</t>
  </si>
  <si>
    <t>Pastore, Ferruccio</t>
  </si>
  <si>
    <t>Low-Cost Methods for Molecular Characterization of Mutant Plants : Tissue Desiccation, DNA Extraction and Mutation Discovery: Protocols</t>
  </si>
  <si>
    <t>Till, Bradley J.</t>
  </si>
  <si>
    <t>Corporate Data Quality : Voraussetzung Erfolgreicher Geschäftsmodelle</t>
  </si>
  <si>
    <t>Otto, Boris</t>
  </si>
  <si>
    <t>The Mathematics Education of Prospective Secondary Teachers Around the World</t>
  </si>
  <si>
    <t>Strutchens, Marilyn E.</t>
  </si>
  <si>
    <t>Environmental Leadership Capacity Building in Higher Education : Experience and Lessons from Asian Program for Incubation of Environmental Leaders</t>
  </si>
  <si>
    <t>Mino, Takashi</t>
  </si>
  <si>
    <t>Think Big, Start Small : Streetscooter Die e-Mobile Erfolgsstory: Innovationsprozesse Radikal Effizienter</t>
  </si>
  <si>
    <t>Kampker, Achim</t>
  </si>
  <si>
    <t>Familial Feeling : Entangled Tonalities in Early Black Atlantic Writing and the Rise of the British Novel</t>
  </si>
  <si>
    <t>Haschemi Yekani, Elahe</t>
  </si>
  <si>
    <t>PN750-759</t>
  </si>
  <si>
    <t>https://ebookcentral.proquest.com/lib/istinye/detail.action?docID=6422695</t>
  </si>
  <si>
    <t>Habitats and Biota of the Gulf of Mexico: Before the Deepwater Horizon Oil Spill : Volume 2: Fish Resources, Fisheries, Sea Turtles, Avian Resources, Marine Mammals, Diseases and Mortalities</t>
  </si>
  <si>
    <t>Springer New York</t>
  </si>
  <si>
    <t>Ward, C. Herb</t>
  </si>
  <si>
    <t>Affe und Affekt : Die Poetik und Politik der Emotionalität in der Primatologie</t>
  </si>
  <si>
    <t>J. B. Metzler'sche Verlagsbuchhandlung &amp; Carl Ernst Poeschel GmbH</t>
  </si>
  <si>
    <t>Cultural Animal Studies</t>
  </si>
  <si>
    <t>Shah, Mira</t>
  </si>
  <si>
    <t>PN1-6790</t>
  </si>
  <si>
    <t>https://ebookcentral.proquest.com/lib/istinye/detail.action?docID=6422697</t>
  </si>
  <si>
    <t>Pro Git</t>
  </si>
  <si>
    <t>Chacon, Scott</t>
  </si>
  <si>
    <t>Impacts of the Fukushima Nuclear Accident on Fish and Fishing Grounds</t>
  </si>
  <si>
    <t>Nakata, Kaoru</t>
  </si>
  <si>
    <t>Limits to the European Union's Normative Power in a Post-Conflict Society : EULEX and Peacebuilding in Kosovo</t>
  </si>
  <si>
    <t>SpringerBriefs in Population Studies</t>
  </si>
  <si>
    <t>Zupančič, Rok</t>
  </si>
  <si>
    <t>Android on X86 : An Introduction to Optimizing for Intel Architecture</t>
  </si>
  <si>
    <t>Krajci, Iggy</t>
  </si>
  <si>
    <t>Radiation Monitoring and Dose Estimation of the Fukushima Nuclear Accident</t>
  </si>
  <si>
    <t>Takahashi, Sentaro</t>
  </si>
  <si>
    <t>Managing Risk and Information Security : Protect to Enable</t>
  </si>
  <si>
    <t>Harkins, Malcolm</t>
  </si>
  <si>
    <t>QA76.9.A25</t>
  </si>
  <si>
    <t>005.8</t>
  </si>
  <si>
    <t>https://ebookcentral.proquest.com/lib/istinye/detail.action?docID=6422703</t>
  </si>
  <si>
    <t>Advancing Human Assessment : The Methodological, Psychological and Policy Contributions of ETS</t>
  </si>
  <si>
    <t>Bennett, Randy E.</t>
  </si>
  <si>
    <t>Delusions in Context</t>
  </si>
  <si>
    <t>Bortolotti, Lisa</t>
  </si>
  <si>
    <t>Cultural Heritage in a Changing World</t>
  </si>
  <si>
    <t>Borowiecki, Karol Jan</t>
  </si>
  <si>
    <t>Weißbuch Multiple Sklerose : Versorgungssituation in Deutschland</t>
  </si>
  <si>
    <t>Kip, Miriam</t>
  </si>
  <si>
    <t>Society - Water - Technology : A Critical Appraisal of Major Water Engineering Projects</t>
  </si>
  <si>
    <t>Water Resources Development and Management Ser.</t>
  </si>
  <si>
    <t>Hüttl, Reinhard F.</t>
  </si>
  <si>
    <t>Office 365: Migrating and Managing Your Business in the Cloud</t>
  </si>
  <si>
    <t>Katzer, Matthew</t>
  </si>
  <si>
    <t>The Cost of Insanity in Nineteenth-Century Ireland : Public, Voluntary and Private Asylum Care</t>
  </si>
  <si>
    <t>Mauger, Alice</t>
  </si>
  <si>
    <t>Marine Carbon Biogeochemistry : A Primer for Earth System Scientists</t>
  </si>
  <si>
    <t>SpringerBriefs in Earth System Sciences Ser.</t>
  </si>
  <si>
    <t>Middelburg, Jack J.</t>
  </si>
  <si>
    <t>Self-Assembled Molecules - New Kind of Protein Ligands : Supramolecular Ligands</t>
  </si>
  <si>
    <t>Roterman, Irena</t>
  </si>
  <si>
    <t>Autonomes Fahren : Technische, Rechtliche und Gesellschaftliche Aspekte</t>
  </si>
  <si>
    <t>Technological and Institutional Innovations for Marginalized Smallholders in Agricultural Development</t>
  </si>
  <si>
    <t>Gatzweiler, Franz W.</t>
  </si>
  <si>
    <t>Enabling Asia to Stabilise the Climate</t>
  </si>
  <si>
    <t>Nishioka, Shuzo</t>
  </si>
  <si>
    <t>GE196</t>
  </si>
  <si>
    <t>https://ebookcentral.proquest.com/lib/istinye/detail.action?docID=6422719</t>
  </si>
  <si>
    <t>The Great Disruptor : Über Trump, Die Medien und Die Politik der Herabsetzung</t>
  </si>
  <si>
    <t>Koch, Lars</t>
  </si>
  <si>
    <t>Practical Economics : Economic Transformation and Government Reform in Georgia 2004-2012</t>
  </si>
  <si>
    <t>Gilauri, Nika</t>
  </si>
  <si>
    <t>JF20-1177</t>
  </si>
  <si>
    <t>https://ebookcentral.proquest.com/lib/istinye/detail.action?docID=6422721</t>
  </si>
  <si>
    <t>Computer Vision Metrics : Survey, Taxonomy, and Analysis</t>
  </si>
  <si>
    <t>Krig, Scott</t>
  </si>
  <si>
    <t>Migrating and Settling in a Mobile World : Albanian Migrants and Their Children in Europe</t>
  </si>
  <si>
    <t>Vathi, Zana</t>
  </si>
  <si>
    <t>Zukunft der Arbeit - eine Praxisnahe Betrachtung</t>
  </si>
  <si>
    <t>Wischmann, Steffen</t>
  </si>
  <si>
    <t>Contested Childhoods: Growing up in Migrancy : Migration, Governance, Identities</t>
  </si>
  <si>
    <t>Seeberg, Marie Louise</t>
  </si>
  <si>
    <t>Digitale Souveränität : Bürger, Unternehmen, Staat</t>
  </si>
  <si>
    <t>Who Will Be the Next President? : A Guide to the U. S. Presidential Election System</t>
  </si>
  <si>
    <t>Belenky, Alexander S.</t>
  </si>
  <si>
    <t>Understanding Society and Natural Resources : Forging New Strands of Integration Across the Social Sciences</t>
  </si>
  <si>
    <t>Manfredo, Michael J.</t>
  </si>
  <si>
    <t>Digitale Transformation : Fallbeispiele und Branchenanalysen</t>
  </si>
  <si>
    <t>Informationsmanagement und Digitale Transformation Ser.</t>
  </si>
  <si>
    <t>Oswald, Gerhard</t>
  </si>
  <si>
    <t>The Proceedings of the 12th International Congress on Mathematical Education : Intellectual and Attitudinal Challenges</t>
  </si>
  <si>
    <t>Cho, Sung-Je</t>
  </si>
  <si>
    <t>https://ebookcentral.proquest.com/lib/istinye/detail.action?docID=6422731</t>
  </si>
  <si>
    <t>Indigenous Pathways, Transitions and Participation in Higher Education : From Policy to Practice</t>
  </si>
  <si>
    <t>Frawley, Jack</t>
  </si>
  <si>
    <t>Environmental Governance in Latin America</t>
  </si>
  <si>
    <t>De Castro, Fabio</t>
  </si>
  <si>
    <t>Child Protection in England, 1960-2000 : Expertise, Experience, and Emotion</t>
  </si>
  <si>
    <t>Palgrave Studies in the History of Childhood Ser.</t>
  </si>
  <si>
    <t>Crane, Jennifer</t>
  </si>
  <si>
    <t>https://ebookcentral.proquest.com/lib/istinye/detail.action?docID=6422735</t>
  </si>
  <si>
    <t>Projection-Based Clustering Through Self-Organization and Swarm Intelligence : Combining Cluster Analysis with the Visualization of High-Dimensional Data</t>
  </si>
  <si>
    <t>Thrun, Michael Christoph</t>
  </si>
  <si>
    <t>Q337.5</t>
  </si>
  <si>
    <t>https://ebookcentral.proquest.com/lib/istinye/detail.action?docID=6422736</t>
  </si>
  <si>
    <t>Regulatory Pathways for Smart Grid Development in China</t>
  </si>
  <si>
    <t>Brunekreeft, Gert</t>
  </si>
  <si>
    <t>Genome Editing in Neurosciences</t>
  </si>
  <si>
    <t>Research and Perspectives in Neurosciences Ser.</t>
  </si>
  <si>
    <t>Jaenisch, Rudolf</t>
  </si>
  <si>
    <t>Sensor Technologies : Healthcare, Wellness and Environmental Applications</t>
  </si>
  <si>
    <t>McGrath, Michael J.</t>
  </si>
  <si>
    <t>History of Mathematics Teaching and Learning : Achievements, Problems, Prospects</t>
  </si>
  <si>
    <t>Karp, Alexander</t>
  </si>
  <si>
    <t>IEA International Civic and Citizenship Education Study 2016 Assessment Framework</t>
  </si>
  <si>
    <t>Counteracting Urban Heat Island Effects in a Global Climate Change Scenario</t>
  </si>
  <si>
    <t>Musco, Francesco</t>
  </si>
  <si>
    <t>Multiculturalism and Conflict Reconciliation in the Asia-Pacific : Migration, Language and Politics</t>
  </si>
  <si>
    <t>Shimizu, K.</t>
  </si>
  <si>
    <t>Research on and Activities for Mathematically Gifted Students</t>
  </si>
  <si>
    <t>Singer, Florence Mihaela</t>
  </si>
  <si>
    <t>Non-Vitamin K Antagonist Oral Anticoagulants : A Concise Guide</t>
  </si>
  <si>
    <t>Adis</t>
  </si>
  <si>
    <t>Shantsila, Eduard</t>
  </si>
  <si>
    <t>Sago Palm : Multiple Contributions to Food Security and Sustainable Livelihoods</t>
  </si>
  <si>
    <t>Ehara, Hiroshi</t>
  </si>
  <si>
    <t>Agenda-Setting Zwischen Parlament und Medien : Normative Herleitung und Empirische Untersuchung Am Beispiel der Schweiz</t>
  </si>
  <si>
    <t>Kovic, Marko</t>
  </si>
  <si>
    <t>https://ebookcentral.proquest.com/lib/istinye/detail.action?docID=6422748</t>
  </si>
  <si>
    <t>Understanding the Bigger Energy Picture : DESERTEC and Beyond</t>
  </si>
  <si>
    <t>SpringerBriefs in Energy Ser.</t>
  </si>
  <si>
    <t>Düren, Michael</t>
  </si>
  <si>
    <t>Sexual Reproduction in Animals and Plants</t>
  </si>
  <si>
    <t>Sawada, Hitoshi</t>
  </si>
  <si>
    <t>X-Ray Contrast Media : Overview, Use and Pharmaceutical Aspects</t>
  </si>
  <si>
    <t>Speck, Ulrich</t>
  </si>
  <si>
    <t>R895-920</t>
  </si>
  <si>
    <t>https://ebookcentral.proquest.com/lib/istinye/detail.action?docID=6422751</t>
  </si>
  <si>
    <t>Protocols for Pre-Field Screening of Mutants for Salt Tolerance in Rice, Wheat and Barley</t>
  </si>
  <si>
    <t>Bado, Souleymane</t>
  </si>
  <si>
    <t>Building the Foundation: Whole Numbers in the Primary Grades : The 23rd ICMI Study</t>
  </si>
  <si>
    <t>New ICMI Study Ser.</t>
  </si>
  <si>
    <t>Bartolini Bussi, Maria G.</t>
  </si>
  <si>
    <t>Vergleichsweise Menschlich? : Ambulante Sanktionen Als Alternative Zur Freiheitsentziehung Aus Europäischer Perspektive</t>
  </si>
  <si>
    <t>Schriftenreihe des Strafvollzugsarchivs Ser.</t>
  </si>
  <si>
    <t>Graebsch, Christine M.</t>
  </si>
  <si>
    <t>Poverty Reduction Policies and Practices in Developing Asia</t>
  </si>
  <si>
    <t>Heshmati, Almas</t>
  </si>
  <si>
    <t>The Philosophy of Mathematics Education</t>
  </si>
  <si>
    <t>Ernest, Paul</t>
  </si>
  <si>
    <t>Pflegeroboter</t>
  </si>
  <si>
    <t>Bendel, Oliver</t>
  </si>
  <si>
    <t>HF5387-5387.5</t>
  </si>
  <si>
    <t>https://ebookcentral.proquest.com/lib/istinye/detail.action?docID=6422757</t>
  </si>
  <si>
    <t>Advancing Energy Policy : Lessons on the Integration of Social Sciences and Humanities</t>
  </si>
  <si>
    <t>Foulds, Chris</t>
  </si>
  <si>
    <t>Teaching Tolerance in a Globalized World</t>
  </si>
  <si>
    <t>Sandoval-Hernández, Andrés</t>
  </si>
  <si>
    <t>Agricultural Implications of the Fukushima Nuclear Accident : The First Three Years</t>
  </si>
  <si>
    <t>Intel Trusted Execution Technology for Server Platforms : A Guide to More Secure Datacenters</t>
  </si>
  <si>
    <t>Futral, William</t>
  </si>
  <si>
    <t>Deutsch Als Zweitsprache: Alphabetisierung Für Jugendliche und Junge Erwachsene</t>
  </si>
  <si>
    <t>SchlaU - Werkstatt für Migrationspädagogik gGmbH, SchlaU -</t>
  </si>
  <si>
    <t>P51-59.4</t>
  </si>
  <si>
    <t>https://ebookcentral.proquest.com/lib/istinye/detail.action?docID=6422762</t>
  </si>
  <si>
    <t>Digitale Transformation und Unternehmensführung : Trends und Perspektiven Für Die Praxis</t>
  </si>
  <si>
    <t>Schellinger, Jochen</t>
  </si>
  <si>
    <t>Wie Ticken Jugendliche 2016? : Lebenswelten Von Jugendlichen Im Alter Von 14 Bis 17 Jahren in Deutschland</t>
  </si>
  <si>
    <t>Calmbach, Marc</t>
  </si>
  <si>
    <t>Wetlands and Water Framework Directive : Protection, Management and Climate Change</t>
  </si>
  <si>
    <t>GeoPlanet: Earth and Planetary Sciences Ser.</t>
  </si>
  <si>
    <t>Ignar, Stefan</t>
  </si>
  <si>
    <t>A Practical Guide to TPM 2. 0 : Using the Trusted Platform Module in the New Age of Security</t>
  </si>
  <si>
    <t>Arthur, Will</t>
  </si>
  <si>
    <t>China's Gas Development Strategies</t>
  </si>
  <si>
    <t>Advances in Oil and Gas Exploration and Production Ser.</t>
  </si>
  <si>
    <t>Shell International B.V.</t>
  </si>
  <si>
    <t>Improving Psychiatric Care for Older People : Barbara Robb's Campaign 1965-1975</t>
  </si>
  <si>
    <t>Microfinance 3. 0 : Reconciling Sustainability with Social Outreach and Responsible Delivery</t>
  </si>
  <si>
    <t>Köhn, Doris</t>
  </si>
  <si>
    <t>Habitats and Biota of the Gulf of Mexico: Before the Deepwater Horizon Oil Spill : Volume 1: Water Quality, Sediments, Sediment Contaminants, Oil and Gas Seeps, Coastal Habitats, Offshore Plankton and Benthos, and Shellfish</t>
  </si>
  <si>
    <t>GE300-350</t>
  </si>
  <si>
    <t>https://ebookcentral.proquest.com/lib/istinye/detail.action?docID=6422770</t>
  </si>
  <si>
    <t>Information Infrastructures Within European Health Care : Working with the Installed Base</t>
  </si>
  <si>
    <t>Health Informatics Ser.</t>
  </si>
  <si>
    <t>Aanestad, Margunn</t>
  </si>
  <si>
    <t>Kommunikation und Bildverarbeitung in der Automation : Ausgewählte Beiträge der Jahreskolloquien KommA und BVAu 2018</t>
  </si>
  <si>
    <t>Technologien Für Die Intelligente Automation Ser.</t>
  </si>
  <si>
    <t>Jasperneite, Jürgen</t>
  </si>
  <si>
    <t>The Illusion of Risk Control : What Does It Take to Live with Uncertainty?</t>
  </si>
  <si>
    <t>Motet, Gilles</t>
  </si>
  <si>
    <t>Snow Sports Trauma and Safety : Conference Proceedings of the International Society for Skiing Safety: 21st Volume</t>
  </si>
  <si>
    <t>Scher, Irving S.</t>
  </si>
  <si>
    <t>Engineering a Better Future : Interplay Between Engineering, Social Sciences, and Innovation</t>
  </si>
  <si>
    <t>Subrahmanian, Eswaran</t>
  </si>
  <si>
    <t>Development Policies and Policy Processes in Africa : Modeling and Evaluation</t>
  </si>
  <si>
    <t>Advances in African Economic, Social and Political Development Ser.</t>
  </si>
  <si>
    <t>Henning, Christian</t>
  </si>
  <si>
    <t>Learn BlackBerry 10 App Development : A Cascades-Driven Approach</t>
  </si>
  <si>
    <t>Ludin, Anwar</t>
  </si>
  <si>
    <t>QA76.59</t>
  </si>
  <si>
    <t>005.25</t>
  </si>
  <si>
    <t>https://ebookcentral.proquest.com/lib/istinye/detail.action?docID=6422778</t>
  </si>
  <si>
    <t>Greening the Financial Sector : How to Mainstream Environmental Finance in Developing Countries</t>
  </si>
  <si>
    <t>Perspectives on European Earthquake Engineering and Seismology : Volume 1</t>
  </si>
  <si>
    <t>European Somalis' Post-Migration Movements : Mobility Capital and the Transnationalisation of Resources</t>
  </si>
  <si>
    <t>Moret, Joëlle</t>
  </si>
  <si>
    <t>https://ebookcentral.proquest.com/lib/istinye/detail.action?docID=6422782</t>
  </si>
  <si>
    <t>Enabling Things to Talk : Designing IoT Solutions with the IoT Architectural Reference Model</t>
  </si>
  <si>
    <t>Bassi, Alessandro</t>
  </si>
  <si>
    <t>Pflege-Report 2018 : Qualität in der Pflege</t>
  </si>
  <si>
    <t>Responsive Open Learning Environments : Outcomes of Research from the ROLE Project</t>
  </si>
  <si>
    <t>Kroop, Sylvana</t>
  </si>
  <si>
    <t>Collaborating Against Child Abuse : Exploring the Nordic Barnahus Model</t>
  </si>
  <si>
    <t>Johansson, Susanna</t>
  </si>
  <si>
    <t>Finance for Food : Towards New Agricultural and Rural Finance</t>
  </si>
  <si>
    <t>Nachhaltigkeit in Umwelt, Wirtschaft und Gesellschaft : Interdisziplinäre Perspektiven</t>
  </si>
  <si>
    <t>Altmeppen, Klaus-Dieter</t>
  </si>
  <si>
    <t>Paris Climate Agreement: Beacon of Hope</t>
  </si>
  <si>
    <t>Springer Climate Ser.</t>
  </si>
  <si>
    <t>Salawitch, Ross J.</t>
  </si>
  <si>
    <t>Advances in Discrete Differential Geometry</t>
  </si>
  <si>
    <t>Bobenko, Alexander I.</t>
  </si>
  <si>
    <t>QA641-670</t>
  </si>
  <si>
    <t>516.36</t>
  </si>
  <si>
    <t>https://ebookcentral.proquest.com/lib/istinye/detail.action?docID=6422791</t>
  </si>
  <si>
    <t>The Onlife Manifesto : Being Human in a Hyperconnected Era</t>
  </si>
  <si>
    <t>Floridi, Luciano</t>
  </si>
  <si>
    <t>Uses of Technology in Lower Secondary Mathematics Education : A Concise Topical Survey</t>
  </si>
  <si>
    <t>Drijvers, Paul</t>
  </si>
  <si>
    <t>R. J. Rummel: an Assessment of His Many Contributions</t>
  </si>
  <si>
    <t>JZ2-6530</t>
  </si>
  <si>
    <t>https://ebookcentral.proquest.com/lib/istinye/detail.action?docID=6422794</t>
  </si>
  <si>
    <t>Investigations into the Phenomenology and the Ontology of the Work of Art : What Are Artworks and How Do We Experience Them?</t>
  </si>
  <si>
    <t>Contributions to Phenomenology Ser.</t>
  </si>
  <si>
    <t>Bundgaard, Peer F.</t>
  </si>
  <si>
    <t>Outsourcing Legal Aid in the Nordic Welfare States</t>
  </si>
  <si>
    <t>Halvorsen Rønning, Olaf</t>
  </si>
  <si>
    <t>Future Skills : Lernen der Zukunft - Hochschule der Zukunft</t>
  </si>
  <si>
    <t>Zukunft der Hochschulbildung - Future Higher Education Ser.</t>
  </si>
  <si>
    <t>Ehlers, Ulf-Daniel</t>
  </si>
  <si>
    <t>L1-991</t>
  </si>
  <si>
    <t>https://ebookcentral.proquest.com/lib/istinye/detail.action?docID=6422797</t>
  </si>
  <si>
    <t>The Future Internet : Future Internet Assembly 2012: from Promises to Reality</t>
  </si>
  <si>
    <t>Alvarez, Federico</t>
  </si>
  <si>
    <t>Iutam : A Short History</t>
  </si>
  <si>
    <t>Eberhard, Peter</t>
  </si>
  <si>
    <t>Applying the Kaizen in Africa : A New Avenue for Industrial Development</t>
  </si>
  <si>
    <t>Otsuka, Keijiro</t>
  </si>
  <si>
    <t>Efficient Learning Machines : Theories, Concepts, and Applications for Engineers and System Designers</t>
  </si>
  <si>
    <t>Awad, Mariette</t>
  </si>
  <si>
    <t>S-BPM in the Wild : Practical Value Creation</t>
  </si>
  <si>
    <t>Fleischmann, Albert</t>
  </si>
  <si>
    <t>Animals and the Shaping of Modern Medicine : One Health and Its Histories</t>
  </si>
  <si>
    <t>Medicine and Biomedical Sciences in Modern History Ser.</t>
  </si>
  <si>
    <t>Woods, Abigail</t>
  </si>
  <si>
    <t>Synchronized Factories : Latin America and the Caribbean in the Era of Global Value Chains</t>
  </si>
  <si>
    <t>Blyde, Juan S.</t>
  </si>
  <si>
    <t>HF1351-1647</t>
  </si>
  <si>
    <t>https://ebookcentral.proquest.com/lib/istinye/detail.action?docID=6422806</t>
  </si>
  <si>
    <t>Platform Embedded Security Technology Revealed : Safeguarding the Future of Computing with Intel Embedded Security and Management Engine</t>
  </si>
  <si>
    <t>Ruan, Xiaoyu</t>
  </si>
  <si>
    <t>https://ebookcentral.proquest.com/lib/istinye/detail.action?docID=6422807</t>
  </si>
  <si>
    <t>Connecting Mathematics and Mathematics Education : Collected Papers on Mathematics Education As a Design Science</t>
  </si>
  <si>
    <t>Wittmann, Erich Christian</t>
  </si>
  <si>
    <t>https://ebookcentral.proquest.com/lib/istinye/detail.action?docID=6422808</t>
  </si>
  <si>
    <t>The Globalization of Science Curricula</t>
  </si>
  <si>
    <t>Stacey, Oliver</t>
  </si>
  <si>
    <t>Altern Im Wandel : Zwei Jahrzehnte Deutscher Alterssurvey (DEAS)</t>
  </si>
  <si>
    <t>Mahne, Katharina</t>
  </si>
  <si>
    <t>Hormones, Metabolism and the Benefits of Exercise</t>
  </si>
  <si>
    <t>Research and Perspectives in Endocrine Interactions Ser.</t>
  </si>
  <si>
    <t>Spiegelman, Bruce</t>
  </si>
  <si>
    <t>R850.A1-854</t>
  </si>
  <si>
    <t>https://ebookcentral.proquest.com/lib/istinye/detail.action?docID=6422812</t>
  </si>
  <si>
    <t>Mercury Pollution in Minamata</t>
  </si>
  <si>
    <t>Yokoyama, Hisashi</t>
  </si>
  <si>
    <t>Urbanization, Biodiversity and Ecosystem Services: Challenges and Opportunities : A Global Assessment</t>
  </si>
  <si>
    <t>Elmqvist, Thomas</t>
  </si>
  <si>
    <t>Bildungsverläufe Von der Einschulung Bis in Den Ersten Arbeitsmarkt : Theoretische Ansätze, Empirische Befunde und Beispiele</t>
  </si>
  <si>
    <t>Belly-Rippers, Surgical Innovation and the Ovariotomy Controversy</t>
  </si>
  <si>
    <t>Frampton, Sally</t>
  </si>
  <si>
    <t>Assessment in Mathematics Education : Large-Scale Assessment and Classroom Assessment</t>
  </si>
  <si>
    <t>Suurtamm, Christine</t>
  </si>
  <si>
    <t>Human Rights in Child Protection : Implications for Professional Practice and Policy</t>
  </si>
  <si>
    <t>Falch-Eriksen, Asgeir</t>
  </si>
  <si>
    <t>Ganzheitliche Digitalisierung Von Prozessen : Perspektivenwechsel - Design Thinking - Wertegeleitete Interaktion</t>
  </si>
  <si>
    <t>Empirical Research in Statistics Education</t>
  </si>
  <si>
    <t>Eichler, Andreas</t>
  </si>
  <si>
    <t>Impact of Information Society Research in the Global South</t>
  </si>
  <si>
    <t>Chib, Arul</t>
  </si>
  <si>
    <t>Optimizing HPC Applications with Intel Cluster Tools : Hunting Petaflops</t>
  </si>
  <si>
    <t>Supalov, Alexander</t>
  </si>
  <si>
    <t>The Future of the Bamiyan Buddha Statues : Heritage Reconstruction in Theory and Practice</t>
  </si>
  <si>
    <t>Nagaoka, Masanori</t>
  </si>
  <si>
    <t>Taking Stock of Industrial Ecology</t>
  </si>
  <si>
    <t>Clift, Roland</t>
  </si>
  <si>
    <t>Soziale Netzwerke und Gesundheitliche Ungleichheiten : Eine Neue Perspektive Für Die Forschung</t>
  </si>
  <si>
    <t>Klärner, Andreas</t>
  </si>
  <si>
    <t>Managing Protected Areas in Central and Eastern Europe under Climate Change</t>
  </si>
  <si>
    <t>Rannow, Sven</t>
  </si>
  <si>
    <t>Sustainable Land Use and Rural Development in Southeast Asia: Innovations and Policies for Mountainous Areas</t>
  </si>
  <si>
    <t>Springer Environmental Science and Engineering Ser.</t>
  </si>
  <si>
    <t>öhlich, Holger L.</t>
  </si>
  <si>
    <t>Contemporary Turkey at a Glance : Interdisciplinary Perspectives on Local and Translocal Dynamics</t>
  </si>
  <si>
    <t>Kamp, Kristina</t>
  </si>
  <si>
    <t>Research on Teaching and Learning Probability</t>
  </si>
  <si>
    <t>Batanero, Carmen</t>
  </si>
  <si>
    <t>Interface Oral Health Science 2014 : Innovative Research on Biosis-Abiosis Intelligent Interface</t>
  </si>
  <si>
    <t>Ester Boserup's Legacy on Sustainability : Orientations for Contemporary Research</t>
  </si>
  <si>
    <t>Fischer-Kowalski, Marina</t>
  </si>
  <si>
    <t>Beyond the Limits to Growth : New Ideas for Sustainability from Japan</t>
  </si>
  <si>
    <t>Science for Sustainable Societies Ser.</t>
  </si>
  <si>
    <t>Komiyama, Hiroshi</t>
  </si>
  <si>
    <t>Problem Solving in Mathematics Education</t>
  </si>
  <si>
    <t>Liljedahl, Peter</t>
  </si>
  <si>
    <t>Klimawandel in Deutschland : Entwicklung, Folgen, Risiken und Perspektiven</t>
  </si>
  <si>
    <t>Brasseur, Guy P.</t>
  </si>
  <si>
    <t>Fulfilling the Promise of Technology Transfer : Fostering Innovation for the Benefit of Society</t>
  </si>
  <si>
    <t>Hishida, Koichi</t>
  </si>
  <si>
    <t>HD72-88</t>
  </si>
  <si>
    <t>https://ebookcentral.proquest.com/lib/istinye/detail.action?docID=6422841</t>
  </si>
  <si>
    <t>The Ethics of Medical Data Donation</t>
  </si>
  <si>
    <t>Philosophical Studies Ser.</t>
  </si>
  <si>
    <t>Krutzinna, Jenny</t>
  </si>
  <si>
    <t>Die Finanzkrise 2008 Im Unbewussten : Über Die Ökonomie des Seelenlebens in Zeiten der Krise</t>
  </si>
  <si>
    <t>Klug, Helga</t>
  </si>
  <si>
    <t>BF1-990</t>
  </si>
  <si>
    <t>https://ebookcentral.proquest.com/lib/istinye/detail.action?docID=6422843</t>
  </si>
  <si>
    <t>Bordieuan Field Theory As an Instrument for Military Operational Analysis</t>
  </si>
  <si>
    <t>New Security Challenges Ser.</t>
  </si>
  <si>
    <t>Gunneriusson, Håkan</t>
  </si>
  <si>
    <t>Agential Realism Als Basis Queer(end)er Experimentalpsychologie : Eine Wissenschaftstheoretische Auseinandersetzung</t>
  </si>
  <si>
    <t>Scholz, Julia</t>
  </si>
  <si>
    <t>https://ebookcentral.proquest.com/lib/istinye/detail.action?docID=6422845</t>
  </si>
  <si>
    <t>Preparing for Life in a Digital Age : The IEA International Computer and Information Literacy Study International Report</t>
  </si>
  <si>
    <t>Knowledge and Networks</t>
  </si>
  <si>
    <t>Glückler, Johannes</t>
  </si>
  <si>
    <t>Harkins, Malcolm W.</t>
  </si>
  <si>
    <t>https://ebookcentral.proquest.com/lib/istinye/detail.action?docID=6422848</t>
  </si>
  <si>
    <t>Healthcare, Frugal Innovation, and Professional Voluntarism : A Cost-Benefit Analysis</t>
  </si>
  <si>
    <t>Ackers, Helen Louise</t>
  </si>
  <si>
    <t>Cognitive Supervision for Robot-Assisted Minimally Invasive Laser Surgery</t>
  </si>
  <si>
    <t>Springer Theses Ser.</t>
  </si>
  <si>
    <t>Fichera, Loris</t>
  </si>
  <si>
    <t>R856-857</t>
  </si>
  <si>
    <t>https://ebookcentral.proquest.com/lib/istinye/detail.action?docID=6422851</t>
  </si>
  <si>
    <t>Pentecostalism and Witchcraft : Spiritual Warfare in Africa and Melanesia</t>
  </si>
  <si>
    <t>Contemporary Anthropology of Religion Ser.</t>
  </si>
  <si>
    <t>Rio, Knut</t>
  </si>
  <si>
    <t>S-BPM Illustrated : A Storybook about Business Process Modeling and Execution</t>
  </si>
  <si>
    <t>Dependable Embedded Systems</t>
  </si>
  <si>
    <t>Embedded Systems Ser.</t>
  </si>
  <si>
    <t>Henkel, Jörg</t>
  </si>
  <si>
    <t>Earthquakes, Tsunamis and Nuclear Risks : Prediction and Assessment Beyond the Fukushima Accident</t>
  </si>
  <si>
    <t>Kamae, Katsuhiro</t>
  </si>
  <si>
    <t>AiREAS: Sustainocracy for a Healthy City : The Invisible Made Visible Phase 1</t>
  </si>
  <si>
    <t>SpringerBriefs on Case Studies of Sustainable Development Ser.</t>
  </si>
  <si>
    <t>Close, Jean-Paul</t>
  </si>
  <si>
    <t>https://ebookcentral.proquest.com/lib/istinye/detail.action?docID=6422856</t>
  </si>
  <si>
    <t>Africa-Europe Research and Innovation Cooperation : Global Challenges, Bi-Regional Responses</t>
  </si>
  <si>
    <t>Cherry, Andrew</t>
  </si>
  <si>
    <t>Freshwater Governance for the 21st Century</t>
  </si>
  <si>
    <t>Global Issues in Water Policy Ser.</t>
  </si>
  <si>
    <t>Karar, Eiman</t>
  </si>
  <si>
    <t>Russia's Turn to the East : Domestic Policymaking and Regional Cooperation</t>
  </si>
  <si>
    <t>Global Reordering Ser.</t>
  </si>
  <si>
    <t>Blakkisrud, Helge</t>
  </si>
  <si>
    <t>Atlas of Challenges and Opportunities in European Neighbourhoods</t>
  </si>
  <si>
    <t>BECKOUCHE, Pierre</t>
  </si>
  <si>
    <t>Earth Observation Open Science and Innovation</t>
  </si>
  <si>
    <t>ISSI Scientific Report Ser.</t>
  </si>
  <si>
    <t>Mathieu, Pierre-Philippe</t>
  </si>
  <si>
    <t>Proceedings of the Scientific-Practical Conference Research and Development - 2016</t>
  </si>
  <si>
    <t>Anisimov, K. V.</t>
  </si>
  <si>
    <t>Current and Future Perspectives of Ethnomathematics As a Program</t>
  </si>
  <si>
    <t>Rosa, Milton</t>
  </si>
  <si>
    <t>High Density Lipoproteins : From Biological Understanding to Clinical Exploitation</t>
  </si>
  <si>
    <t>Handbook of Experimental Pharmacology Ser.</t>
  </si>
  <si>
    <t>von Eckardstein, Arnold</t>
  </si>
  <si>
    <t>AiREAS: Sustainocracy for a Healthy City : Phase 3: Civilian Participation - Including the Global Health Deal Proposition</t>
  </si>
  <si>
    <t>https://ebookcentral.proquest.com/lib/istinye/detail.action?docID=6422869</t>
  </si>
  <si>
    <t>New Horizons for Asian Museums and Museology</t>
  </si>
  <si>
    <t>Sonoda, Naoko</t>
  </si>
  <si>
    <t>Solving the Powertrain Puzzle : 10th Schaeffler Symposium April 3/4 2014</t>
  </si>
  <si>
    <t>Schaeffler Technologies GmbH &amp; Co. KG, Schaeffler Technologies</t>
  </si>
  <si>
    <t>Proceedings of the International Conference on Social Modeling and Simulation, Plus Econophysics Colloquium 2014</t>
  </si>
  <si>
    <t>Springer Proceedings in Complexity Ser.</t>
  </si>
  <si>
    <t>Takayasu, Hideki</t>
  </si>
  <si>
    <t>Global Perspectives on Recognising Non-Formal and Informal Learning : Why Recognition Matters</t>
  </si>
  <si>
    <t>Singh, Madhu</t>
  </si>
  <si>
    <t>LC1051-1072</t>
  </si>
  <si>
    <t>https://ebookcentral.proquest.com/lib/istinye/detail.action?docID=6422876</t>
  </si>
  <si>
    <t>A Fair Share of Tax : A Fiscal Anthropology of Contemporary Sweden</t>
  </si>
  <si>
    <t>Björklund Larsen, Lotta</t>
  </si>
  <si>
    <t>Zukunft der Arbeit in Industrie 4. 0</t>
  </si>
  <si>
    <t>Botthof, Alfons</t>
  </si>
  <si>
    <t>Evolution, Monitoring and Predicting Models of Rockburst : Precursor Information for Rock Failure</t>
  </si>
  <si>
    <t>Wang, Chunlai</t>
  </si>
  <si>
    <t>Ein Neuer Gesellschaftsvertrag Für eine Nachhaltige Landwirtschaft : Wege Zu Einer Integrativen Politik Für Den Agrarsektor</t>
  </si>
  <si>
    <t>Feindt, Peter H.</t>
  </si>
  <si>
    <t>Model-Based Demography : Essays on Integrating Data, Technique and Theory</t>
  </si>
  <si>
    <t>Burch, Thomas K.</t>
  </si>
  <si>
    <t>https://ebookcentral.proquest.com/lib/istinye/detail.action?docID=6422881</t>
  </si>
  <si>
    <t>Krankenhaus-Report 2020 : Finanzierung und Vergütung Am Scheideweg</t>
  </si>
  <si>
    <t>Sequence Analysis and Related Approaches : Innovative Methods and Applications</t>
  </si>
  <si>
    <t>Ritschard, Gilbert</t>
  </si>
  <si>
    <t>New Frontiers in Social Innovation Research</t>
  </si>
  <si>
    <t>Nicholls, Alex</t>
  </si>
  <si>
    <t>Stoßprobleme in Physik, Technik und Medizin : Grundlagen und Anwendungen</t>
  </si>
  <si>
    <t>Willert, Emanuel</t>
  </si>
  <si>
    <t>Advancing Culture of Living with Landslides : Volume 1 ISDR-ICL Sendai Partnerships 2015-2025</t>
  </si>
  <si>
    <t>Sassa, Kyoji</t>
  </si>
  <si>
    <t>Digitalisierung : Bildung, Technik, Innovation</t>
  </si>
  <si>
    <t>System-Aufstellungen und Ihre Naturwissenschaftliche Begründung : Grundlage Für eine Innovative Methode Zur Entscheidungsfindung in der Unternehmensführung</t>
  </si>
  <si>
    <t>Systemaufstellungen in Wissenschaft und Praxis Ser.</t>
  </si>
  <si>
    <t>Gehlert, Thomas</t>
  </si>
  <si>
    <t>https://ebookcentral.proquest.com/lib/istinye/detail.action?docID=6422889</t>
  </si>
  <si>
    <t>Diversity and Evolution of Butterfly Wing Patterns : An Integrative Approach</t>
  </si>
  <si>
    <t>Sekimura, Toshio</t>
  </si>
  <si>
    <t>Messung Von Ressourceneffizienz Mit der ESSENZ-Methode : Integrierte Methode Zur Ganzheitlichen Bewertung</t>
  </si>
  <si>
    <t>Bach, Vanessa</t>
  </si>
  <si>
    <t>Stochastics of Environmental and Financial Economics : Centre of Advanced Study, Oslo, Norway, 2014-2015</t>
  </si>
  <si>
    <t>Benth, Fred Espen</t>
  </si>
  <si>
    <t>Marginality : Addressing the Nexus of Poverty, Exclusion and Ecology</t>
  </si>
  <si>
    <t>Global History and New Polycentric Approaches : Europe, Asia and the Americas in a World Network System</t>
  </si>
  <si>
    <t>Palgrave Studies in Comparative Global History Ser.</t>
  </si>
  <si>
    <t>Perez Garcia, Manuel</t>
  </si>
  <si>
    <t>Brain and Human Body Modeling 2020 : Computational Human Models Presented at EMBC 2019 and the BRAIN Initiative® 2019 Meeting</t>
  </si>
  <si>
    <t>Makarov, Sergey N.</t>
  </si>
  <si>
    <t>Internal Crowdsourcing in Companies : Theoretical Foundations and Practical Applications</t>
  </si>
  <si>
    <t>Contributions to Management Science Ser.</t>
  </si>
  <si>
    <t>Ulbrich, Hannah</t>
  </si>
  <si>
    <t>Bird Species : How They Arise, Modify and Vanish</t>
  </si>
  <si>
    <t>Fascinating Life Sciences Ser.</t>
  </si>
  <si>
    <t>Tietze, Dieter Thomas</t>
  </si>
  <si>
    <t>Uses of Technology in Upper Secondary Mathematics Education</t>
  </si>
  <si>
    <t>Hegedus, Stephen</t>
  </si>
  <si>
    <t>The Impact of Food Bioactives on Health : In Vitro and Ex Vivo Models</t>
  </si>
  <si>
    <t>Verhoeckx, Kitty</t>
  </si>
  <si>
    <t>The Future Internet : Future Internet Assembly 2011: Achievements and Technological Promises</t>
  </si>
  <si>
    <t>Hamburger Klimabericht - Wissen über Klima, Klimawandel und Auswirkungen in Hamburg und Norddeutschland</t>
  </si>
  <si>
    <t>von Storch, Hans</t>
  </si>
  <si>
    <t>Autonome Shuttlebusse Im ÖPNV : Analysen und Bewertungen Zum Fallbeispiel Bad Birnbach Aus Technischer, Gesellschaftlicher und Planerischer Sicht</t>
  </si>
  <si>
    <t>Riener, Andreas</t>
  </si>
  <si>
    <t>Intel Galileo and Intel Galileo Gen 2 : API Features and Arduino Projects for Linux Programmers</t>
  </si>
  <si>
    <t>Ramon, Manoel</t>
  </si>
  <si>
    <t>TS171.57</t>
  </si>
  <si>
    <t>https://ebookcentral.proquest.com/lib/istinye/detail.action?docID=6422905</t>
  </si>
  <si>
    <t>Transparenz öffentlicher Einkaufsdaten in Deutschland : Anforderungen und Handlungsfelder Im Kontext Von Open Government</t>
  </si>
  <si>
    <t>Reuter, Britta</t>
  </si>
  <si>
    <t>https://ebookcentral.proquest.com/lib/istinye/detail.action?docID=6422906</t>
  </si>
  <si>
    <t>Error-Correction Coding and Decoding : Bounds, Codes, Decoders, Analysis and Applications</t>
  </si>
  <si>
    <t>Signals and Communication Technology Ser.</t>
  </si>
  <si>
    <t>Tomlinson, Martin</t>
  </si>
  <si>
    <t>Public Health Ethics: Cases Spanning the Globe</t>
  </si>
  <si>
    <t>H. Barrett, Drue</t>
  </si>
  <si>
    <t>Bridging Educational Leadership, Curriculum Theory and Didaktik : Non-Affirmative Theory of Education</t>
  </si>
  <si>
    <t>Educational Governance Research Ser.</t>
  </si>
  <si>
    <t>Uljens, Michael</t>
  </si>
  <si>
    <t>Governance for Drought Resilience : Land and Water Drought Management in Europe</t>
  </si>
  <si>
    <t>Bressers, Hans</t>
  </si>
  <si>
    <t>Energy Poverty : (Dis)Assembling Europe's Infrastructural Divide</t>
  </si>
  <si>
    <t>Bouzarovski, Stefan</t>
  </si>
  <si>
    <t>Literary Translation in Periodicals : Methodological Challenges for a Transnational Approach</t>
  </si>
  <si>
    <t>Fólica, Laura</t>
  </si>
  <si>
    <t>International Perspectives in Values-Based Mental Health Practice : Case Studies and Commentaries</t>
  </si>
  <si>
    <t>Stoyanov, Drozdstoy</t>
  </si>
  <si>
    <t>The Visigothic Kingdom : The Negotiation of Power in Post-Roman Lberia</t>
  </si>
  <si>
    <t>Late Antique and Early Medieval Iberia Ser.</t>
  </si>
  <si>
    <t>Panzram, Paulo</t>
  </si>
  <si>
    <t>Writing Manuals for the Masses : The Rise of the Literary Advice Industry from Quill to Keyboard</t>
  </si>
  <si>
    <t>New Directions in Book History Ser.</t>
  </si>
  <si>
    <t>Masschelein, Anneleen</t>
  </si>
  <si>
    <t>One Hundred Years of Social Protection : The Changing Social Question in Brazil, India, China, and South Africa</t>
  </si>
  <si>
    <t>Global Dynamics of Social Policy Ser.</t>
  </si>
  <si>
    <t>Leisering, Lutz</t>
  </si>
  <si>
    <t>361.61</t>
  </si>
  <si>
    <t>https://ebookcentral.proquest.com/lib/istinye/detail.action?docID=6425456</t>
  </si>
  <si>
    <t>Design Ethnography : Epistemology and Methodology</t>
  </si>
  <si>
    <t>SpringerBriefs in Anthropology Ser.</t>
  </si>
  <si>
    <t>Müller, Francis</t>
  </si>
  <si>
    <t>P. Y. Galperin's Development of Human Mental Activity : Lectures in Educational Psychology</t>
  </si>
  <si>
    <t>Cultural Psychology of Education Ser.</t>
  </si>
  <si>
    <t>Engeness, Irina</t>
  </si>
  <si>
    <t>LB1050.9-1091</t>
  </si>
  <si>
    <t>https://ebookcentral.proquest.com/lib/istinye/detail.action?docID=6425458</t>
  </si>
  <si>
    <t>Contemporary Family Lifestyles in Central and Western Europe : Selected Cases</t>
  </si>
  <si>
    <t>SpringerBriefs in Sociology Ser.</t>
  </si>
  <si>
    <t>Kraus, Blahoslav</t>
  </si>
  <si>
    <t>Improving Potassium Recommendations for Agricultural Crops</t>
  </si>
  <si>
    <t>Murrell, T. Scott</t>
  </si>
  <si>
    <t>Model-Based Engineering of Collaborative Embedded Systems : Extensions of the SPES Methodology</t>
  </si>
  <si>
    <t>Böhm, Wolfgang</t>
  </si>
  <si>
    <t>Soziale Arbeit und Sucht : Eine Bestandesaufnahme Aus der Praxis</t>
  </si>
  <si>
    <t>Krebs, Marcel</t>
  </si>
  <si>
    <t>Perceptions of the Independence of Judges in Europe : Congruence of Society and Judiciary</t>
  </si>
  <si>
    <t>van Dijk, Frans</t>
  </si>
  <si>
    <t>The Palgrave Handbook of Digital Russia Studies</t>
  </si>
  <si>
    <t>Gritsenko, Daria</t>
  </si>
  <si>
    <t>The Palgrave Handbook of Family Policy</t>
  </si>
  <si>
    <t>Nieuwenhuis, Rense</t>
  </si>
  <si>
    <t>What Works in Conservation 2020</t>
  </si>
  <si>
    <t>Terrestrial Mammal Conservation : Global Evidence for the Effects of Interventions for Terrestrial Mammals Excluding Bats and Primates</t>
  </si>
  <si>
    <t>Littlewood, Nick A.</t>
  </si>
  <si>
    <t>Mendl Mann's 'the Fall of Berlin'</t>
  </si>
  <si>
    <t>https://ebookcentral.proquest.com/lib/istinye/detail.action?docID=6425718</t>
  </si>
  <si>
    <t>Global Warming in Local Discourses : How Communities Around the World Make Sense of Climate Change</t>
  </si>
  <si>
    <t>Global Communications Ser.</t>
  </si>
  <si>
    <t>Brüggemann, Michael</t>
  </si>
  <si>
    <t>Die Phonetik Von äh Und ähm : Akustische Variation Von Füllpartikeln Im Deutschen</t>
  </si>
  <si>
    <t>Belz, Malte</t>
  </si>
  <si>
    <t>P1-1091</t>
  </si>
  <si>
    <t>https://ebookcentral.proquest.com/lib/istinye/detail.action?docID=6425957</t>
  </si>
  <si>
    <t>2050 China : Becoming a Great Modern Socialist Country</t>
  </si>
  <si>
    <t>Understanding Xi Jinping's Governance Ser.</t>
  </si>
  <si>
    <t>Hu, Angang</t>
  </si>
  <si>
    <t>Interacting with biological membranes using organic electronic devices</t>
  </si>
  <si>
    <t>Nissa, Josefin</t>
  </si>
  <si>
    <t>https://ebookcentral.proquest.com/lib/istinye/detail.action?docID=6427619</t>
  </si>
  <si>
    <t>Vulnerability and Risk Analysis Methods and Application in Large Scale Development of Secure Systems</t>
  </si>
  <si>
    <t>Ardi, Shanai</t>
  </si>
  <si>
    <t>https://ebookcentral.proquest.com/lib/istinye/detail.action?docID=6427620</t>
  </si>
  <si>
    <t>Adoptive families' return trips to the children’s birth countries</t>
  </si>
  <si>
    <t>Gustafsson, Johanna</t>
  </si>
  <si>
    <t>https://ebookcentral.proquest.com/lib/istinye/detail.action?docID=6427621</t>
  </si>
  <si>
    <t>Bystander behaviors in peer victimization : Associations with moral disengagement, efficacy beliefs, and student-teacher relationship quality</t>
  </si>
  <si>
    <t>Sjögren, Björn</t>
  </si>
  <si>
    <t>https://ebookcentral.proquest.com/lib/istinye/detail.action?docID=6427622</t>
  </si>
  <si>
    <t>Exercise training and testing in patients with heart failure</t>
  </si>
  <si>
    <t>Lans, Charlotta</t>
  </si>
  <si>
    <t>https://ebookcentral.proquest.com/lib/istinye/detail.action?docID=6427623</t>
  </si>
  <si>
    <t>Delaktighet och IKT : Elever i behov av stöd i gymnasieskolan</t>
  </si>
  <si>
    <t>Yngve, Moa</t>
  </si>
  <si>
    <t>https://ebookcentral.proquest.com/lib/istinye/detail.action?docID=6427624</t>
  </si>
  <si>
    <t>On the other side of change : Exploring the role that design can play in retaining sustainable doings</t>
  </si>
  <si>
    <t>Wanjun, Chu</t>
  </si>
  <si>
    <t>https://ebookcentral.proquest.com/lib/istinye/detail.action?docID=6427625</t>
  </si>
  <si>
    <t>Machine Learning for Cyber Physical Systems : Selected Papers from the International Conference ML4CPS 2020</t>
  </si>
  <si>
    <t>Beyerer, Jürgen</t>
  </si>
  <si>
    <t>Projekt- und Teamarbeit in der Digitalisierten Arbeitswelt : Herausforderungen, Strategien und Empfehlungen</t>
  </si>
  <si>
    <t>Von Bauingenieurinnen und Sozialarbeitern : Studien(fach)wahlen Im Kontext Von Sozialem Milieu und Geschlecht</t>
  </si>
  <si>
    <t>Loge, Lena</t>
  </si>
  <si>
    <t>https://ebookcentral.proquest.com/lib/istinye/detail.action?docID=6437859</t>
  </si>
  <si>
    <t>Ensamhet och döende som samhällsfrågor i Sverige</t>
  </si>
  <si>
    <t>Ågren, Axel</t>
  </si>
  <si>
    <t>https://ebookcentral.proquest.com/lib/istinye/detail.action?docID=6446328</t>
  </si>
  <si>
    <t>Simulation Modelling of a Shift to Service-Based Offerings : Resource efficiency and operational implications in the context of the circular economy</t>
  </si>
  <si>
    <t>Wasserbaur, Raphael</t>
  </si>
  <si>
    <t>https://ebookcentral.proquest.com/lib/istinye/detail.action?docID=6446329</t>
  </si>
  <si>
    <t>Point of Reckoning : The Fight for Racial Justice at Duke University</t>
  </si>
  <si>
    <t>Segal, Theodore D.</t>
  </si>
  <si>
    <t>LC2803</t>
  </si>
  <si>
    <t>https://ebookcentral.proquest.com/lib/istinye/detail.action?docID=6448939</t>
  </si>
  <si>
    <t>Next Generation Supply Chains : A Roadmap for Research and Innovation</t>
  </si>
  <si>
    <t>Lecture Notes in Management and Industrial Engineering Ser.</t>
  </si>
  <si>
    <t>Fornasiero, Rosanna</t>
  </si>
  <si>
    <t>World Class Universities : A Contested Concept</t>
  </si>
  <si>
    <t>Evaluating Education: Normative Systems and Institutional Practices Ser.</t>
  </si>
  <si>
    <t>Rider, Sharon</t>
  </si>
  <si>
    <t>Safety for Particle Accelerators</t>
  </si>
  <si>
    <t>Particle Acceleration and Detection Ser.</t>
  </si>
  <si>
    <t>Otto, Thomas</t>
  </si>
  <si>
    <t>Internationale Zielmarktanalyse und Vertriebsentwicklung : Die Implementierung der Methodik des International Sales Accelerator Modells</t>
  </si>
  <si>
    <t>Reber geb. Wiesenauer, Simone</t>
  </si>
  <si>
    <t>https://ebookcentral.proquest.com/lib/istinye/detail.action?docID=6449034</t>
  </si>
  <si>
    <t>The Evolutionary Dynamics of Discursive Knowledge : Communication-Theoretical Perspectives on an Empirical Philosophy of Science</t>
  </si>
  <si>
    <t>Qualitative and Quantitative Analysis of Scientific and Scholarly Communication Ser.</t>
  </si>
  <si>
    <t>Leydesdorff, Loet</t>
  </si>
  <si>
    <t>HM511-538</t>
  </si>
  <si>
    <t>https://ebookcentral.proquest.com/lib/istinye/detail.action?docID=6449885</t>
  </si>
  <si>
    <t>Toward ICT-enabled Co-production for Effective Crisis and Emergency Response</t>
  </si>
  <si>
    <t>Ramsell, Elina</t>
  </si>
  <si>
    <t>https://ebookcentral.proquest.com/lib/istinye/detail.action?docID=6449894</t>
  </si>
  <si>
    <t>Babies’ engagements with everyday things : An ethnographic study of materiality, movement and participation</t>
  </si>
  <si>
    <t>Orrmalm, Alex</t>
  </si>
  <si>
    <t>https://ebookcentral.proquest.com/lib/istinye/detail.action?docID=6449895</t>
  </si>
  <si>
    <t>Enspråkig policy, tvåspråkig interaktion : Engelskspråkig utbildning i Bangladesh</t>
  </si>
  <si>
    <t>Huq, Rizwan-ul</t>
  </si>
  <si>
    <t>https://ebookcentral.proquest.com/lib/istinye/detail.action?docID=6449897</t>
  </si>
  <si>
    <t>Skills in Rheumatology</t>
  </si>
  <si>
    <t>Almoallim, Hani</t>
  </si>
  <si>
    <t>Digital Transformation of Learning Organizations</t>
  </si>
  <si>
    <t>Defending Checks and Balances in EU Member States : Taking Stock of Europe's Actions</t>
  </si>
  <si>
    <t>Beiträge Zum Ausländischen öffentlichen Recht und Völkerrecht Ser.</t>
  </si>
  <si>
    <t>von Bogdandy, Armin</t>
  </si>
  <si>
    <t>GDPR and Biobanking : Individual Rights, Public Interest and Research Regulation Across Europe</t>
  </si>
  <si>
    <t>Law, Governance and Technology Ser.</t>
  </si>
  <si>
    <t>Slokenberga, Santa</t>
  </si>
  <si>
    <t>The Japanese Banking Crisis</t>
  </si>
  <si>
    <t>Himino, Ryozo</t>
  </si>
  <si>
    <t>HB172.5</t>
  </si>
  <si>
    <t>https://ebookcentral.proquest.com/lib/istinye/detail.action?docID=6451944</t>
  </si>
  <si>
    <t>Parenting and Work in Poland : A Gender Studies Perspective</t>
  </si>
  <si>
    <t>Suwada, Katarzyna</t>
  </si>
  <si>
    <t>HM716-753.2</t>
  </si>
  <si>
    <t>https://ebookcentral.proquest.com/lib/istinye/detail.action?docID=6452454</t>
  </si>
  <si>
    <t>Experimenterande för förändring? : Politiken kring att åstadkomma miljöstyrning genom smarta nät-pilotprojekt</t>
  </si>
  <si>
    <t>Envall, Fredrik</t>
  </si>
  <si>
    <t>https://ebookcentral.proquest.com/lib/istinye/detail.action?docID=6452779</t>
  </si>
  <si>
    <t>Patients with subacromial pain in primary care : Assessment and efficacy of physiotherapy-guided exercise treatment</t>
  </si>
  <si>
    <t>Nordqvist, Jenny</t>
  </si>
  <si>
    <t>https://ebookcentral.proquest.com/lib/istinye/detail.action?docID=6452780</t>
  </si>
  <si>
    <t>Enhancing Smallholder Farmers' Access to Seed of Improved Legume Varieties Through Multi-Stakeholder Platforms : Learning from the TLIII Project Experiences in Sub-Saharan Africa and South Asia</t>
  </si>
  <si>
    <t>Akpo, Essegbemon</t>
  </si>
  <si>
    <t>The Science of Citizen Science</t>
  </si>
  <si>
    <t>Vohland, Katrin</t>
  </si>
  <si>
    <t>Howard Jacobson</t>
  </si>
  <si>
    <t>Contemporary British Novelists Ser.</t>
  </si>
  <si>
    <t>Brauner, David</t>
  </si>
  <si>
    <t>Organic Creativity and the Physics Within</t>
  </si>
  <si>
    <t>Lowcre, Mea M. M.</t>
  </si>
  <si>
    <t>The Image of Africa in Ghana's Press : The Influence of Global News Organisations</t>
  </si>
  <si>
    <t>Serwornoo, Michael</t>
  </si>
  <si>
    <t>Photography in the Third Reich : Art, Physiognomy and Propaganda</t>
  </si>
  <si>
    <t>Webster, Christopher</t>
  </si>
  <si>
    <t>Information and Communication Technologies in Tourism 2021 : Proceedings of the ENTER 2021 ETourism Conference, January 19-22 2021</t>
  </si>
  <si>
    <t>Wörndl, Wolfgang</t>
  </si>
  <si>
    <t>Clinical Pathways in Stroke Rehabilitation : Evidence-Based Clinical Practice Recommendations</t>
  </si>
  <si>
    <t>Platz, Thomas</t>
  </si>
  <si>
    <t>RC346-429.2</t>
  </si>
  <si>
    <t>https://ebookcentral.proquest.com/lib/istinye/detail.action?docID=6455780</t>
  </si>
  <si>
    <t>Security of Ubiquitous Computing Systems : Selected Topics</t>
  </si>
  <si>
    <t>Avoine, Gildas</t>
  </si>
  <si>
    <t>Knowledge for Governance</t>
  </si>
  <si>
    <t>Textbook of Patient Safety and Clinical Risk Management</t>
  </si>
  <si>
    <t>Donaldson, Liam</t>
  </si>
  <si>
    <t>Emancipation's Daughters : Reimagining Black Femininity and the National Body</t>
  </si>
  <si>
    <t>Richardson, Riché</t>
  </si>
  <si>
    <t>Analysis and Optimization for Robust Millimeter-Wave Communications</t>
  </si>
  <si>
    <t>Tatino, Cristian</t>
  </si>
  <si>
    <t>https://ebookcentral.proquest.com/lib/istinye/detail.action?docID=6458190</t>
  </si>
  <si>
    <t>Treatment Planning of High Dose-Rate Brachytherapy - Mathematical Modelling and Optimization</t>
  </si>
  <si>
    <t>Morén, Björn</t>
  </si>
  <si>
    <t>https://ebookcentral.proquest.com/lib/istinye/detail.action?docID=6458192</t>
  </si>
  <si>
    <t>Cyber Security : 17th China Annual Conference, CNCERT 2020, Beijing, China, August 12, 2020, Revised Selected Papers</t>
  </si>
  <si>
    <t>Communications in Computer and Information Science Ser.</t>
  </si>
  <si>
    <t>Lu, Wei</t>
  </si>
  <si>
    <t>Building Better Interfaces for Remote Autonomous Systems : An Introduction for Systems Engineers</t>
  </si>
  <si>
    <t>Human-Computer Interaction Ser.</t>
  </si>
  <si>
    <t>Oury, Jacob D.</t>
  </si>
  <si>
    <t>Climate Risk in Africa : Adaptation and Resilience</t>
  </si>
  <si>
    <t>Conway, Declan</t>
  </si>
  <si>
    <t>Swiss Democracy : Possible Solutions to Conflict in Multicultural Societies</t>
  </si>
  <si>
    <t>Linder, Wolf</t>
  </si>
  <si>
    <t>Zusammenwirken Von Natürlicher und Künstlicher Intelligenz</t>
  </si>
  <si>
    <t>Haux, Reinhold</t>
  </si>
  <si>
    <t>Equity, Equality and Diversity in the Nordic Model of Education</t>
  </si>
  <si>
    <t>ønes, Tove Stjern</t>
  </si>
  <si>
    <t>Doktor Faustus (ver-)stimmen : Kompositionen Zu Thomas Manns Roman</t>
  </si>
  <si>
    <t>Olivari, Anna Maria</t>
  </si>
  <si>
    <t>ML197.2</t>
  </si>
  <si>
    <t>https://ebookcentral.proquest.com/lib/istinye/detail.action?docID=6461734</t>
  </si>
  <si>
    <t>Professoren Mit Migrationshintergrund : Benachteiligte Minderheit Oder Protagonisten Internationaler Exzellenz</t>
  </si>
  <si>
    <t>Engel, Ole</t>
  </si>
  <si>
    <t>https://ebookcentral.proquest.com/lib/istinye/detail.action?docID=6462031</t>
  </si>
  <si>
    <t>Expatriates und Freiwilliges Engagement in der Schweiz : Eine Qualitative Analyse Im Kanton Zug</t>
  </si>
  <si>
    <t>Störkle, Mario</t>
  </si>
  <si>
    <t>https://ebookcentral.proquest.com/lib/istinye/detail.action?docID=6462068</t>
  </si>
  <si>
    <t>Learning from Experience : The Use of Structured Video-Assisted Debriefing Among Nursing Students</t>
  </si>
  <si>
    <t>Zhang, Hui</t>
  </si>
  <si>
    <t>https://ebookcentral.proquest.com/lib/istinye/detail.action?docID=6462400</t>
  </si>
  <si>
    <t>Wireless Bioelectronic Devices Driven by Deep Red Light</t>
  </si>
  <si>
    <t>Jakešová, Marie</t>
  </si>
  <si>
    <t>https://ebookcentral.proquest.com/lib/istinye/detail.action?docID=6462401</t>
  </si>
  <si>
    <t>Att se in i framtiden : Hur avancerade statistiska metoder kan användas för att predicera psykoterapiutfall inom rutinmässig vård</t>
  </si>
  <si>
    <t>Uckelstam, Carl-Johan</t>
  </si>
  <si>
    <t>https://ebookcentral.proquest.com/lib/istinye/detail.action?docID=6462402</t>
  </si>
  <si>
    <t>Synthesis and Characterization of Transition Metal Diborides</t>
  </si>
  <si>
    <t>Thörnberg, Jimmy</t>
  </si>
  <si>
    <t>https://ebookcentral.proquest.com/lib/istinye/detail.action?docID=6462403</t>
  </si>
  <si>
    <t>Surgery and stomas in Crohn's disease</t>
  </si>
  <si>
    <t>Kalman, Thordis Disa</t>
  </si>
  <si>
    <t>https://ebookcentral.proquest.com/lib/istinye/detail.action?docID=6462405</t>
  </si>
  <si>
    <t>On Knowledge Creation and Learning at the Intersection of Product Development and Engineering Education</t>
  </si>
  <si>
    <t>Hallberg, Peter</t>
  </si>
  <si>
    <t>https://ebookcentral.proquest.com/lib/istinye/detail.action?docID=6462406</t>
  </si>
  <si>
    <t>The Marvels Found in the Great Cities and in the Seas and on the Islands : A Representative of 'aǧā'ib Literature in Syriac</t>
  </si>
  <si>
    <t>Minov, Sergey</t>
  </si>
  <si>
    <t>'the Philosophes' by Charles Palissot</t>
  </si>
  <si>
    <t>Goodman, Jessica</t>
  </si>
  <si>
    <t>Studies in the Grammar and Lexicon of Neo-Aramaic</t>
  </si>
  <si>
    <t>Acoustemologies in Contact : Sounding Subjects and Modes of Listening in Early Modernity</t>
  </si>
  <si>
    <t>Wilbourne, Emily</t>
  </si>
  <si>
    <t>Embedded System Design : Embedded Systems Foundations of Cyber-Physical Systems, and the Internet of Things</t>
  </si>
  <si>
    <t>Marwedel, Peter</t>
  </si>
  <si>
    <t>New Living Cases on Corporate Governance</t>
  </si>
  <si>
    <t>Management for Professionals Ser.</t>
  </si>
  <si>
    <t>Hilb, Martin</t>
  </si>
  <si>
    <t>HD2741-2749</t>
  </si>
  <si>
    <t>https://ebookcentral.proquest.com/lib/istinye/detail.action?docID=6463794</t>
  </si>
  <si>
    <t>Proceedings of the 2020 DigitalFUTURES : The 2nd International Conference on Computational Design and Robotic Fabrication (CDRF 2020)</t>
  </si>
  <si>
    <t>Yuan, Philip F.</t>
  </si>
  <si>
    <t>The Leading World's Most Innovative Universities</t>
  </si>
  <si>
    <t>AI-Youbi, Abdulrahman Obaid</t>
  </si>
  <si>
    <t>Public Administration in Germany</t>
  </si>
  <si>
    <t>Governance and Public Management Ser.</t>
  </si>
  <si>
    <t>Kuhlmann, Sabine</t>
  </si>
  <si>
    <t>The Seine River Basin</t>
  </si>
  <si>
    <t>The Handbook of Environmental Chemistry Ser.</t>
  </si>
  <si>
    <t>Flipo, Nicolas</t>
  </si>
  <si>
    <t>Measuring Emission of Agricultural Greenhouse Gases and Developing Mitigation Options Using Nuclear and Related Techniques : Applications of Nuclear Techniques for GHGs</t>
  </si>
  <si>
    <t>Decision Science for Future Earth : Theory and Practice</t>
  </si>
  <si>
    <t>Yahara, Tetsukazu</t>
  </si>
  <si>
    <t>Making science come alive : Student-generated stop-motion animations in science education</t>
  </si>
  <si>
    <t>Orraryd, Daniel</t>
  </si>
  <si>
    <t>https://ebookcentral.proquest.com/lib/istinye/detail.action?docID=6466070</t>
  </si>
  <si>
    <t>Mechanical Properties of Arteries : An &lt;em&gt;In Vivo&lt;/em&gt; Parameter Identification Method</t>
  </si>
  <si>
    <t>Gade, Jan-Lucas</t>
  </si>
  <si>
    <t>https://ebookcentral.proquest.com/lib/istinye/detail.action?docID=6466071</t>
  </si>
  <si>
    <t>Frontiers of Real Estate Science in Japan</t>
  </si>
  <si>
    <t>New Frontiers in Regional Science: Asian Perspectives Ser.</t>
  </si>
  <si>
    <t>Asami, Yasushi</t>
  </si>
  <si>
    <t>Invasive Species in Forests and Rangelands of the United States : A Comprehensive Science Synthesis for the United States Forest Sector</t>
  </si>
  <si>
    <t>Poland, Therese M.</t>
  </si>
  <si>
    <t>Maternal overweight and obesity : impact on obstetric outcomes in adolescents and oxytocin in labor</t>
  </si>
  <si>
    <t>Ramö Isgren, Anna</t>
  </si>
  <si>
    <t>https://ebookcentral.proquest.com/lib/istinye/detail.action?docID=6473547</t>
  </si>
  <si>
    <t>Testosterone Use and Abuse : Methodological Aspects in Forensic Toxicology and Clinical Diagnostics</t>
  </si>
  <si>
    <t>Lood, Yvonne</t>
  </si>
  <si>
    <t>https://ebookcentral.proquest.com/lib/istinye/detail.action?docID=6473548</t>
  </si>
  <si>
    <t>Physical Disability and Sexuality : Stories from South Africa</t>
  </si>
  <si>
    <t>Hunt, Xanthe</t>
  </si>
  <si>
    <t>Die Wirtschaft Im Wandel : Innovation, Soziale Sicherheit, und Wohlfahrt</t>
  </si>
  <si>
    <t>Smart and Sustainable Planning for Cities and Regions : Results of SSPCR 2019--Open Access Contributions</t>
  </si>
  <si>
    <t>Bisello, Adriano</t>
  </si>
  <si>
    <t>Jane Austen : Reflections of a Reader</t>
  </si>
  <si>
    <t>Bartlett, Nora</t>
  </si>
  <si>
    <t>Social and Economic Vulnerability of Roma People : Key Factors for the Success and Continuity of Schooling Levels</t>
  </si>
  <si>
    <t>Mendes, Maria Manuela</t>
  </si>
  <si>
    <t>The Future of Service Post-COVID-19 Pandemic, Volume 1 : Rapid Adoption of Digital Service Technology</t>
  </si>
  <si>
    <t>The ICT and Evolution of Work Ser.</t>
  </si>
  <si>
    <t>Lee, Jungwoo</t>
  </si>
  <si>
    <t>Mnemonic Solidarity : Global Interventions</t>
  </si>
  <si>
    <t>Entangled Memories in the Global South Ser.</t>
  </si>
  <si>
    <t>Lim, Jie-Hyun</t>
  </si>
  <si>
    <t>Öffentliche Mobilität : Voraussetzungen Für eine Menschengerechte Verkehrsplanung</t>
  </si>
  <si>
    <t>Schwedes, Oliver</t>
  </si>
  <si>
    <t>JF1525.P6</t>
  </si>
  <si>
    <t>https://ebookcentral.proquest.com/lib/istinye/detail.action?docID=6476602</t>
  </si>
  <si>
    <t>Anisotropy Across Fields and Scales</t>
  </si>
  <si>
    <t>Mathematics and Visualization Ser.</t>
  </si>
  <si>
    <t>Özarslan, Evren</t>
  </si>
  <si>
    <t>Robotics, AI, and Humanity : Science, Ethics, and Policy</t>
  </si>
  <si>
    <t>Color Centers in Semiconductors for Quantum Applications : A High-Throughput Search of Point Defects in SiC</t>
  </si>
  <si>
    <t>Davidsson, Joel</t>
  </si>
  <si>
    <t>https://ebookcentral.proquest.com/lib/istinye/detail.action?docID=6478541</t>
  </si>
  <si>
    <t>Fiktion genom två medier : En studie om gymnasieelevers menings-skapande utifrån Hjalmar Söderbergs novell "Pälsen" och dess adaption till film</t>
  </si>
  <si>
    <t>Wessbo, Simon</t>
  </si>
  <si>
    <t>https://ebookcentral.proquest.com/lib/istinye/detail.action?docID=6478542</t>
  </si>
  <si>
    <t>Lifestyle in Siberia and the Russian North</t>
  </si>
  <si>
    <t>Habeck, Joachim Otto</t>
  </si>
  <si>
    <t>https://ebookcentral.proquest.com/lib/istinye/detail.action?docID=6478860</t>
  </si>
  <si>
    <t>Decolonising Blue Spaces in the Anthropocene : Freshwater Management in Aotearoa New Zealand</t>
  </si>
  <si>
    <t>Palgrave Studies in Natural Resource Management Ser.</t>
  </si>
  <si>
    <t>Parsons, Meg</t>
  </si>
  <si>
    <t>Oral and Maxillofacial Surgery for the Clinician</t>
  </si>
  <si>
    <t>Bonanthaya, Krishnamurthy</t>
  </si>
  <si>
    <t>A Buddhist Approach to International Relations : Radical Interdependence</t>
  </si>
  <si>
    <t>Long, William J.</t>
  </si>
  <si>
    <t>https://ebookcentral.proquest.com/lib/istinye/detail.action?docID=6480189</t>
  </si>
  <si>
    <t>Quality Management and Accreditation in Hematopoietic Stem Cell Transplantation and Cellular Therapy : The JACIE Guide</t>
  </si>
  <si>
    <t>Aljurf, Mahmoud</t>
  </si>
  <si>
    <t>Crossing the threshold : Visualization design and conceptual understanding of evolution</t>
  </si>
  <si>
    <t>Göransson, Andreas C.</t>
  </si>
  <si>
    <t>https://ebookcentral.proquest.com/lib/istinye/detail.action?docID=6484553</t>
  </si>
  <si>
    <t>Optics of Conducting Polymer Thin Films and Nanostructures</t>
  </si>
  <si>
    <t>Chen, Shangzhi</t>
  </si>
  <si>
    <t>https://ebookcentral.proquest.com/lib/istinye/detail.action?docID=6484554</t>
  </si>
  <si>
    <t>Okända Vatten : Analys av desinfektionsbiprodukter i dricksvatten</t>
  </si>
  <si>
    <t>Andersson, Anna</t>
  </si>
  <si>
    <t>https://ebookcentral.proquest.com/lib/istinye/detail.action?docID=6484555</t>
  </si>
  <si>
    <t>Das ökonomische Laboratop : Eine Soziologische Ethnographie des Wirtschaftswissenschaftlichen Experimentierens</t>
  </si>
  <si>
    <t>Wissen, Kommunikation und Gesellschaft Ser.</t>
  </si>
  <si>
    <t>Haus, Juliane</t>
  </si>
  <si>
    <t>BD175-175.5</t>
  </si>
  <si>
    <t>https://ebookcentral.proquest.com/lib/istinye/detail.action?docID=6484616</t>
  </si>
  <si>
    <t>Like Nobody's Business : An Insider's Guide to How US University Finances Really Work</t>
  </si>
  <si>
    <t>Comrie, Andrew C.</t>
  </si>
  <si>
    <t>The Future European Energy System : Renewable Energy, Flexibility Options and Technological Progress</t>
  </si>
  <si>
    <t>Möst, Dominik</t>
  </si>
  <si>
    <t>Death Rights : Romantic Suicide, Race, and the Bounds of Liberalism</t>
  </si>
  <si>
    <t>Koretsky, Deanna P.</t>
  </si>
  <si>
    <t>https://ebookcentral.proquest.com/lib/istinye/detail.action?docID=6499940</t>
  </si>
  <si>
    <t>Just know it : The role of explicit knowledge in internet-based cognitive behaviour therapy for adolescents</t>
  </si>
  <si>
    <t>Berg, Matilda</t>
  </si>
  <si>
    <t>https://ebookcentral.proquest.com/lib/istinye/detail.action?docID=6501120</t>
  </si>
  <si>
    <t>It’s About Time : User-centered Evaluation of Visual Representations for Temporal Data</t>
  </si>
  <si>
    <t>Hassan, Kahin Akram</t>
  </si>
  <si>
    <t>https://ebookcentral.proquest.com/lib/istinye/detail.action?docID=6501121</t>
  </si>
  <si>
    <t>Assessments and Risk Factors for Falls in Persons with Acute Stroke</t>
  </si>
  <si>
    <t>Sjöholm, Hanna</t>
  </si>
  <si>
    <t>https://ebookcentral.proquest.com/lib/istinye/detail.action?docID=6501122</t>
  </si>
  <si>
    <t>Boundary Value Problems for Nonlinear Elliptic Equations in Divergence Form</t>
  </si>
  <si>
    <t>Mwasa, Abubakar</t>
  </si>
  <si>
    <t>https://ebookcentral.proquest.com/lib/istinye/detail.action?docID=6501123</t>
  </si>
  <si>
    <t>Reading Prehistoric Human Tracks : Methods and Material</t>
  </si>
  <si>
    <t>Pastoors, Andreas</t>
  </si>
  <si>
    <t>What Is Authorial Philology?</t>
  </si>
  <si>
    <t>Italia, Paola</t>
  </si>
  <si>
    <t>Social Work, Sociometry, and Psychodrama : Experiential Approaches for Group Therapists, Community Leaders, and Social Workers</t>
  </si>
  <si>
    <t>Psychodrama in Counselling, Coaching and Education Ser.</t>
  </si>
  <si>
    <t>Giacomucci, Scott</t>
  </si>
  <si>
    <t>BF636.5-.7</t>
  </si>
  <si>
    <t>https://ebookcentral.proquest.com/lib/istinye/detail.action?docID=6508426</t>
  </si>
  <si>
    <t>Arbeit in der Digitalisierten Welt : Praxisbeispiele und Gestaltungslösungen Aus Dem BMBF-Förderschwerpunkt</t>
  </si>
  <si>
    <t>Bauer, Wilhelm</t>
  </si>
  <si>
    <t>Special Topics in Information Technology</t>
  </si>
  <si>
    <t>Geraci, Angelo</t>
  </si>
  <si>
    <t>Pattern Recognition, Tracking and Vertex Reconstruction in Particle Detectors</t>
  </si>
  <si>
    <t>ühwirth, Rudolf</t>
  </si>
  <si>
    <t>Northern Lights on Civic and Citizenship Education : A Cross-National Comparison of Nordic Data from ICCS</t>
  </si>
  <si>
    <t>Biseth, Heidi</t>
  </si>
  <si>
    <t>The Other/Argentina : Jews, Gender, and Sexuality in the Making of a Modern Nation</t>
  </si>
  <si>
    <t>Kaminsky, Amy K.</t>
  </si>
  <si>
    <t>https://ebookcentral.proquest.com/lib/istinye/detail.action?docID=6511344</t>
  </si>
  <si>
    <t>The Data Shake : Opportunities and Obstacles for Urban Policy Making</t>
  </si>
  <si>
    <t>Concilio, Grazia</t>
  </si>
  <si>
    <t>Public Actors in International Investment Law</t>
  </si>
  <si>
    <t>European Yearbook of International Economic Law Ser.</t>
  </si>
  <si>
    <t>Titi, Catharine</t>
  </si>
  <si>
    <t>K3820-3836</t>
  </si>
  <si>
    <t>346.07</t>
  </si>
  <si>
    <t>https://ebookcentral.proquest.com/lib/istinye/detail.action?docID=6511411</t>
  </si>
  <si>
    <t>Von Alternativen Paradigmen Zur Umfassenden Transformation : Analyse Transformativer Forschungsprojekte Anhand des Diskursiven Institutionalismus</t>
  </si>
  <si>
    <t>Schleicher, Katharina</t>
  </si>
  <si>
    <t>https://ebookcentral.proquest.com/lib/istinye/detail.action?docID=6511461</t>
  </si>
  <si>
    <t>Solar Energetic Particles : A Modern Primer on Understanding Sources, Acceleration and Propagation</t>
  </si>
  <si>
    <t>Lecture Notes in Physics Ser.</t>
  </si>
  <si>
    <t>Reames, Donald V.</t>
  </si>
  <si>
    <t>Recovering Civility During COVID-19</t>
  </si>
  <si>
    <t>Bonotti, Matteo</t>
  </si>
  <si>
    <t>Digital Business : Analysen und Handlungsfelder in der Praxis</t>
  </si>
  <si>
    <t>Das Internet der Dinge Für Bildung Nutzbar Machen : Gestaltung Von Smart Learning Environments Auf Basis Eines Interdisziplinären Diskurses</t>
  </si>
  <si>
    <t>Freigang, Sirkka</t>
  </si>
  <si>
    <t>P96.E29-.E292</t>
  </si>
  <si>
    <t>https://ebookcentral.proquest.com/lib/istinye/detail.action?docID=6511553</t>
  </si>
  <si>
    <t>Revitalizing Indian Agriculture and Boosting Farmer Incomes</t>
  </si>
  <si>
    <t>India Studies in Business and Economics Ser.</t>
  </si>
  <si>
    <t>Gulati, Ashok</t>
  </si>
  <si>
    <t>Insurance Distribution Directive : A Legal Analysis</t>
  </si>
  <si>
    <t>AIDA Europe Research Series on Insurance Law and Regulation Ser.</t>
  </si>
  <si>
    <t>Marano, Pierpaolo</t>
  </si>
  <si>
    <t>Wechselwirkungen Zwischen Landnutzung und Klimawandel</t>
  </si>
  <si>
    <t>Gömann, Horst</t>
  </si>
  <si>
    <t>Innovative Learning Environments in STEM Higher Education : Opportunities, Challenges, and Looking Forward</t>
  </si>
  <si>
    <t>SpringerBriefs in Statistics Ser.</t>
  </si>
  <si>
    <t>Ryoo, Jungwoo</t>
  </si>
  <si>
    <t>70 Years of Levothyroxine</t>
  </si>
  <si>
    <t>Kahaly, George J.</t>
  </si>
  <si>
    <t>Health Promotion in Health Care - Vital Theories and Research</t>
  </si>
  <si>
    <t>Haugan, Gørill</t>
  </si>
  <si>
    <t>Indikatoren Für Die Messung Von Forschung, Entwicklung und Innovation : Steckbriefe Mit Hinweisen Zur Anwendung</t>
  </si>
  <si>
    <t>FOM-Edition Ser.</t>
  </si>
  <si>
    <t>Kladroba, Andreas</t>
  </si>
  <si>
    <t>Digital servitization : Organizing the firm and working with the ecosystem</t>
  </si>
  <si>
    <t>Sklyar, Alexey</t>
  </si>
  <si>
    <t>https://ebookcentral.proquest.com/lib/istinye/detail.action?docID=6518383</t>
  </si>
  <si>
    <t>Aesthetic Flexibility : In Industrial Design Practice</t>
  </si>
  <si>
    <t>Andersson, Torbjörn</t>
  </si>
  <si>
    <t>https://ebookcentral.proquest.com/lib/istinye/detail.action?docID=6518384</t>
  </si>
  <si>
    <t>Graph Structures for Knowledge Representation and Reasoning : 6th International Workshop, GKR 2020, Virtual Event, September 5, 2020, Revised Selected Papers</t>
  </si>
  <si>
    <t>Cochez, Michael</t>
  </si>
  <si>
    <t>Euthanasia: Searching for the Full Story : Experiences and Insights of Belgian Doctors and Nurses</t>
  </si>
  <si>
    <t>Devos, Timothy</t>
  </si>
  <si>
    <t>RC271.P33</t>
  </si>
  <si>
    <t>https://ebookcentral.proquest.com/lib/istinye/detail.action?docID=6522084</t>
  </si>
  <si>
    <t>Artificial Intelligence for a Better Future : An Ecosystem Perspective on the Ethics of AI and Emerging Digital Technologies</t>
  </si>
  <si>
    <t>Stahl, Bernd Carsten</t>
  </si>
  <si>
    <t>Q334-342</t>
  </si>
  <si>
    <t>https://ebookcentral.proquest.com/lib/istinye/detail.action?docID=6522091</t>
  </si>
  <si>
    <t>Romanticism and Time : Literary Temporalities</t>
  </si>
  <si>
    <t>Laniel-Musitelli, Sophie</t>
  </si>
  <si>
    <t>Arab Media Systems</t>
  </si>
  <si>
    <t>Richter, Carola</t>
  </si>
  <si>
    <t>Tools and Algorithms for the Construction and Analysis of Systems : 27th International Conference, TACAS 2021, Held As Part of the European Joint Conferences on Theory and Practice of Software, ETAPS 2021, Luxembourg City, Luxembourg, March 27 - April 1, 2021, Proceedings, Part I</t>
  </si>
  <si>
    <t>Groote, Jan Friso</t>
  </si>
  <si>
    <t>The Politics of Diversity in Music Education</t>
  </si>
  <si>
    <t>Landscapes: the Arts, Aesthetics, and Education Ser.</t>
  </si>
  <si>
    <t>Kallio, Alexis Anja</t>
  </si>
  <si>
    <t>Trauma and Resilience among Displaced Populations : A Sociocultural Exploration</t>
  </si>
  <si>
    <t>Theisen-Womersley, Gail</t>
  </si>
  <si>
    <t>https://ebookcentral.proquest.com/lib/istinye/detail.action?docID=6523267</t>
  </si>
  <si>
    <t>Fundamental Approaches to Software Engineering : 24th International Conference, FASE 2021, Held As Part of the European Joint Conferences on Theory and Practice of Software, ETAPS 2021, Luxembourg City, Luxembourg, March 27 - April 1, 2021, Proceedings</t>
  </si>
  <si>
    <t>Guerra, Esther</t>
  </si>
  <si>
    <t>Cultural Governance : Legitimation und Steuerung in Den Darstellenden Künsten</t>
  </si>
  <si>
    <t>Mandel, Birgit</t>
  </si>
  <si>
    <t>Accelerating Digitalization : Chancen der Digitalisierung Erkennen und Nutzen</t>
  </si>
  <si>
    <t>Proff, Harald</t>
  </si>
  <si>
    <t>Exploiting Direct Optimal Control for Motion Planning in Unstructured Environments</t>
  </si>
  <si>
    <t>Bergman, Kristoffer</t>
  </si>
  <si>
    <t>https://ebookcentral.proquest.com/lib/istinye/detail.action?docID=6523332</t>
  </si>
  <si>
    <t>Parameterized Verification of Synchronized Concurrent Programs</t>
  </si>
  <si>
    <t>Ganjei, Zeinab</t>
  </si>
  <si>
    <t>https://ebookcentral.proquest.com/lib/istinye/detail.action?docID=6523333</t>
  </si>
  <si>
    <t>Textbook on Scar Management : State of the Art Management and Emerging Technologies</t>
  </si>
  <si>
    <t>Téot, Luc</t>
  </si>
  <si>
    <t>The Life and Afterlife of Gay Neighborhoods : Renaissance and Resurgence</t>
  </si>
  <si>
    <t>The Urban Book Ser.</t>
  </si>
  <si>
    <t>Bitterman, Alex</t>
  </si>
  <si>
    <t>E-Science : Open, Social and Virtual Technology for Research Collaboration</t>
  </si>
  <si>
    <t>Progress in IS Ser.</t>
  </si>
  <si>
    <t>Koschtial, Claudia</t>
  </si>
  <si>
    <t>The New Common : How the COVID-19 Pandemic Is Transforming Society</t>
  </si>
  <si>
    <t>Aarts, Emile</t>
  </si>
  <si>
    <t>Accelerator-Driven System at Kyoto University Critical Assembly</t>
  </si>
  <si>
    <t>Pyeon, Cheol Ho</t>
  </si>
  <si>
    <t>The Impact of Individual Expertise and Public Information on Group Decision-Making</t>
  </si>
  <si>
    <t>FOM-Edition Research Ser.</t>
  </si>
  <si>
    <t>Strunz, Ulrich G.</t>
  </si>
  <si>
    <t>HD28-70</t>
  </si>
  <si>
    <t>https://ebookcentral.proquest.com/lib/istinye/detail.action?docID=6523370</t>
  </si>
  <si>
    <t>Global History with Chinese Characteristics : Autocratic States along the Silk Road in the Decline of the Spanish and Qing Empires 1680-1796</t>
  </si>
  <si>
    <t>Perez-Garcia, Manuel</t>
  </si>
  <si>
    <t>Magnetism and Accelerator-Based Light Sources : Proceedings of the 7th International School ''Synchrotron Radiation and Magnetism'', Mittelwihr (France) 2018</t>
  </si>
  <si>
    <t>Springer Proceedings in Physics Ser.</t>
  </si>
  <si>
    <t>Bulou, Hervé</t>
  </si>
  <si>
    <t>Berufliche Orientierung Zwischen Heterogenität und Individualisierung : Beschreibung, Messung und Konsequenzen Zur Individuellen Förderung in Schule</t>
  </si>
  <si>
    <t>Ohlemann, Svenja</t>
  </si>
  <si>
    <t>https://ebookcentral.proquest.com/lib/istinye/detail.action?docID=6523395</t>
  </si>
  <si>
    <t>Die Grenzen der EU : Europäische Integration, ,,Schengen und Die Kontrolle der Migration</t>
  </si>
  <si>
    <t>Oltmer, Jochen</t>
  </si>
  <si>
    <t>JV6225-6231</t>
  </si>
  <si>
    <t>https://ebookcentral.proquest.com/lib/istinye/detail.action?docID=6523396</t>
  </si>
  <si>
    <t>Data Technology in Materials Modelling</t>
  </si>
  <si>
    <t>Horsch, Martin Thomas</t>
  </si>
  <si>
    <t>Foundations of Software Science and Computation Structures : 24th International Conference, FOSSACS 2021, Held As Part of the European Joint Conferences on Theory and Practice of Software, ETAPS 2021, Luxembourg City, Luxembourg, March 27 - April 1, 2021, Proceedings</t>
  </si>
  <si>
    <t>Kiefer, Stefan</t>
  </si>
  <si>
    <t>Tools and Algorithms for the Construction and Analysis of Systems : 27th International Conference, TACAS 2021, Held As Part of the European Joint Conferences on Theory and Practice of Software, ETAPS 2021, Luxembourg City, Luxembourg, March 27 - April 1, 2021, Proceedings, Part II</t>
  </si>
  <si>
    <t>Community and Identity in Contemporary Technosciences</t>
  </si>
  <si>
    <t>Sociology of the Sciences Yearbook Ser.</t>
  </si>
  <si>
    <t>Kastenhofer, Karen</t>
  </si>
  <si>
    <t>Programming Languages and Systems : 30th European Symposium on Programming, ESOP 2021, Held As Part of the European Joint Conferences on Theory and Practice of Software, ETAPS 2021, Luxembourg City, Luxembourg, March 27 - April 1, 2021, Proceedings</t>
  </si>
  <si>
    <t>Yoshida, Nobuko</t>
  </si>
  <si>
    <t>https://ebookcentral.proquest.com/lib/istinye/detail.action?docID=6524996</t>
  </si>
  <si>
    <t>Open Skies : The National Radio Astronomy Observatory and Its Impact on US Radio Astronomy</t>
  </si>
  <si>
    <t>Historical and Cultural Astronomy Ser.</t>
  </si>
  <si>
    <t>Kellermann, Kenneth I.</t>
  </si>
  <si>
    <t>Quantum Computing for the Quantum Curious</t>
  </si>
  <si>
    <t>Hughes, Ciaran</t>
  </si>
  <si>
    <t>Introduction to Epigenetics</t>
  </si>
  <si>
    <t>Learning Materials in Biosciences Ser.</t>
  </si>
  <si>
    <t>Paro, Renato</t>
  </si>
  <si>
    <t>Firm Competitive Advantage Through Relationship Management : A Theory for Successful Sustainable Growth</t>
  </si>
  <si>
    <t>Deszczyński, Bartosz</t>
  </si>
  <si>
    <t>HF5415.5-5415.53</t>
  </si>
  <si>
    <t>https://ebookcentral.proquest.com/lib/istinye/detail.action?docID=6527531</t>
  </si>
  <si>
    <t>Macht Arbeit Frei? : German Economic Policy and Forced Labor of Jews in the General Government, 1939-1943</t>
  </si>
  <si>
    <t>Jews of Poland Ser.</t>
  </si>
  <si>
    <t>Gendered Violence : Jewish Women in the Pogroms of 1917 To 1921</t>
  </si>
  <si>
    <t>Jews of Russia and Eastern Europe and Their Legacy Ser.</t>
  </si>
  <si>
    <t>Astashkevich, Irina</t>
  </si>
  <si>
    <t>https://ebookcentral.proquest.com/lib/istinye/detail.action?docID=6527604</t>
  </si>
  <si>
    <t>Gone to Pitchipoi : A Boy's Desperate Fight for Survival in Wartime</t>
  </si>
  <si>
    <t>Katz, Rubin</t>
  </si>
  <si>
    <t>https://ebookcentral.proquest.com/lib/istinye/detail.action?docID=6527605</t>
  </si>
  <si>
    <t>Trajectory Planning for an Autonomous Vehicle in Multi-Vehicle Traffic Scenario</t>
  </si>
  <si>
    <t>Morsali, Mahdi</t>
  </si>
  <si>
    <t>https://ebookcentral.proquest.com/lib/istinye/detail.action?docID=6527802</t>
  </si>
  <si>
    <t>Radioluminescence : A simple model for fluorescent layers - analysis and applications</t>
  </si>
  <si>
    <t>Lindström, Jan</t>
  </si>
  <si>
    <t>https://ebookcentral.proquest.com/lib/istinye/detail.action?docID=6527803</t>
  </si>
  <si>
    <t>A good death from the perspective of patients with severe illness and advance care planning (ACP) in patients near end-of-life</t>
  </si>
  <si>
    <t>Kastbom, Lisa</t>
  </si>
  <si>
    <t>https://ebookcentral.proquest.com/lib/istinye/detail.action?docID=6527804</t>
  </si>
  <si>
    <t>Krankenhaus-Report 2021 : Versorgungsketten - der Patient Im Mittelpunkt</t>
  </si>
  <si>
    <t>Accounting and Statistical Analyses for Sustainable Development : Multiple Perspectives and Information-Theoretic Complexity Reduction</t>
  </si>
  <si>
    <t>Sustainable Management, Wertschöpfung und Effizienz Ser.</t>
  </si>
  <si>
    <t>Lemke, Claudia</t>
  </si>
  <si>
    <t>HC79.E5</t>
  </si>
  <si>
    <t>https://ebookcentral.proquest.com/lib/istinye/detail.action?docID=6531639</t>
  </si>
  <si>
    <t>Urban Socio-Economic Segregation and Income Inequality : A Global Perspective</t>
  </si>
  <si>
    <t>van Ham, Maarten</t>
  </si>
  <si>
    <t>The Fundamental Elements of Strategy : Concepts, Theories and Cases</t>
  </si>
  <si>
    <t>Yu, Xiu-bao</t>
  </si>
  <si>
    <t>https://ebookcentral.proquest.com/lib/istinye/detail.action?docID=6531665</t>
  </si>
  <si>
    <t>Arts and Health Promotion : Tools and Bridges for Practice, Research, and Social Transformation</t>
  </si>
  <si>
    <t>Corbin, J. Hope</t>
  </si>
  <si>
    <t>Entertainment-Education Behind the Scenes : Case Studies for Theory and Practice</t>
  </si>
  <si>
    <t>Frank, Lauren B.</t>
  </si>
  <si>
    <t>Towards a Natural Social Contract : Transformative Social-Ecological Innovation for a Sustainable, Healthy and Just Society</t>
  </si>
  <si>
    <t>Huntjens, Patrick</t>
  </si>
  <si>
    <t>HM671</t>
  </si>
  <si>
    <t>https://ebookcentral.proquest.com/lib/istinye/detail.action?docID=6531708</t>
  </si>
  <si>
    <t>Social Exclusion in Later Life : Interdisciplinary and Policy Perspectives</t>
  </si>
  <si>
    <t>International Perspectives on Aging Ser.</t>
  </si>
  <si>
    <t>Walsh, Kieran</t>
  </si>
  <si>
    <t>Taxation, International Cooperation and the 2030 Sustainable Development Agenda</t>
  </si>
  <si>
    <t>United Nations University Series on Regionalism Ser.</t>
  </si>
  <si>
    <t>Mosquera Valderrama, Irma Johanna</t>
  </si>
  <si>
    <t>Sprachliche Variationen Von Mathematischen Textaufgaben : Entwicklung Eines Instruments Zur Textanpassung Für Textaufgaben Im Mathematikunterricht</t>
  </si>
  <si>
    <t>Bielefelder Schriften Zur Didaktik der Mathematik Ser.</t>
  </si>
  <si>
    <t>Bednorz, David</t>
  </si>
  <si>
    <t>QA1-939</t>
  </si>
  <si>
    <t>https://ebookcentral.proquest.com/lib/istinye/detail.action?docID=6531811</t>
  </si>
  <si>
    <t>Napoleonic Governance in the Netherlands and Northwest Germany : Conquest, Incorporation, and Integration</t>
  </si>
  <si>
    <t>War, Culture and Society, 1750-1850 Ser.</t>
  </si>
  <si>
    <t>van der Burg, Martijn</t>
  </si>
  <si>
    <t>Polarimetric Synthetic Aperture Radar : Principles and Application</t>
  </si>
  <si>
    <t>Remote Sensing and Digital Image Processing Ser.</t>
  </si>
  <si>
    <t>Hajnsek, Irena</t>
  </si>
  <si>
    <t>Dialogue for Intercultural Understanding : Placing Cultural Literacy at the Heart of Learning</t>
  </si>
  <si>
    <t>Maine, Fiona</t>
  </si>
  <si>
    <t>Der Deutschsprachige Nachkriegsroman und Die Tradition des Unzuverlässigen Erzählens</t>
  </si>
  <si>
    <t>Abhandlungen Zur Literaturwissenschaft Ser.</t>
  </si>
  <si>
    <t>Aumüller, Matthias</t>
  </si>
  <si>
    <t>GeomInt-Mechanical Integrity of Host Rocks</t>
  </si>
  <si>
    <t>Terrestrial Environmental Sciences Ser.</t>
  </si>
  <si>
    <t>Kolditz, Olaf</t>
  </si>
  <si>
    <t>Smart Technologies for Precision Assembly : 9th IFIP WG 5. 5 International Precision Assembly Seminar, IPAS 2020, Virtual Event, December 14-15, 2020, Revised Selected Papers</t>
  </si>
  <si>
    <t>IFIP Advances in Information and Communication Technology Ser.</t>
  </si>
  <si>
    <t>Ratchev, Svetan</t>
  </si>
  <si>
    <t>QA76.76.A65</t>
  </si>
  <si>
    <t>https://ebookcentral.proquest.com/lib/istinye/detail.action?docID=6533434</t>
  </si>
  <si>
    <t>Envisioning Socialism : Television and the Cold War in the German Democratic Republic</t>
  </si>
  <si>
    <t>Social History, Popular Culture, and Politics in Germany Ser.</t>
  </si>
  <si>
    <t>Gumbert, Heather</t>
  </si>
  <si>
    <t>Bluestocking Feminism and British-German Cultural Transfer, 1750-1837</t>
  </si>
  <si>
    <t>Johns, Alessa</t>
  </si>
  <si>
    <t>HQ1587</t>
  </si>
  <si>
    <t>305.4094090/33</t>
  </si>
  <si>
    <t>https://ebookcentral.proquest.com/lib/istinye/detail.action?docID=6533753</t>
  </si>
  <si>
    <t>Internationalizing International Communication</t>
  </si>
  <si>
    <t>The New Media World Ser.</t>
  </si>
  <si>
    <t>Lee, Chin-Chuan</t>
  </si>
  <si>
    <t>P96.I5 I584 2014</t>
  </si>
  <si>
    <t>302.2</t>
  </si>
  <si>
    <t>Communication, International.</t>
  </si>
  <si>
    <t>https://ebookcentral.proquest.com/lib/istinye/detail.action?docID=6533808</t>
  </si>
  <si>
    <t>Gemensamma mekanismer för alkohol- och ångestrelaterade beteenden studerade i djurmodeller</t>
  </si>
  <si>
    <t>Barchiesi, Riccardo</t>
  </si>
  <si>
    <t>https://ebookcentral.proquest.com/lib/istinye/detail.action?docID=6533960</t>
  </si>
  <si>
    <t>The Media Welfare State : Nordic Media in the Digital Era</t>
  </si>
  <si>
    <t>Mjøs, Ole J.</t>
  </si>
  <si>
    <t>Play Redux : The Form of Computer Games</t>
  </si>
  <si>
    <t>Myers, David</t>
  </si>
  <si>
    <t>Doom : Scarydarkfast</t>
  </si>
  <si>
    <t>Landmark Video Games Ser.</t>
  </si>
  <si>
    <t>Pinchbeck, Dan</t>
  </si>
  <si>
    <t>Framed : The New Woman Criminal in British Culture at the Fin de Siecle</t>
  </si>
  <si>
    <t>Miller, Elizabeth Carolyn</t>
  </si>
  <si>
    <t>PR878</t>
  </si>
  <si>
    <t>823/.087209</t>
  </si>
  <si>
    <t>https://ebookcentral.proquest.com/lib/istinye/detail.action?docID=6533986</t>
  </si>
  <si>
    <t>Wiki Writing : Collaborative Learning in the College Classroom</t>
  </si>
  <si>
    <t>Barton, Matthew</t>
  </si>
  <si>
    <t>Kinship and History in South Asia : Four Lectures</t>
  </si>
  <si>
    <t>University of Michigan, Center for South &amp; Southeast Asian Studies</t>
  </si>
  <si>
    <t>Michigan Papers on South and Southeast Asia Ser.</t>
  </si>
  <si>
    <t>Trautmann, Thomas R.</t>
  </si>
  <si>
    <t>GN635</t>
  </si>
  <si>
    <t>https://ebookcentral.proquest.com/lib/istinye/detail.action?docID=6533988</t>
  </si>
  <si>
    <t>The Cultural Revolution : 1967 in Review</t>
  </si>
  <si>
    <t>Center for Chinese Studies Publications</t>
  </si>
  <si>
    <t>Michigan Monographs in Chinese Studies</t>
  </si>
  <si>
    <t>Oksenberg, Michel</t>
  </si>
  <si>
    <t>An Annotated Bibliography of Chinese Painting Catalogues and Related Texts</t>
  </si>
  <si>
    <t>Lovell, Hin-cheung</t>
  </si>
  <si>
    <t>https://ebookcentral.proquest.com/lib/istinye/detail.action?docID=6533999</t>
  </si>
  <si>
    <t>The Economy of Communist China, 1949-1969</t>
  </si>
  <si>
    <t>Cheng, Chu-yuan</t>
  </si>
  <si>
    <t>https://ebookcentral.proquest.com/lib/istinye/detail.action?docID=6534003</t>
  </si>
  <si>
    <t>Teaching History in the Digital Age</t>
  </si>
  <si>
    <t>Kelly, T. Mills</t>
  </si>
  <si>
    <t>The American Automobile Industry : Rebirth or Requiem?</t>
  </si>
  <si>
    <t>University of Michigan, Center for Japanese Studies</t>
  </si>
  <si>
    <t>Michigan Papers in Japanese Studies</t>
  </si>
  <si>
    <t>Cole, Robert</t>
  </si>
  <si>
    <t>HD9710</t>
  </si>
  <si>
    <t>https://ebookcentral.proquest.com/lib/istinye/detail.action?docID=6534005</t>
  </si>
  <si>
    <t>The Sting of Death and Other Stories</t>
  </si>
  <si>
    <t>Shimao, Toshio</t>
  </si>
  <si>
    <t>Poetry's Afterlife : Verse in the Digital Age</t>
  </si>
  <si>
    <t>Stein, Kevin</t>
  </si>
  <si>
    <t>PS326S74</t>
  </si>
  <si>
    <t>American poetry-21st century-History and criticism.</t>
  </si>
  <si>
    <t>https://ebookcentral.proquest.com/lib/istinye/detail.action?docID=6534007</t>
  </si>
  <si>
    <t>Tactics of the Human : Experimental Technics in American Fiction</t>
  </si>
  <si>
    <t>Shackelford, Laura</t>
  </si>
  <si>
    <t>PS374</t>
  </si>
  <si>
    <t>813.009/356</t>
  </si>
  <si>
    <t xml:space="preserve">Human body and technology in literature. </t>
  </si>
  <si>
    <t>Imagining the Global : Transnational Media and Popular Culture Beyond East and West</t>
  </si>
  <si>
    <t>Darling-Wolf, Fabienne</t>
  </si>
  <si>
    <t>P94.6 .W654 2015</t>
  </si>
  <si>
    <t xml:space="preserve">Mass media-Social aspects-United States. </t>
  </si>
  <si>
    <t>The Future of Africa : Challenges and Opportunities</t>
  </si>
  <si>
    <t>Cilliers, Jakkie</t>
  </si>
  <si>
    <t>International Organizations in Global Social Governance</t>
  </si>
  <si>
    <t>Martens, Kerstin</t>
  </si>
  <si>
    <t>Organisationsbildung und Gesellschaftliche Differenzierung : Empirische Einsichten und Theoretische Perspektiven</t>
  </si>
  <si>
    <t>Organisation und Gesellschaft - Forschung Ser.</t>
  </si>
  <si>
    <t>Schwarting, Rena</t>
  </si>
  <si>
    <t>HM786-806</t>
  </si>
  <si>
    <t>https://ebookcentral.proquest.com/lib/istinye/detail.action?docID=6536817</t>
  </si>
  <si>
    <t>Urban Informatics</t>
  </si>
  <si>
    <t>Shi, Wenzhong</t>
  </si>
  <si>
    <t>Resilient Urban Futures</t>
  </si>
  <si>
    <t>Hamstead, Zoé A.</t>
  </si>
  <si>
    <t>Operationalisation of Hybrid Peacebuilding in Asia : From Theory to Practice</t>
  </si>
  <si>
    <t>Security, Development and Human Rights in East Asia Ser.</t>
  </si>
  <si>
    <t>Migration to and from Welfare States : Lived Experiences of the Welfare-Migration Nexus in a Globalised World</t>
  </si>
  <si>
    <t>Ryndyk, Oleksandr</t>
  </si>
  <si>
    <t>Migration and Discrimination : IMISCOE Short Reader</t>
  </si>
  <si>
    <t>Fibbi, Rosita</t>
  </si>
  <si>
    <t>Remedies Against Immunity? : Reconciling International and Domestic Law after the Italian Constitutional Court's Sentenza 238/2014</t>
  </si>
  <si>
    <t>Volpe, Valentina</t>
  </si>
  <si>
    <t>AVENUE21. Politische und Planerische Aspekte der Automatisierten Mobilität</t>
  </si>
  <si>
    <t>Mitteregger, Mathias</t>
  </si>
  <si>
    <t>Cushing’s disease and aggressive pituitary tumours : Aspects on epidemiology, treatment, and long-term follow-up</t>
  </si>
  <si>
    <t>Bengtsson, Daniel</t>
  </si>
  <si>
    <t>https://ebookcentral.proquest.com/lib/istinye/detail.action?docID=6546682</t>
  </si>
  <si>
    <t>Synthesis and Characterization of ZnO/Graphene Nanostructures for Electronics and Photocatalysis</t>
  </si>
  <si>
    <t>Chalangar, Seyed Ebrahim</t>
  </si>
  <si>
    <t>https://ebookcentral.proquest.com/lib/istinye/detail.action?docID=6546683</t>
  </si>
  <si>
    <t>Prediction of Spontaneous Preterm Birth : Clinical and Immunological Aspects</t>
  </si>
  <si>
    <t>Svenvik, Maria</t>
  </si>
  <si>
    <t>https://ebookcentral.proquest.com/lib/istinye/detail.action?docID=6546684</t>
  </si>
  <si>
    <t>Scientia Media : Der Molinismus und das Faktenwissen. Mit Einer Edition des Ms. BU Salamanca 156 Von 1653</t>
  </si>
  <si>
    <t>Bochumer Studien Zur Philosophie Ser.</t>
  </si>
  <si>
    <t>Knebel, Sven K.</t>
  </si>
  <si>
    <t>BL473</t>
  </si>
  <si>
    <t>https://ebookcentral.proquest.com/lib/istinye/detail.action?docID=6548800</t>
  </si>
  <si>
    <t>Musculoskeletal Diseases 2021-2024 : Diagnostic Imaging</t>
  </si>
  <si>
    <t>Rethinking Social Action Through Music : The Search for Coexistence and Citizenship in Medellín's Music Schools</t>
  </si>
  <si>
    <t>Baker, Geoffrey</t>
  </si>
  <si>
    <t>https://ebookcentral.proquest.com/lib/istinye/detail.action?docID=6551435</t>
  </si>
  <si>
    <t>New Perspectives in Biblical and Rabbinic Hebrew</t>
  </si>
  <si>
    <t>Classical Music : Contemporary Perspectives and Challenges</t>
  </si>
  <si>
    <t>Beckerman, Michael</t>
  </si>
  <si>
    <t>Middlemarch : Epigraphs and Mirrors</t>
  </si>
  <si>
    <t>Roberts, Adam</t>
  </si>
  <si>
    <t>Grammatical and Sociolinguistic Aspects of Ethiopian Languages</t>
  </si>
  <si>
    <t>IMPACT: Studies in Language, Culture and Society Ser.</t>
  </si>
  <si>
    <t>Ado, Derib</t>
  </si>
  <si>
    <t>Functionalized epitaxial graphene as versatile platform for air quality sensors</t>
  </si>
  <si>
    <t>Rodner, Marius</t>
  </si>
  <si>
    <t>https://ebookcentral.proquest.com/lib/istinye/detail.action?docID=6552906</t>
  </si>
  <si>
    <t>Sensor Management for Target Tracking Applications</t>
  </si>
  <si>
    <t>Boström-Rost, Per</t>
  </si>
  <si>
    <t>https://ebookcentral.proquest.com/lib/istinye/detail.action?docID=6552907</t>
  </si>
  <si>
    <t>East and West of the Pentacrest : Linguistic Studies in Honor of Paula Kempchinsky</t>
  </si>
  <si>
    <t>Gupton, Timothy</t>
  </si>
  <si>
    <t>Ålderism i media : Online representationer av äldre människor</t>
  </si>
  <si>
    <t>Xu, Wenqian</t>
  </si>
  <si>
    <t>https://ebookcentral.proquest.com/lib/istinye/detail.action?docID=6566351</t>
  </si>
  <si>
    <t>Yrkeselevers agens i identitetsformering som industriarbetare</t>
  </si>
  <si>
    <t>Ferm, Lisa</t>
  </si>
  <si>
    <t>https://ebookcentral.proquest.com/lib/istinye/detail.action?docID=6566352</t>
  </si>
  <si>
    <t>A techno-economic system approach for the energy renovation of residential districts built before 1945</t>
  </si>
  <si>
    <t>Milic, Vlatko</t>
  </si>
  <si>
    <t>https://ebookcentral.proquest.com/lib/istinye/detail.action?docID=6566353</t>
  </si>
  <si>
    <t>Masterpieces of Swiss Entrepreneurship : Swiss SMEs Competing in Global Markets</t>
  </si>
  <si>
    <t>Jeannet, Jean-Pierre</t>
  </si>
  <si>
    <t>Optimization-Based Energy Management for Multi-Energy Maritime Grids</t>
  </si>
  <si>
    <t>Springer Series on Naval Architecture, Marine Engineering, Shipbuilding and Shipping Ser.</t>
  </si>
  <si>
    <t>Fang, Sidun</t>
  </si>
  <si>
    <t>UK Child Migration to Australia, 1945-1970 : A Study in Policy Failure</t>
  </si>
  <si>
    <t>Lynch, Gordon</t>
  </si>
  <si>
    <t>362.73</t>
  </si>
  <si>
    <t>https://ebookcentral.proquest.com/lib/istinye/detail.action?docID=6566903</t>
  </si>
  <si>
    <t>Designing Sustainability for All : The Design of Sustainable Product-Service Systems Applied to Distributed Economies</t>
  </si>
  <si>
    <t>Lecture Notes in Mechanical Engineering Ser.</t>
  </si>
  <si>
    <t>Vezzoli, Carlo</t>
  </si>
  <si>
    <t>Methodological Approaches to Societies in Transformation : How to Make Sense of Change</t>
  </si>
  <si>
    <t>Anthropology, Change, and Development Ser.</t>
  </si>
  <si>
    <t>Berriane, Yasmine</t>
  </si>
  <si>
    <t>Social Background and the Demographic Life Course: Cross-National Comparisons</t>
  </si>
  <si>
    <t>Liefbroer, Aart C.</t>
  </si>
  <si>
    <t>Fostering Transformative Change for Sustainability in the Context of Socio-Ecological Production Landscapes and Seascapes (SEPLS)</t>
  </si>
  <si>
    <t>Nishi, Maiko</t>
  </si>
  <si>
    <t>Undocumented Migrants and Their Everyday Lives : The Case of Finland</t>
  </si>
  <si>
    <t>Jauhiainen, Jussi S.</t>
  </si>
  <si>
    <t>Young Adults and Active Citizenship : Towards Social Inclusion Through Adult Education</t>
  </si>
  <si>
    <t>Lifelong Learning Book Ser.</t>
  </si>
  <si>
    <t>Kersh, Natasha</t>
  </si>
  <si>
    <t>Migrant Hospitalities in the Mediterranean : Encounters with Alterity in Birth and Death</t>
  </si>
  <si>
    <t>Grotti, Vanessa</t>
  </si>
  <si>
    <t>Migrants, Refugees and Asylum Seekers' Integration in European Labour Markets : A Comparative Approach on Legal Barriers and Enablers</t>
  </si>
  <si>
    <t>Federico, Veronica</t>
  </si>
  <si>
    <t>Small Electric Vehicles : An International View on Light Three- and Four-Wheelers</t>
  </si>
  <si>
    <t>Ewert, Amelie</t>
  </si>
  <si>
    <t>Advances on Mechanics, Design Engineering and Manufacturing III : Proceedings of the International Joint Conference on Mechanics, Design Engineering and Advanced Manufacturing, JCM 2020, June 2-4 2020</t>
  </si>
  <si>
    <t>Roucoules, Lionel</t>
  </si>
  <si>
    <t>Social Development in the World Bank : Essays in Honor of Michael M. Cernea</t>
  </si>
  <si>
    <t>Koch-Weser, Maritta</t>
  </si>
  <si>
    <t>Market Engineering : Insights from Two Decades of Research on Markets and Information</t>
  </si>
  <si>
    <t>Gimpel, Henner</t>
  </si>
  <si>
    <t>Seeking the Best Master : State Ownership in the Varieties of Capitalism</t>
  </si>
  <si>
    <t>Szanyi, Miklós</t>
  </si>
  <si>
    <t>Sex Work, Health, and Human Rights : Global Inequities, Challenges, and Opportunities for Action</t>
  </si>
  <si>
    <t>Goldenberg, Shira M.</t>
  </si>
  <si>
    <t>Qualité des Aliments d'origine Animale : Production et Transformation</t>
  </si>
  <si>
    <t>Prache, Sophie</t>
  </si>
  <si>
    <t>Agroecology: Research for the Transition of Agri-Food Systems and Territories</t>
  </si>
  <si>
    <t>Caquet, Thierry</t>
  </si>
  <si>
    <t>Eating in the City : Socio-Anthropological Perspectives from Africa, Latin America and Asia</t>
  </si>
  <si>
    <t>Soula, Audrey</t>
  </si>
  <si>
    <t>Energy and Sustainable Futures : Proceedings of 2nd ICESF 2020</t>
  </si>
  <si>
    <t>Springer Proceedings in Energy Ser.</t>
  </si>
  <si>
    <t>Mporas, Iosif</t>
  </si>
  <si>
    <t>Social Selling Im B2B : Grundlagen, Tools, State of the Art</t>
  </si>
  <si>
    <t>Römmelt, Benedikt</t>
  </si>
  <si>
    <t>HF5438.4</t>
  </si>
  <si>
    <t>https://ebookcentral.proquest.com/lib/istinye/detail.action?docID=6578553</t>
  </si>
  <si>
    <t>The Global Lives of German Migrants : Consequences of International Migration Across the Life Course</t>
  </si>
  <si>
    <t>Erlinghagen, Marcel</t>
  </si>
  <si>
    <t>Comprehensive Utilization of Magnesium Slag by Pidgeon Process</t>
  </si>
  <si>
    <t>SpringerBriefs in Materials Ser.</t>
  </si>
  <si>
    <t>Wu, Laner</t>
  </si>
  <si>
    <t>Schulbezogene Motivierungspraktiken Von Eltern : Verbale Wert- und Kontrollzuschreibungen Gegenüber Kindern Beim Übertritt in Die Sekundarstufe I</t>
  </si>
  <si>
    <t>Steiner, Erich</t>
  </si>
  <si>
    <t>LB1101-1139</t>
  </si>
  <si>
    <t>https://ebookcentral.proquest.com/lib/istinye/detail.action?docID=6578718</t>
  </si>
  <si>
    <t>Animals in Our Midst: the Challenges of Co-Existing with Animals in the Anthropocene</t>
  </si>
  <si>
    <t>The International Library of Environmental, Agricultural and Food Ethics Ser.</t>
  </si>
  <si>
    <t>Bovenkerk, Bernice</t>
  </si>
  <si>
    <t>Recycling - ein Mittel Zu Welchem Zweck? : Modellbasierte Ermittlung der Energetischen Aufwände des Metallrecyclings Für Einen Empirischen Vergleich Mit der Primärgewinnung</t>
  </si>
  <si>
    <t>Schäfer, Philipp</t>
  </si>
  <si>
    <t>GE1-350</t>
  </si>
  <si>
    <t>https://ebookcentral.proquest.com/lib/istinye/detail.action?docID=6578762</t>
  </si>
  <si>
    <t>Investigating volume change and ion transport in conjugated polymers</t>
  </si>
  <si>
    <t>Gladisch, Johannes</t>
  </si>
  <si>
    <t>https://ebookcentral.proquest.com/lib/istinye/detail.action?docID=6579433</t>
  </si>
  <si>
    <t>Insomnia Symptoms in Chronic Pain : Clinical presentation, risk and treatment</t>
  </si>
  <si>
    <t>Wiklund, Tobias</t>
  </si>
  <si>
    <t>https://ebookcentral.proquest.com/lib/istinye/detail.action?docID=6579434</t>
  </si>
  <si>
    <t>Development of Experimental Brachytherapy Dosimetry Using Monte Carlo Simulations for Detector Characterization</t>
  </si>
  <si>
    <t>Kaveckyte, Vaiva</t>
  </si>
  <si>
    <t>https://ebookcentral.proquest.com/lib/istinye/detail.action?docID=6579435</t>
  </si>
  <si>
    <t>Optimisation methods for solving a large-scale avionics scheduling problem</t>
  </si>
  <si>
    <t>Karlsson, Emil</t>
  </si>
  <si>
    <t>https://ebookcentral.proquest.com/lib/istinye/detail.action?docID=6579436</t>
  </si>
  <si>
    <t>The value of evaluating and implementing pharmaceuticals</t>
  </si>
  <si>
    <t>Johannesen, Kasper</t>
  </si>
  <si>
    <t>https://ebookcentral.proquest.com/lib/istinye/detail.action?docID=6579437</t>
  </si>
  <si>
    <t>Methods for Travel Pattern Analysis Using Large-Scale Passive Data</t>
  </si>
  <si>
    <t>Breyer, Nils</t>
  </si>
  <si>
    <t>https://ebookcentral.proquest.com/lib/istinye/detail.action?docID=6579438</t>
  </si>
  <si>
    <t>Atypical femoral fractures: Another brick in the wall : On aspects of healing, treatment strategies and surveillance</t>
  </si>
  <si>
    <t>Bögl, Hans Peter</t>
  </si>
  <si>
    <t>https://ebookcentral.proquest.com/lib/istinye/detail.action?docID=6579439</t>
  </si>
  <si>
    <t>Turbulence Descriptors in Arterial Flows : Patient-Specific Computational Hemodynamics</t>
  </si>
  <si>
    <t>Andersson, Magnus</t>
  </si>
  <si>
    <t>https://ebookcentral.proquest.com/lib/istinye/detail.action?docID=6579440</t>
  </si>
  <si>
    <t>Boy-Wives and Female Husbands : Studies in African Homosexualities</t>
  </si>
  <si>
    <t>Murray, Stephen O.</t>
  </si>
  <si>
    <t>Water and Earthquakes</t>
  </si>
  <si>
    <t>Lecture Notes in Earth System Sciences Ser.</t>
  </si>
  <si>
    <t>Bearing Witness : Ruth Harrison and British Farm Animal Welfare (1920-2000)</t>
  </si>
  <si>
    <t>Palgrave Studies in the History of Social Movements Ser.</t>
  </si>
  <si>
    <t>Kirchhelle, Claas</t>
  </si>
  <si>
    <t>Q124.6-127.2</t>
  </si>
  <si>
    <t>https://ebookcentral.proquest.com/lib/istinye/detail.action?docID=6606565</t>
  </si>
  <si>
    <t>Microorganisms in the Deterioration and Preservation of Cultural Heritage</t>
  </si>
  <si>
    <t>Joseph, Edith</t>
  </si>
  <si>
    <t>Rice Improvement : Physiological, Molecular Breeding and Genetic Perspectives</t>
  </si>
  <si>
    <t>Ali, Jauhar</t>
  </si>
  <si>
    <t>Female Employment and Gender Gaps in China</t>
  </si>
  <si>
    <t>Hitotsubashi University IER Economic Research Ser.</t>
  </si>
  <si>
    <t>Ma, Xinxin</t>
  </si>
  <si>
    <t>HD4801-8943</t>
  </si>
  <si>
    <t>https://ebookcentral.proquest.com/lib/istinye/detail.action?docID=6606589</t>
  </si>
  <si>
    <t>Social Cash Transfer in Turkey : Toward Market Citizenship</t>
  </si>
  <si>
    <t>Ark-Yıldırım, Ceren</t>
  </si>
  <si>
    <t>Modeling and Optimal Control for Dynamic Driving of Hybridized Vehicles with Turbocharged Diesel Engines</t>
  </si>
  <si>
    <t>Ekberg, Kristoffer</t>
  </si>
  <si>
    <t>https://ebookcentral.proquest.com/lib/istinye/detail.action?docID=6607571</t>
  </si>
  <si>
    <t>Autonomous Lab-on-a-chip: solutions and fast prototyping tools</t>
  </si>
  <si>
    <t>Comina Bellido, German</t>
  </si>
  <si>
    <t>https://ebookcentral.proquest.com/lib/istinye/detail.action?docID=6607572</t>
  </si>
  <si>
    <t>Engineered ion-bombardment as a tool in thin film deposition</t>
  </si>
  <si>
    <t>Viloan, Rommel Paulo B.</t>
  </si>
  <si>
    <t>https://ebookcentral.proquest.com/lib/istinye/detail.action?docID=6607573</t>
  </si>
  <si>
    <t>'Cotton swabs and cell membrane' : Nutrient uptake in teaching and student texts in upper primary school</t>
  </si>
  <si>
    <t>Jahic Pettersson, Alma</t>
  </si>
  <si>
    <t>https://ebookcentral.proquest.com/lib/istinye/detail.action?docID=6607574</t>
  </si>
  <si>
    <t>On subscale flight testing : Cost-effective techniques for research and development</t>
  </si>
  <si>
    <t>Sobrón Rueda, Alejandro</t>
  </si>
  <si>
    <t>https://ebookcentral.proquest.com/lib/istinye/detail.action?docID=6607575</t>
  </si>
  <si>
    <t>Learning visual perception for autonomous systems</t>
  </si>
  <si>
    <t>Häger, Gustav</t>
  </si>
  <si>
    <t>https://ebookcentral.proquest.com/lib/istinye/detail.action?docID=6607576</t>
  </si>
  <si>
    <t>Enable the landing of Internet of Things: a holistic approach</t>
  </si>
  <si>
    <t>Liu, Yu</t>
  </si>
  <si>
    <t>https://ebookcentral.proquest.com/lib/istinye/detail.action?docID=6607577</t>
  </si>
  <si>
    <t>Implementing Industry 4. 0 in SMEs : Concepts, Examples and Applications</t>
  </si>
  <si>
    <t>Matt, Dominik T.</t>
  </si>
  <si>
    <t>Governing the Pandemic : The Politics of Navigating a Mega-Crisis</t>
  </si>
  <si>
    <t>Understanding the Creeping Crisis</t>
  </si>
  <si>
    <t>Migration and Environmental Change in Morocco : In Search for Linkages Between Migration Aspirations and (Perceived) Environmental Changes</t>
  </si>
  <si>
    <t>Van Praag, Lore</t>
  </si>
  <si>
    <t>Trends in Cerebrovascular Surgery and Interventions</t>
  </si>
  <si>
    <t>Acta Neurochirurgica Supplement Ser.</t>
  </si>
  <si>
    <t>Esposito, Giuseppe</t>
  </si>
  <si>
    <t>Migration, Urbanity and Cosmopolitanism in a Globalized World</t>
  </si>
  <si>
    <t>Lejeune, Catherine</t>
  </si>
  <si>
    <t>A Victorian Curate : A Study of the Life and Career of the Rev. Dr John Hunt</t>
  </si>
  <si>
    <t>Yeandle, David</t>
  </si>
  <si>
    <t>Shaping the Digital Dissertation : Knowledge Production in the Arts and Humanities</t>
  </si>
  <si>
    <t>Kuhn, Virginia</t>
  </si>
  <si>
    <t>Diversity and Rabbinization : Jewish Texts and Societies Between 400 and 1000 CE</t>
  </si>
  <si>
    <t>McDowell, Gavin</t>
  </si>
  <si>
    <t>Right Research : Modelling Sustainable Research Practices in the Anthropocene</t>
  </si>
  <si>
    <t>Miya, Chelsea</t>
  </si>
  <si>
    <t>Der Junge Carnap in Historischem Kontext: 1918-1935 / Young Carnap in an Historical Context: 1918-1935</t>
  </si>
  <si>
    <t>Veröffentlichungen des Instituts Wiener Kreis Ser.</t>
  </si>
  <si>
    <t>Damböck, Christian</t>
  </si>
  <si>
    <t>Finance 4. 0 - Towards a Socio-Ecological Finance System : A Participatory Framework to Promote Sustainability</t>
  </si>
  <si>
    <t>Dapp, Marcus M.</t>
  </si>
  <si>
    <t>Forms of Exile in Jewish Literature and Thought : Twentieth-Century Central Europe and Migration to America</t>
  </si>
  <si>
    <t>Volková, Bronislava</t>
  </si>
  <si>
    <t>https://ebookcentral.proquest.com/lib/istinye/detail.action?docID=6623865</t>
  </si>
  <si>
    <t>Local Social Exposure and Inter-Neighborhood Mobility</t>
  </si>
  <si>
    <t>Giménez de La Prada, Alex</t>
  </si>
  <si>
    <t>https://ebookcentral.proquest.com/lib/istinye/detail.action?docID=6623922</t>
  </si>
  <si>
    <t>Forward-looking assessment in early reading instruction : Theory and Practice</t>
  </si>
  <si>
    <t>Andersson, Ulrika B.</t>
  </si>
  <si>
    <t>https://ebookcentral.proquest.com/lib/istinye/detail.action?docID=6623923</t>
  </si>
  <si>
    <t>Life Cycle Costing : Supporting companies towards a circular economy</t>
  </si>
  <si>
    <t>Kambanou, Marianna Lena</t>
  </si>
  <si>
    <t>https://ebookcentral.proquest.com/lib/istinye/detail.action?docID=6623924</t>
  </si>
  <si>
    <t>Atlas of Fallen Dust in Kuwait</t>
  </si>
  <si>
    <t>Al-Dousari, Ali</t>
  </si>
  <si>
    <t>Psychology and Politics : Intersections of Science and Ideology in the History of Psy-Sciences</t>
  </si>
  <si>
    <t>Borgos, Anna</t>
  </si>
  <si>
    <t>After the Berlin Wall : A History of the EBRD, Volume 1</t>
  </si>
  <si>
    <t>Kilpatrick, Andrew</t>
  </si>
  <si>
    <t>https://ebookcentral.proquest.com/lib/istinye/detail.action?docID=6624791</t>
  </si>
  <si>
    <t>A Task for Sisyphus : Why Europe's Roma Policies Fail</t>
  </si>
  <si>
    <t>Rostas, Iulius</t>
  </si>
  <si>
    <t>Introduction to Central Banking</t>
  </si>
  <si>
    <t>SpringerBriefs in Quantitative Finance Ser.</t>
  </si>
  <si>
    <t>Bindseil, Ulrich</t>
  </si>
  <si>
    <t>Innovation, Sustainability and Management in Motorsports : The Case of Formula E</t>
  </si>
  <si>
    <t>Næss, Hans Erik</t>
  </si>
  <si>
    <t>Bioeconomy and Global Inequalities : Socio-Ecological Perspectives on Biomass Sourcing and Production</t>
  </si>
  <si>
    <t>Backhouse, Maria</t>
  </si>
  <si>
    <t>Die Zukunft Zwischen Goethezeit und Realismus : Literarische Zeitreflexion der Zwischenphase (1820-1850)</t>
  </si>
  <si>
    <t>Brössel, Stephan</t>
  </si>
  <si>
    <t>PN1-PN6790</t>
  </si>
  <si>
    <t>https://ebookcentral.proquest.com/lib/istinye/detail.action?docID=6627597</t>
  </si>
  <si>
    <t>Visual Securitization : Humanitarian Representations and Migration Governance</t>
  </si>
  <si>
    <t>Massari, Alice</t>
  </si>
  <si>
    <t>https://ebookcentral.proquest.com/lib/istinye/detail.action?docID=6627599</t>
  </si>
  <si>
    <t>Cinematic Histospheres : On the Theory and Practice of Historical Films</t>
  </si>
  <si>
    <t>Greiner, Rasmus</t>
  </si>
  <si>
    <t>PN1993-1999</t>
  </si>
  <si>
    <t>https://ebookcentral.proquest.com/lib/istinye/detail.action?docID=6628087</t>
  </si>
  <si>
    <t>African Handbook of Climate Change Adaptation</t>
  </si>
  <si>
    <t>The Heterogeneity of Cancer Metabolism</t>
  </si>
  <si>
    <t>Le, Anne</t>
  </si>
  <si>
    <t>RC261-271</t>
  </si>
  <si>
    <t>https://ebookcentral.proquest.com/lib/istinye/detail.action?docID=6628607</t>
  </si>
  <si>
    <t>From Opinion Mining to Financial Argument Mining</t>
  </si>
  <si>
    <t>SpringerBriefs in Computer Science Ser.</t>
  </si>
  <si>
    <t>Chen, Chung-Chi</t>
  </si>
  <si>
    <t>Area Selective Chemical Vapor Deposition of Metallic Films using Plasma Electrons as Reducing Agents</t>
  </si>
  <si>
    <t>Nadhom, Hama</t>
  </si>
  <si>
    <t>https://ebookcentral.proquest.com/lib/istinye/detail.action?docID=6628984</t>
  </si>
  <si>
    <t>Multi-Cell Massive MIMO: Power Control and Channel Estimation</t>
  </si>
  <si>
    <t>Ghazanfari, Amin</t>
  </si>
  <si>
    <t>https://ebookcentral.proquest.com/lib/istinye/detail.action?docID=6628985</t>
  </si>
  <si>
    <t>Data-Driven Approaches for Traffic State and Emission Estimation</t>
  </si>
  <si>
    <t>Tsanakas, Nikolaos</t>
  </si>
  <si>
    <t>https://ebookcentral.proquest.com/lib/istinye/detail.action?docID=6628986</t>
  </si>
  <si>
    <t>Coordinating the Internet : Thought styles, technology and coordination</t>
  </si>
  <si>
    <t>Lindeberg, Fredrik</t>
  </si>
  <si>
    <t>https://ebookcentral.proquest.com/lib/istinye/detail.action?docID=6628987</t>
  </si>
  <si>
    <t>Discriminative correlation filters in robot vision</t>
  </si>
  <si>
    <t>Robinson, Andreas</t>
  </si>
  <si>
    <t>https://ebookcentral.proquest.com/lib/istinye/detail.action?docID=6628988</t>
  </si>
  <si>
    <t>High Temperature Fatigue Behaviour of Austenitic Stainless Steel : Microstructural Evolution during Dwell-Fatigue and Thermomechanical Fatigue</t>
  </si>
  <si>
    <t>Wärner, Hugo</t>
  </si>
  <si>
    <t>https://ebookcentral.proquest.com/lib/istinye/detail.action?docID=6628989</t>
  </si>
  <si>
    <t>Atlas of Mineral Deposits Distribution in China (2020)</t>
  </si>
  <si>
    <t>The China Geological Survey Ser.</t>
  </si>
  <si>
    <t>Qi, Fanyu</t>
  </si>
  <si>
    <t>Language Variation - European Perspectives VIII : Selected Papers from the Tenth International Conference on Language Variation in Europe (ICLaVE 10), Leeuwarden, June 2019</t>
  </si>
  <si>
    <t>Studies in Language Variation Ser.</t>
  </si>
  <si>
    <t>Van de Velde, Hans</t>
  </si>
  <si>
    <t>Uncertainty in Mechanical Engineering : Proceedings of the 4th International Conference on Uncertainty in Mechanical Engineering (ICUME 2021), June 7-8 2021</t>
  </si>
  <si>
    <t>Pelz, Peter F.</t>
  </si>
  <si>
    <t>Influences of the IEA Civic and Citizenship Education Studies : Practice, Policy, and Research Across Countries and Regions</t>
  </si>
  <si>
    <t>Malak-Minkiewicz, Barbara</t>
  </si>
  <si>
    <t>Making Healthcare Safe : The Story of the Patient Safety Movement</t>
  </si>
  <si>
    <t>Leape, Lucian L.</t>
  </si>
  <si>
    <t>Animating Unpredictable Effects : Nonlinearity in Hollywood's R&amp;d Complex</t>
  </si>
  <si>
    <t>Palgrave Animation Ser.</t>
  </si>
  <si>
    <t>Gowanlock, Jordan</t>
  </si>
  <si>
    <t>NC1765-1766</t>
  </si>
  <si>
    <t>https://ebookcentral.proquest.com/lib/istinye/detail.action?docID=6633243</t>
  </si>
  <si>
    <t>Concepts, Frames and Cascades in Semantics, Cognition and Ontology</t>
  </si>
  <si>
    <t>Löbner, Sebastian</t>
  </si>
  <si>
    <t>Uncertainty-Aware Convolutional Neural Networks for Vision Tasks on Sparse Data</t>
  </si>
  <si>
    <t>Eldesokey, Abdelrahman</t>
  </si>
  <si>
    <t>https://ebookcentral.proquest.com/lib/istinye/detail.action?docID=6633279</t>
  </si>
  <si>
    <t>Writing and Publishing Scientific Papers : A Primer for the Non-English Speaker</t>
  </si>
  <si>
    <t>Lövei, Gábor L.</t>
  </si>
  <si>
    <t>On the Literature and Thought of the German Classical Era : Collected Essays</t>
  </si>
  <si>
    <t>Nisbet, Hugh Barr</t>
  </si>
  <si>
    <t>https://ebookcentral.proquest.com/lib/istinye/detail.action?docID=6633454</t>
  </si>
  <si>
    <t>Inventory Analytics</t>
  </si>
  <si>
    <t>Rossi, Roberto</t>
  </si>
  <si>
    <t>Die Christliche Predigt Im 21. Jahrhundert : Multimodale Analyse Einer Kommunikativen Gattung</t>
  </si>
  <si>
    <t>Dix, Carolin</t>
  </si>
  <si>
    <t>https://ebookcentral.proquest.com/lib/istinye/detail.action?docID=6634971</t>
  </si>
  <si>
    <t>Nuclear and Radiological Emergencies in Animal Production Systems, Preparedness, Response and Recovery</t>
  </si>
  <si>
    <t>Naletoski, Ivancho</t>
  </si>
  <si>
    <t>Our Nanotechnology Future</t>
  </si>
  <si>
    <t>Atlantis Advances in Nanotechnology, Material Science and Energy Technologies Ser.</t>
  </si>
  <si>
    <t>Natowitz, Joseph</t>
  </si>
  <si>
    <t>Chasing the Chinese Dream : Four Decades of Following China's War on Poverty</t>
  </si>
  <si>
    <t>Brown, William N.</t>
  </si>
  <si>
    <t>DS701-799.9</t>
  </si>
  <si>
    <t>https://ebookcentral.proquest.com/lib/istinye/detail.action?docID=6635733</t>
  </si>
  <si>
    <t>Critical Issues in Head and Neck Oncology : Key Concepts from the Seventh THNO Meeting</t>
  </si>
  <si>
    <t>Vermorken, Jan B.</t>
  </si>
  <si>
    <t>Advances in Assessment and Modeling of Earthquake Loss</t>
  </si>
  <si>
    <t>Springer Tracts in Civil Engineering Ser.</t>
  </si>
  <si>
    <t>Akkar, Sinan</t>
  </si>
  <si>
    <t>EU-Turkey Relations : Theories, Institutions, and Policies</t>
  </si>
  <si>
    <t>Reiners, Wulf</t>
  </si>
  <si>
    <t>Temporäre an- und Abwesenheiten in ländlichen Räumen : Auswirkungen Multilokaler Lebensweisen Auf Land und Gesellschaft</t>
  </si>
  <si>
    <t>Othengrafen, Frank</t>
  </si>
  <si>
    <t>Money and Debt: the Public Role of Banks</t>
  </si>
  <si>
    <t>Research for Policy Ser.</t>
  </si>
  <si>
    <t>Stellinga, Bart</t>
  </si>
  <si>
    <t>Culture-Bearing Women : The Black Women Renaissance and Cultural Nationalism</t>
  </si>
  <si>
    <t>Penier, Izabella</t>
  </si>
  <si>
    <t>https://ebookcentral.proquest.com/lib/istinye/detail.action?docID=6637327</t>
  </si>
  <si>
    <t>Theater As Metaphor</t>
  </si>
  <si>
    <t>Penskaya, Elena</t>
  </si>
  <si>
    <t>Advances in the Sociology of Trust and Cooperation : Theory, Experiments, and Field Studies</t>
  </si>
  <si>
    <t>Buskens, Vincent</t>
  </si>
  <si>
    <t>Creating Standards : Interactions with Arabic Script in 12 Manuscript Cultures</t>
  </si>
  <si>
    <t>Bondarev, Dmitry</t>
  </si>
  <si>
    <t>From Memory to Marble : The Historical Frieze of the Voortrekker Monument Part II: the Scenes</t>
  </si>
  <si>
    <t>Handbook of Stemmatology : History, Methodology, Digital Approaches</t>
  </si>
  <si>
    <t>Roelli, Philipp</t>
  </si>
  <si>
    <t>https://ebookcentral.proquest.com/lib/istinye/detail.action?docID=6637398</t>
  </si>
  <si>
    <t>Rome and the Guidebook Tradition : From the Middle Ages to the 20th Century</t>
  </si>
  <si>
    <t>Blennow, Anna</t>
  </si>
  <si>
    <t>Empire of Liberty : Die Vereinigten Staaten Von der Reconstruction Zum Spanisch-Amerikanischen Krieg</t>
  </si>
  <si>
    <t>Hampf, Michaela</t>
  </si>
  <si>
    <t>973.8</t>
  </si>
  <si>
    <t>https://ebookcentral.proquest.com/lib/istinye/detail.action?docID=6637401</t>
  </si>
  <si>
    <t>Tra I Libri Di Isacco Argiro</t>
  </si>
  <si>
    <t>Transmissions Ser.</t>
  </si>
  <si>
    <t>Gioffreda, Anna</t>
  </si>
  <si>
    <t>Zerstörung Von Geschriebenem : Historische und Transkulturelle Perspektiven</t>
  </si>
  <si>
    <t>Kühne-Wespi, Carina</t>
  </si>
  <si>
    <t>Staging Doubt : Skepticism in Early Modern European Drama</t>
  </si>
  <si>
    <t>https://ebookcentral.proquest.com/lib/istinye/detail.action?docID=6637407</t>
  </si>
  <si>
    <t>Simulations in Medicine : Computer-Aided Diagnostics and Therapy</t>
  </si>
  <si>
    <t>Roterman-Konieczna, Irena</t>
  </si>
  <si>
    <t>https://ebookcentral.proquest.com/lib/istinye/detail.action?docID=6637408</t>
  </si>
  <si>
    <t>Materialität und Präsenz Spätantiker Inschriften : Eine Studie Zum Wandel der Inschriftenkultur in Den Italienischen Provinzen</t>
  </si>
  <si>
    <t>Johann Gottlob Von Quandt (17871859) : Kunst Fördern und Ausstellen</t>
  </si>
  <si>
    <t>Deutscher Kunstverlag GmbH</t>
  </si>
  <si>
    <t>Rüfenacht, Andreas</t>
  </si>
  <si>
    <t>709.2</t>
  </si>
  <si>
    <t>https://ebookcentral.proquest.com/lib/istinye/detail.action?docID=6637411</t>
  </si>
  <si>
    <t>Data Visualization in Society</t>
  </si>
  <si>
    <t>Engebretsen, Martin</t>
  </si>
  <si>
    <t>Sacred Scripture / Sacred Space : The Interlacing of Real Places and Conceptual Spaces in Medieval Art and Architecture</t>
  </si>
  <si>
    <t>Manual der Koloproktologie</t>
  </si>
  <si>
    <t>Herold, Alexander</t>
  </si>
  <si>
    <t>Development on Loan : Microcredit and Marginalisation in Rural China</t>
  </si>
  <si>
    <t>Transforming Asia Ser.</t>
  </si>
  <si>
    <t>Loubere, Nicholas</t>
  </si>
  <si>
    <t>Literature and Politics in the Later Foucault</t>
  </si>
  <si>
    <t>G. Blanco, Azucena</t>
  </si>
  <si>
    <t>Medieval Women, Material Culture, and Power : Matilda Plantagenet and Her Sisters</t>
  </si>
  <si>
    <t>Gender and Power in the Premodern World Ser.</t>
  </si>
  <si>
    <t>Jasperse, Jitske</t>
  </si>
  <si>
    <t>https://ebookcentral.proquest.com/lib/istinye/detail.action?docID=6637432</t>
  </si>
  <si>
    <t>Das Hirsch-Institut Für Tropenmedizin : Asella, Äthiopien</t>
  </si>
  <si>
    <t>Düsseldorf University Press</t>
  </si>
  <si>
    <t>Häussinger, Dieter</t>
  </si>
  <si>
    <t>https://ebookcentral.proquest.com/lib/istinye/detail.action?docID=6637433</t>
  </si>
  <si>
    <t>Urban Religion in Late Antiquity</t>
  </si>
  <si>
    <t>Lätzer-Lasar, Asuman</t>
  </si>
  <si>
    <t>Health and Socio-Economic Status over the Life Course : First Results from SHARE Waves 6 And 7</t>
  </si>
  <si>
    <t>Border Deaths : Causes, Dynamics and Consequences of Migration-Related Mortality</t>
  </si>
  <si>
    <t>Cuttitta, Paolo</t>
  </si>
  <si>
    <t>A Touch of Doubt : On Haptic Scepticism</t>
  </si>
  <si>
    <t>Aumiller, Rachel</t>
  </si>
  <si>
    <t>Inschriftenkulturen Im Kommunalen Italien : Traditionen, Brüche, Neuanfänge</t>
  </si>
  <si>
    <t>Screen Space Reconfigured</t>
  </si>
  <si>
    <t>Saether, Susanne</t>
  </si>
  <si>
    <t>Levinas and Literature : New Directions</t>
  </si>
  <si>
    <t>Perspectives on Jewish Texts and Contexts Ser.</t>
  </si>
  <si>
    <t>Fagenblat, Michael</t>
  </si>
  <si>
    <t>Confronting Antisemitism from the Perspectives of Christianity, Islam, and Judaism</t>
  </si>
  <si>
    <t>Der österreichische Werbefilm : Die Genese Eines Genres Von Seinen Anfängen Bis 1938</t>
  </si>
  <si>
    <t>Werbung - Konsum - Geschichte Ser.</t>
  </si>
  <si>
    <t>Moser, Karin</t>
  </si>
  <si>
    <t>https://ebookcentral.proquest.com/lib/istinye/detail.action?docID=6637452</t>
  </si>
  <si>
    <t>Approaches to the Medieval Self : Representations and Conceptualizations of the Self in the Textual and Material Culture of Western Scandinavia, C. 800-1500</t>
  </si>
  <si>
    <t>Eriksen, Stefka G.</t>
  </si>
  <si>
    <t>The Aesthetics of Global Protest : Visual Culture and Communication</t>
  </si>
  <si>
    <t>McGarry, Aidan</t>
  </si>
  <si>
    <t>Rente Im Dritten Reich : Die Reichsversicherungsanstalt Für Angestellte 1933 Bis 1945</t>
  </si>
  <si>
    <t>Erker, Paul</t>
  </si>
  <si>
    <t>HD7105.35.G3E75 2019</t>
  </si>
  <si>
    <t>https://ebookcentral.proquest.com/lib/istinye/detail.action?docID=6637463</t>
  </si>
  <si>
    <t>The Structures of the Film Experience by Jean-Pierre Meunier : Historical Assessments and Phenomenological Expansions</t>
  </si>
  <si>
    <t>Hanich, Julian</t>
  </si>
  <si>
    <t>Chinese Annals in the Western Observatory : An Outline of Western Studies of Chinese Unearthed Documents</t>
  </si>
  <si>
    <t>Shaughnessy, Edward</t>
  </si>
  <si>
    <t>https://ebookcentral.proquest.com/lib/istinye/detail.action?docID=6637466</t>
  </si>
  <si>
    <t>An Imaginary Trio : King Solomon, Jesus, and Aristotle</t>
  </si>
  <si>
    <t>Shavit, Yaacov</t>
  </si>
  <si>
    <t>https://ebookcentral.proquest.com/lib/istinye/detail.action?docID=6637469</t>
  </si>
  <si>
    <t>Namenwechsel : Die Soziale Funktion Von Vornamen Im Transitionsprozess Transgeschlechtlicher Personen</t>
  </si>
  <si>
    <t>Schmidt-Jüngst, Miriam</t>
  </si>
  <si>
    <t>From Scrolls to Scrolling : Sacred Texts, Materiality, and Dynamic Media Cultures</t>
  </si>
  <si>
    <t>Judaism, Christianity, and Islam - Tension, Transmission, Transformation Ser.</t>
  </si>
  <si>
    <t>Anderson, Bradford A.</t>
  </si>
  <si>
    <t>Snapshot-Based Methods and Algorithms</t>
  </si>
  <si>
    <t>Benner, Peter</t>
  </si>
  <si>
    <t>Mythische Sphärenwechsel : Methodisch Neue Zugänge Zu Antiken Mythen in Orient und Okzident</t>
  </si>
  <si>
    <t>Mythological Studies</t>
  </si>
  <si>
    <t>Yearbook of the Maimonides Centre for Advanced Studies. 2019</t>
  </si>
  <si>
    <t>LiebeLesen : Potsdamer Vorlesungen Zu Einem Großen Gefühl und Dessen Aneignung</t>
  </si>
  <si>
    <t>https://ebookcentral.proquest.com/lib/istinye/detail.action?docID=6637489</t>
  </si>
  <si>
    <t>Normen und Standards Für Die Digitale Transformation : Werkzeuge, Praxisbeispiele und Entscheidungshilfen Für Innovative Unternehmen, Normungsorganisationen und Politische Entscheidungsträger</t>
  </si>
  <si>
    <t>Mangelsdorf, Axel</t>
  </si>
  <si>
    <t>Visser 't Hooft, 1900-1985 : Living for the Unity of the Church</t>
  </si>
  <si>
    <t>Zeilstra, Jurjen</t>
  </si>
  <si>
    <t>Nah Am Boden : Privater Hausbau Zwischen Wohnungsnot und Landkonflikt Im Samarkand der 50er- Und 60er-Jahre</t>
  </si>
  <si>
    <t>ANOR Central Asian Studies</t>
  </si>
  <si>
    <t>Petrova, Mariya</t>
  </si>
  <si>
    <t>Anton Pannekoek: Ways of Viewing Science and Society : Ways of Viewing Science and Society</t>
  </si>
  <si>
    <t>Studies in the History of Knowledge Ser.</t>
  </si>
  <si>
    <t>Tai, Chaokang</t>
  </si>
  <si>
    <t>De la Literatura Latinoamericana a la Literatura (latinoamericana) Mundial : Condiciones Materiales, Procesos y Actores</t>
  </si>
  <si>
    <t>Spanish</t>
  </si>
  <si>
    <t>The Patient Griselda Myth : Looking at Late Medieval and Early Modern European Literature</t>
  </si>
  <si>
    <t>Rüegg, Madeline</t>
  </si>
  <si>
    <t>https://ebookcentral.proquest.com/lib/istinye/detail.action?docID=6637498</t>
  </si>
  <si>
    <t>AntikeTexteundihreMaterialität : AlltäglichePräsenz,medialeSemantik,literarischeReflexion</t>
  </si>
  <si>
    <t>Ritter-Schmalz, Cornelia</t>
  </si>
  <si>
    <t>Sceptical Paths : Enquiry and Doubt from Antiquity to the Present</t>
  </si>
  <si>
    <t>Tracing the Jerusalem Code : Volume 2: the Chosen People Christian Cultures in Early Modern Scandinavia (1536-Ca. 1750)</t>
  </si>
  <si>
    <t>Oftestad, Eivor Andersen</t>
  </si>
  <si>
    <t>Die Reihe Merz 1923-1932</t>
  </si>
  <si>
    <t>Kurt Schwitters. Alle Texte Ser.</t>
  </si>
  <si>
    <t>Schwitters, Kurt</t>
  </si>
  <si>
    <t>Ringstraße Ist überall : Texte über Architektur und Stadt</t>
  </si>
  <si>
    <t>Kühn, Christian</t>
  </si>
  <si>
    <t>https://ebookcentral.proquest.com/lib/istinye/detail.action?docID=6637515</t>
  </si>
  <si>
    <t>Annotations in Scholarly Editions and Research : Functions, Differentiation, Systematization</t>
  </si>
  <si>
    <t>Nantke, Julia</t>
  </si>
  <si>
    <t>Primary Sources and Asian Pasts</t>
  </si>
  <si>
    <t>Beyond Boundaries Ser.</t>
  </si>
  <si>
    <t>Bisschop, Peter C.</t>
  </si>
  <si>
    <t>Goethe's Faust and the Divan Of Ḥāfiẓ : Body and Soul in Pursuit of Knowledge and Beauty</t>
  </si>
  <si>
    <t>Michaeli, Hiwa</t>
  </si>
  <si>
    <t>https://ebookcentral.proquest.com/lib/istinye/detail.action?docID=6637524</t>
  </si>
  <si>
    <t>Cultural Techniques : Assembling Spaces, Texts and Collectives</t>
  </si>
  <si>
    <t>Dünne, Jörg</t>
  </si>
  <si>
    <t>Schauplatz Archiv : Objekt - Narrativ - Performanz</t>
  </si>
  <si>
    <t>Virtuelle Lebenswelten : Körper - Räume - Affekte</t>
  </si>
  <si>
    <t>Rieger, Stefan</t>
  </si>
  <si>
    <t>The Wise Merchant</t>
  </si>
  <si>
    <t>Barlaeus</t>
  </si>
  <si>
    <t>Grüne Sonnen: Poetik und Politik der Fantasy Am Medium Videospiel</t>
  </si>
  <si>
    <t>Illger, Daniel</t>
  </si>
  <si>
    <t>Being Profiled:cogitas Ergo Sum : 10 Years of Profiling the European Citizen</t>
  </si>
  <si>
    <t>Bayamlioglu, Emre</t>
  </si>
  <si>
    <t>A Buddhist Ritual Manual on Agriculture : Vajratuṇḍasamayakalparāja - Critical Edition</t>
  </si>
  <si>
    <t>Hidas, Gergely</t>
  </si>
  <si>
    <t>Masora und Exegese : Untersuchungen Zur Masora und Bibeltextüberlieferung Im Kommentar des R. Schlomo Ben Yitzchaq (Raschi)</t>
  </si>
  <si>
    <t>Petzold, Kay Joe</t>
  </si>
  <si>
    <t>Reflektierte Algorithmische Textanalyse : Interdisziplinäre(s) Arbeiten in der CRETA-Werkstatt</t>
  </si>
  <si>
    <t>Reiter, Nils</t>
  </si>
  <si>
    <t>Wie Wird Weltliteratur Gemacht? : Globale Zirkulationen Lateinamerikanischer Literaturen</t>
  </si>
  <si>
    <t>https://ebookcentral.proquest.com/lib/istinye/detail.action?docID=6637541</t>
  </si>
  <si>
    <t>Paradigmas y Polifuncionalidad : Estudio Diacrónico de «preciso»/«precisamente», «justo»/«justamente», «exacto»/«exactamente» Y «cabal»/«cabalmente»</t>
  </si>
  <si>
    <t>Beihefte Zur Zeitschrift Für Romanische Philologie Ser.</t>
  </si>
  <si>
    <t>Gerhalter, Katharina</t>
  </si>
  <si>
    <t>Digital Classical Philology : Ancient Greek and Latin in the Digital Revolution</t>
  </si>
  <si>
    <t>Berti, Monica</t>
  </si>
  <si>
    <t>https://ebookcentral.proquest.com/lib/istinye/detail.action?docID=6637545</t>
  </si>
  <si>
    <t>Bertel Thorvaldsen - Celebrity : Visualisierungen Eines Künstlerkults Im Frühen 19. Jahrhundert</t>
  </si>
  <si>
    <t>Ars et Scientia Ser.</t>
  </si>
  <si>
    <t>Schindler, Tabea</t>
  </si>
  <si>
    <t>https://ebookcentral.proquest.com/lib/istinye/detail.action?docID=6637546</t>
  </si>
  <si>
    <t>Frontier Tibet : Patterns of Change in the Sino-Tibetan Borderlands</t>
  </si>
  <si>
    <t>Gros, Stéphane</t>
  </si>
  <si>
    <t>Bewertungsinteraktionen in der Theaterpause : Eine Gesprächsanalytische Untersuchung Von Pausengesprächen Im Theaterfoyer</t>
  </si>
  <si>
    <t>https://ebookcentral.proquest.com/lib/istinye/detail.action?docID=6637551</t>
  </si>
  <si>
    <t>Littérature Française et Savoirs Biologiques Au XIXe Siècle : Traduction, Transmission, Transposition</t>
  </si>
  <si>
    <t>Klinkert, Thomas</t>
  </si>
  <si>
    <t>Terrorizing Images : Trauma and Ekphrasis in Contemporary Literature</t>
  </si>
  <si>
    <t>Culture and Conflict Ser.</t>
  </si>
  <si>
    <t>Armstrong, Charles Ivan</t>
  </si>
  <si>
    <t>Fictionalizing Heterodoxy : Various Uses of Knowledge in the Spanish World from the Archpriest of Hita to Mateo Alemán</t>
  </si>
  <si>
    <t>Gernert, Folke</t>
  </si>
  <si>
    <t>https://ebookcentral.proquest.com/lib/istinye/detail.action?docID=6637557</t>
  </si>
  <si>
    <t>Jews and Protestants : From the Reformation to the Present</t>
  </si>
  <si>
    <t>Aue-Ben David, Irene</t>
  </si>
  <si>
    <t>Abraham Abulafia's Esotericism : Secrets and Doubts</t>
  </si>
  <si>
    <t>Idel, Moshe</t>
  </si>
  <si>
    <t>Inscriptions of the Aulikaras and Their Associates</t>
  </si>
  <si>
    <t>Balogh, Dániel</t>
  </si>
  <si>
    <t>Schweizerdeutsch und Sprachbewusstsein : Zur Konsolidierung der Deutschschweizer Diglossie Im 19. Jahrhundert</t>
  </si>
  <si>
    <t>Ruoss, Emanuel</t>
  </si>
  <si>
    <t>https://ebookcentral.proquest.com/lib/istinye/detail.action?docID=6637567</t>
  </si>
  <si>
    <t>Disseminating Jewish Literatures : Knowledge, Research, Curricula</t>
  </si>
  <si>
    <t>Zepp, Susanne</t>
  </si>
  <si>
    <t>Leeuwenhoek's Legatees and Beijerinck's Beneficiaries : A History of Medical Virology in the Netherlands</t>
  </si>
  <si>
    <t>Doornum, Gerard</t>
  </si>
  <si>
    <t>Horizontal Learning in the High Middle Ages : Peer-To-Peer Knowledge Transfer in Religious Communities</t>
  </si>
  <si>
    <t>Long, Micol</t>
  </si>
  <si>
    <t>Heilige und Heiden Im Legendarischen Erzählen des 13. Jahrhunderts : Formen und Funktionen der Aushandlung des Religiösen Gegensatzes Zum Heidentum</t>
  </si>
  <si>
    <t>Literatur - Theorie - Geschichte Ser.</t>
  </si>
  <si>
    <t>Prautzsch, Felix</t>
  </si>
  <si>
    <t>New Cosmopolitanisms, Race, and Ethnicity : Cultural Perspectives</t>
  </si>
  <si>
    <t>Luczak, Ewa Barbara</t>
  </si>
  <si>
    <t>Volksschauspiele : Genese Einer Kulturgeschichtlichen Formation</t>
  </si>
  <si>
    <t>Deutsche Literatur. Studien und Quellen Ser.</t>
  </si>
  <si>
    <t>https://ebookcentral.proquest.com/lib/istinye/detail.action?docID=6637578</t>
  </si>
  <si>
    <t>Was Sprach der eine Zum Anderen? : Argumentationsformen in Den Sumerischen Rangstreitgesprächen</t>
  </si>
  <si>
    <t>Untersuchungen Zur Assyriologie und Vorderasiatischen Archäologie Ser.</t>
  </si>
  <si>
    <t>Mittermayer, Catherine</t>
  </si>
  <si>
    <t>Seneca the Elder and His Rediscovered Historiae Ab Initio Bellorum Civilium : New Perspectives on Early-Imperial Roman Historiography</t>
  </si>
  <si>
    <t>Nobelpreisträgerinnen : 14 Schriftstellerinnen Im Porträt</t>
  </si>
  <si>
    <t>Ort und Zeit : Filmische Heterotopien Von Hochbaum Bis Tykwer</t>
  </si>
  <si>
    <t>Cinepoetics Essay Ser.</t>
  </si>
  <si>
    <t>Wedel, Michael</t>
  </si>
  <si>
    <t>https://ebookcentral.proquest.com/lib/istinye/detail.action?docID=6637585</t>
  </si>
  <si>
    <t>Jalkut Schimoni Zum Zwölfprophetenbuch : Übersetzung und Kommentar</t>
  </si>
  <si>
    <t>Marx, Farina</t>
  </si>
  <si>
    <t>https://ebookcentral.proquest.com/lib/istinye/detail.action?docID=6637586</t>
  </si>
  <si>
    <t>Writing Beyond Pen and Parchment : Inscribed Objects in Medieval European Literature</t>
  </si>
  <si>
    <t>Wagner, Ricarda</t>
  </si>
  <si>
    <t>Gesammelte Aufsätze Zur Altfranzösischen Epik</t>
  </si>
  <si>
    <t>Beckmann, Gustav Adolf</t>
  </si>
  <si>
    <t>Ghosts of Transparency : Shadows Cast and Shadows Cast Out</t>
  </si>
  <si>
    <t>Applied Virtuality Book Ser.</t>
  </si>
  <si>
    <t>Doyle, Michael R.</t>
  </si>
  <si>
    <t>Deutsche und Italienische Besatzung Im Unabhängigen Staat Kroatien : 1941 Bis 1943/45</t>
  </si>
  <si>
    <t>Schmid, Sanela</t>
  </si>
  <si>
    <t>https://ebookcentral.proquest.com/lib/istinye/detail.action?docID=6637592</t>
  </si>
  <si>
    <t>Sprach-Spiel-Kunst : Ein Dialog Zwischen Wissenschaft und Praxis</t>
  </si>
  <si>
    <t>The Dynamics of Wordplay Ser.</t>
  </si>
  <si>
    <t>Winter-Froemel, Esme</t>
  </si>
  <si>
    <t>Canones: the Art of Harmony : The Canon Tables of the Four Gospels</t>
  </si>
  <si>
    <t>Futures of the Study of Culture : Interdisciplinary Perspectives, Global Challenges</t>
  </si>
  <si>
    <t>Concepts for the Study of Culture (CSC) Ser.</t>
  </si>
  <si>
    <t>Bachmann-Medick, Doris</t>
  </si>
  <si>
    <t>The Power of Urban Water : Studies in Premodern Urbanism</t>
  </si>
  <si>
    <t>Chiarenza, Nicola</t>
  </si>
  <si>
    <t>Historische Gärten und Klimawandel : Eine Aufgabe Für Gartendenkmalpflege, Wissenschaft und Gesellschaft</t>
  </si>
  <si>
    <t>Weissbuch Gastroenterologie 2020/2021 : Erkrankungen des Magen-Darm-Traktes, der Leber und der Bauchspeicheldrüse - Gegenwart und Zukunft</t>
  </si>
  <si>
    <t>Lammert, Frank</t>
  </si>
  <si>
    <t>Dress and Cultural Difference in Early Modern Europe</t>
  </si>
  <si>
    <t>Aust, Cornelia</t>
  </si>
  <si>
    <t>Topografien des 20. Jahrhunderts : Die Memoriale Poetik des Stolperns in Haroldo de Campos' «Galáxias»</t>
  </si>
  <si>
    <t>Wrobel, Jasmin</t>
  </si>
  <si>
    <t>https://ebookcentral.proquest.com/lib/istinye/detail.action?docID=6637607</t>
  </si>
  <si>
    <t>Offshoring of White-Collar Services : Business and Economic Perspective</t>
  </si>
  <si>
    <t>Klimek, Artur</t>
  </si>
  <si>
    <t>https://ebookcentral.proquest.com/lib/istinye/detail.action?docID=6637610</t>
  </si>
  <si>
    <t>Frei, Fair und Lebendig - Die Macht der Commons</t>
  </si>
  <si>
    <t>Transcript Verlag</t>
  </si>
  <si>
    <t>Sozialtheorie Ser.</t>
  </si>
  <si>
    <t>Helfrich, Silke</t>
  </si>
  <si>
    <t>Augmented Spaces and Maps : Das Design Von Kartenbasierten Interfaces</t>
  </si>
  <si>
    <t>Schranz, Christine</t>
  </si>
  <si>
    <t>https://ebookcentral.proquest.com/lib/istinye/detail.action?docID=6637617</t>
  </si>
  <si>
    <t>Competing Knowledges - Wissen Im Widerstreit</t>
  </si>
  <si>
    <t>Horatschek, Anna-Margaretha</t>
  </si>
  <si>
    <t>Literarische Wissenschaftsgeschichte und Wissenschaftstheorie : Kehlmann - Del Giudice - Serres</t>
  </si>
  <si>
    <t>Malinowski, Bernadette</t>
  </si>
  <si>
    <t>La Représentation du Discours Autre : Principes Pour une Description</t>
  </si>
  <si>
    <t>Études de Linguistique Française Ser.</t>
  </si>
  <si>
    <t>Authier-Revuz, Jacqueline</t>
  </si>
  <si>
    <t>https://ebookcentral.proquest.com/lib/istinye/detail.action?docID=6637624</t>
  </si>
  <si>
    <t>Traduire Cicéron Au XVe Siècle - le Livre des Offices d'Anjourrant Bourré</t>
  </si>
  <si>
    <t>Cicero Ser.</t>
  </si>
  <si>
    <t>Delsaux, Olivier</t>
  </si>
  <si>
    <t>PA6296.D5D45 2019</t>
  </si>
  <si>
    <t>https://ebookcentral.proquest.com/lib/istinye/detail.action?docID=6637625</t>
  </si>
  <si>
    <t>Transregional and Regional Elites - Connecting the Early Islamic Empire</t>
  </si>
  <si>
    <t>Studies in the History and Culture of the Middle East Ser.</t>
  </si>
  <si>
    <t>Hagemann, Hannah-Lena</t>
  </si>
  <si>
    <t>Living Standards in Southeast Asia : Changes over the Long Twentieth Century, 1900-2015</t>
  </si>
  <si>
    <t>Booth, Anne</t>
  </si>
  <si>
    <t>Boredom, Shanzhai, and Digitisation in the Time of Creative China</t>
  </si>
  <si>
    <t>Asian Visual Cultures Ser.</t>
  </si>
  <si>
    <t>Kloet, Jeroen</t>
  </si>
  <si>
    <t>The Epoch of Universalism 1769-1989 / l'époque de L'universalisme 1769-1989</t>
  </si>
  <si>
    <t>Beyond Universalism / Partager L'universel Ser.</t>
  </si>
  <si>
    <t>Hofmann, Franck</t>
  </si>
  <si>
    <t>The Summa Halensis : Doctrines and Debates</t>
  </si>
  <si>
    <t>Veröffentlichungen des Grabmann-Institutes Zur Erforschung der Mittelalterlichen Theologie und Philosophie Ser.</t>
  </si>
  <si>
    <t>Schumacher, Lydia</t>
  </si>
  <si>
    <t>World Literature, Cosmopolitanism, Globality : Beyond, Against, Post, Otherwise</t>
  </si>
  <si>
    <t>Literary Culture in Early Modern England, 1630-1700 : Angles of Contingency</t>
  </si>
  <si>
    <t>Berensmeyer, Ingo</t>
  </si>
  <si>
    <t>https://ebookcentral.proquest.com/lib/istinye/detail.action?docID=6637639</t>
  </si>
  <si>
    <t>La Interfaz Sintaxis-Pragmática : Estudios Teóricos, Descriptivos y Experimentales</t>
  </si>
  <si>
    <t>Belloro, Valeria A.</t>
  </si>
  <si>
    <t>Tracing the Jerusalem Code : Volume 1: the Holy City Christian Cultures in Medieval Scandinavia (ca. 1100-1536)</t>
  </si>
  <si>
    <t>Aavitsland, Kristin B.</t>
  </si>
  <si>
    <t>Reigen : Historisch-Kritische Ausgabe</t>
  </si>
  <si>
    <t>Rauchenbacher, Marina</t>
  </si>
  <si>
    <t>Kingship and Polity on the Himalayan Borderland : Rajput Identity During the Early Colonial Encounter</t>
  </si>
  <si>
    <t>Moran, Arik</t>
  </si>
  <si>
    <t>Verfestigungen in der Interaktion : Konstruktionen, Sequenzielle Muster, Kommunikative Gattungen</t>
  </si>
  <si>
    <t>Weidner, Beate</t>
  </si>
  <si>
    <t>Sollbruchstellen des Deutschen, Europäischen und Internationalen Flüchtlingsrechts</t>
  </si>
  <si>
    <t>Thym, Daniel</t>
  </si>
  <si>
    <t>https://ebookcentral.proquest.com/lib/istinye/detail.action?docID=6637653</t>
  </si>
  <si>
    <t>Studying Film with André Bazin</t>
  </si>
  <si>
    <t>Joret, Blandine</t>
  </si>
  <si>
    <t>Religiöse Individualisierung in Historischer Perspektive / Religious Individualisation in Historical Perspective : Abschlussbericht Für Die Zweite Förderphase der Kolleg-Forschungsgruppe 1013/Final Report of the Kolleg-Forschungsgruppe 1013 for the Second Funding Period 2013-2018</t>
  </si>
  <si>
    <t>Suitner, Riccarda</t>
  </si>
  <si>
    <t>Paulus Als Erzähler? : Eine Narratologische Perspektive Auf Die Paulusbriefe</t>
  </si>
  <si>
    <t>Beihefte Zur Zeitschrift Für Die Neutestamentliche Wissenschaft Ser.</t>
  </si>
  <si>
    <t>Heilig, Christoph</t>
  </si>
  <si>
    <t>227.06</t>
  </si>
  <si>
    <t>https://ebookcentral.proquest.com/lib/istinye/detail.action?docID=6637656</t>
  </si>
  <si>
    <t>Confini, Identità, Appartenenze : Scenari Letterari e Filmici Dell'Alpe Adria</t>
  </si>
  <si>
    <t>Alpe Adria e Dintorni, Itinerari Mediterranei Ser.</t>
  </si>
  <si>
    <t>Fabris, Angela</t>
  </si>
  <si>
    <t>Applications</t>
  </si>
  <si>
    <t>Die Graphematik der Morpheme Im Deutschen und Englischen</t>
  </si>
  <si>
    <t>Berg, Kristian</t>
  </si>
  <si>
    <t>https://ebookcentral.proquest.com/lib/istinye/detail.action?docID=6637670</t>
  </si>
  <si>
    <t>Geistliche Liederdichter Zwischen Liturgie und Volkssprache : Übertragungen, Bearbeitungen, Neuschöpfungen in Mittelalter und Früher Neuzeit</t>
  </si>
  <si>
    <t>Kraß, Andreas</t>
  </si>
  <si>
    <t>The Summa Halensis : Sources and Context</t>
  </si>
  <si>
    <t>Beijing Garbage : A City Besieged by Waste</t>
  </si>
  <si>
    <t>Consumption and Sustainability in Asia Ser.</t>
  </si>
  <si>
    <t>Landsberger, Stefan</t>
  </si>
  <si>
    <t>363.72/80951156</t>
  </si>
  <si>
    <t>https://ebookcentral.proquest.com/lib/istinye/detail.action?docID=6637677</t>
  </si>
  <si>
    <t>La Fine Del Mondo Nel de Rerum Natura Di Lucrezio</t>
  </si>
  <si>
    <t>Galzerano, Manuel</t>
  </si>
  <si>
    <t>Italian</t>
  </si>
  <si>
    <t>https://ebookcentral.proquest.com/lib/istinye/detail.action?docID=6637678</t>
  </si>
  <si>
    <t>Engines of Order : A Mechanology of Algorithmic Techniques</t>
  </si>
  <si>
    <t>Rieder, Bernhard</t>
  </si>
  <si>
    <t>Die Inschriften Zu Den Ludi Saeculares : Acta Ludorum Saecularium</t>
  </si>
  <si>
    <t>Schnegg, Bärbel</t>
  </si>
  <si>
    <t>Data Loam : Sometimes Hard, Usually Soft. the Future of Knowledge Systems</t>
  </si>
  <si>
    <t>Edition Angewandte Ser.</t>
  </si>
  <si>
    <t>Golding, Johnny</t>
  </si>
  <si>
    <t>Complex Lexical Units : Compounds and Multi-Word Expressions</t>
  </si>
  <si>
    <t>Schlücker, Barbara</t>
  </si>
  <si>
    <t>https://ebookcentral.proquest.com/lib/istinye/detail.action?docID=6637687</t>
  </si>
  <si>
    <t>Discourse on the State of the Jews : Bilingual Edition</t>
  </si>
  <si>
    <t>Tracing the Jerusalem Code : Volume 3: the Promised Land Christian Cultures in Modern Scandinavia (ca. 1750-Ca. 1920)</t>
  </si>
  <si>
    <t>Zorgati, Ragnhild Johnsrud</t>
  </si>
  <si>
    <t>Handbook of Ancient Afro-Eurasian Economies : Volume 1: Contexts</t>
  </si>
  <si>
    <t>Reden, Sitta</t>
  </si>
  <si>
    <t>Ost-Westliche Erfahrungen der Modernität : Der Chinesisch-Deutsche Ideenaustausch und Die Bewegung des 4. Mai 1919</t>
  </si>
  <si>
    <t>Chinese-Western Discourse Ser.</t>
  </si>
  <si>
    <t>Jaeger, Michael</t>
  </si>
  <si>
    <t>Wahrnehmen, Fühlen, Verstehen : Metaphorisieren und Audiovisuelle Bilder</t>
  </si>
  <si>
    <t>Schmitt, Christina</t>
  </si>
  <si>
    <t>https://ebookcentral.proquest.com/lib/istinye/detail.action?docID=6637699</t>
  </si>
  <si>
    <t>Syntax of Dutch : Coordination and Ellipsis</t>
  </si>
  <si>
    <t>Comprehensive Grammar Resources Ser.</t>
  </si>
  <si>
    <t>Broekhuis, Hans</t>
  </si>
  <si>
    <t>Agents' Abilities</t>
  </si>
  <si>
    <t>Philosophical Analysis Ser.</t>
  </si>
  <si>
    <t>Jaster, Romy</t>
  </si>
  <si>
    <t>https://ebookcentral.proquest.com/lib/istinye/detail.action?docID=6637705</t>
  </si>
  <si>
    <t>Genocide and Mass Violence in Asia : An Introductory Reader</t>
  </si>
  <si>
    <t>Genocide and Mass Violence in the Age of Extremes Ser.</t>
  </si>
  <si>
    <t>Jacob, Frank</t>
  </si>
  <si>
    <t>364.15/1095</t>
  </si>
  <si>
    <t>https://ebookcentral.proquest.com/lib/istinye/detail.action?docID=6637708</t>
  </si>
  <si>
    <t>Body and Spirit in the Middle Ages : Literature, Philosophy, Medicine</t>
  </si>
  <si>
    <t>Gubbini, Gaia</t>
  </si>
  <si>
    <t>https://ebookcentral.proquest.com/lib/istinye/detail.action?docID=6637709</t>
  </si>
  <si>
    <t>The International Labour Organization : 100 Years of Global Social Policy</t>
  </si>
  <si>
    <t>Maul, Daniel</t>
  </si>
  <si>
    <t>331.06/01</t>
  </si>
  <si>
    <t>https://ebookcentral.proquest.com/lib/istinye/detail.action?docID=6637710</t>
  </si>
  <si>
    <t>HORACE's SERMONES BOOK 1 : Credentials for Maecenas</t>
  </si>
  <si>
    <t>The Hirsch Institute of Tropical Medicine : Asella, Äthiopien</t>
  </si>
  <si>
    <t>https://ebookcentral.proquest.com/lib/istinye/detail.action?docID=6637712</t>
  </si>
  <si>
    <t>Judah Halevi's Fideistic Scepticism in the Kuzari</t>
  </si>
  <si>
    <t>Krinis, Ehud</t>
  </si>
  <si>
    <t>Franz Brentano und Sein Philosophischer Nachlass</t>
  </si>
  <si>
    <t>Textologie Ser.</t>
  </si>
  <si>
    <t>Binder, Thomas</t>
  </si>
  <si>
    <t>https://ebookcentral.proquest.com/lib/istinye/detail.action?docID=6637723</t>
  </si>
  <si>
    <t>Internationale Gerechtigkeit und Institutionelle Verantwortung</t>
  </si>
  <si>
    <t>Nida-Rümelin, Julian</t>
  </si>
  <si>
    <t>Excavations at Paithan, Maharashtra : Transformations in Early Historic and Early Medieval India</t>
  </si>
  <si>
    <t>Kennet, Derek</t>
  </si>
  <si>
    <t>Tractatus Mythologicus : Theorie und Methodik Zur Erforschung Von Mythen Als Grundlegung Einer Allgemeinen, Transmedialen und Komparatistischen Stoffwissenschaft</t>
  </si>
  <si>
    <t>Toward a Cognitive Classical Linguistics : The Embodied Basis of Constructions in Greek and Latin</t>
  </si>
  <si>
    <t>Mocciaro, Egle</t>
  </si>
  <si>
    <t>Der Grüne Kakadu : Historisch-Kritische Ausgabe</t>
  </si>
  <si>
    <t>Lindner, Anna</t>
  </si>
  <si>
    <t>https://ebookcentral.proquest.com/lib/istinye/detail.action?docID=6637736</t>
  </si>
  <si>
    <t>Guimarães Rosa und Meyer-Clason : Literatur, Demokratie, ZusammenLebenswissen</t>
  </si>
  <si>
    <t>Himmelwärts / das Unbekannte Leben / Mit Dem Kopf Durch Die Wand</t>
  </si>
  <si>
    <t>Streitler-Kastberger, Nicole</t>
  </si>
  <si>
    <t>https://ebookcentral.proquest.com/lib/istinye/detail.action?docID=6637741</t>
  </si>
  <si>
    <t>Adhesive Bonding of Aircraft Composite Structures : Non-Destructive Testing and Quality Assurance Concepts</t>
  </si>
  <si>
    <t>Leite Cavalcanti, Welchy</t>
  </si>
  <si>
    <t>Novel Plant Imaging and Analysis : Water, Elements and Gas, Utilizing Radiation and Radioisotopes</t>
  </si>
  <si>
    <t>Technology, Media Literacy, and the Human Subject : A Posthuman Approach</t>
  </si>
  <si>
    <t>Lewis, Richard S.</t>
  </si>
  <si>
    <t>Lived Nation As the History of Experiences and Emotions in Finland, 1800-2000</t>
  </si>
  <si>
    <t>Palgrave Studies in the History of Experience Ser.</t>
  </si>
  <si>
    <t>Kivimäki, Ville</t>
  </si>
  <si>
    <t>Nachhaltige Stadtentwicklung : Die Umsetzung der Sustainable Development Goals Auf Kommunaler Ebene</t>
  </si>
  <si>
    <t>Koch, Florian</t>
  </si>
  <si>
    <t>Risk Quantification and Allocation Methods for Practitioners</t>
  </si>
  <si>
    <t>Atlantis Studies in Computational Finance and Financial Engineering Ser.</t>
  </si>
  <si>
    <t>Belles-Sampera, Jaume</t>
  </si>
  <si>
    <t>Agile Processes in Software Engineering and Extreme Programming : 22nd International Conference on Agile Software Development, XP 2021, Virtual Event, June 14-18, 2021, Proceedings</t>
  </si>
  <si>
    <t>Gregory, Peggy</t>
  </si>
  <si>
    <t>The Psychodynamics of Enlightened Leadership : Coping with Chaos</t>
  </si>
  <si>
    <t>Management, Change, Strategy and Positive Leadership Ser.</t>
  </si>
  <si>
    <t>Mitroff, Ian I.</t>
  </si>
  <si>
    <t>Data Science for Economics and Finance : Methodologies and Applications</t>
  </si>
  <si>
    <t>Consoli, Sergio</t>
  </si>
  <si>
    <t>Reading Backwards : An Advance Retrospective on Russian Literature</t>
  </si>
  <si>
    <t>Langen, Timothy</t>
  </si>
  <si>
    <t>Probability in Electrical Engineering and Computer Science : An Application-Driven Course</t>
  </si>
  <si>
    <t>Walrand, Jean</t>
  </si>
  <si>
    <t>QA76.9.M35</t>
  </si>
  <si>
    <t>https://ebookcentral.proquest.com/lib/istinye/detail.action?docID=6647753</t>
  </si>
  <si>
    <t>Assessing Environmental Risk of Oil Spills with ERA Acute : A New Methodology</t>
  </si>
  <si>
    <t>Stephansen, Cathrine</t>
  </si>
  <si>
    <t>Quaternion Algebras</t>
  </si>
  <si>
    <t>Graduate Texts in Mathematics Ser.</t>
  </si>
  <si>
    <t>Voight, John</t>
  </si>
  <si>
    <t>QA251.5</t>
  </si>
  <si>
    <t>https://ebookcentral.proquest.com/lib/istinye/detail.action?docID=6652280</t>
  </si>
  <si>
    <t>Saving and Investment in the Twenty-First Century : The Great Divergence</t>
  </si>
  <si>
    <t>von Weizsäcker, Carl Christian</t>
  </si>
  <si>
    <t>Dying to Count : Post-Abortion Care and Global Reproductive Health Politics in Senegal</t>
  </si>
  <si>
    <t>Medical Anthropology Ser.</t>
  </si>
  <si>
    <t>Suh, Siri</t>
  </si>
  <si>
    <t>Dekoloniale Politische Bildung : Eine Empirische Untersuchung Von Lernendenvorstellungen Zum Postkolonialen Erbe</t>
  </si>
  <si>
    <t>Bürgerbewusstsein Ser.</t>
  </si>
  <si>
    <t>Kleinschmidt, Malte</t>
  </si>
  <si>
    <t>LC1090-1091</t>
  </si>
  <si>
    <t>https://ebookcentral.proquest.com/lib/istinye/detail.action?docID=6661645</t>
  </si>
  <si>
    <t>Ten Crises : The Political Economy of China's Development (1949-2020)</t>
  </si>
  <si>
    <t>Global University for Sustainability Book Ser.</t>
  </si>
  <si>
    <t>Wen, Tiejun</t>
  </si>
  <si>
    <t>Post-Digital, Post-Internet Art and Education : The Future Is All-Over</t>
  </si>
  <si>
    <t>Tavin, Kevin</t>
  </si>
  <si>
    <t>Infektionen und Gesellschaft : COVID-19, Frühere und Zukünftige Herausforderungen Durch Pandemien</t>
  </si>
  <si>
    <t>Lohse, Ansgar W.</t>
  </si>
  <si>
    <t>Open Government Data as a Reform and Ecosystem : A conceptual framework for evolution and health</t>
  </si>
  <si>
    <t>Crusoe, Jonathan</t>
  </si>
  <si>
    <t>https://ebookcentral.proquest.com/lib/istinye/detail.action?docID=6675250</t>
  </si>
  <si>
    <t>Shared Physical Custody : Interdisciplinary Insights in Child Custody Arrangements</t>
  </si>
  <si>
    <t>European Studies of Population Ser.</t>
  </si>
  <si>
    <t>Multimodal Texts in Disciplinary Education : A Comprehensive Framework</t>
  </si>
  <si>
    <t>Danielsson, Kristina</t>
  </si>
  <si>
    <t>Rethinking Sustainability Towards a Regenerative Economy</t>
  </si>
  <si>
    <t>Future City Ser.</t>
  </si>
  <si>
    <t>Andreucci, Maria Beatrice</t>
  </si>
  <si>
    <t>Shaping an Inclusive Energy Transition</t>
  </si>
  <si>
    <t>Weijnen, Margot P. C.</t>
  </si>
  <si>
    <t>The Elements of Big Data Value : Foundations of the Research and Innovation Ecosystem</t>
  </si>
  <si>
    <t>The Palgrave Handbook of Positive Education</t>
  </si>
  <si>
    <t>Kern, Margaret L.</t>
  </si>
  <si>
    <t>Transnational Legal Activism in Global Value Chains : The Ali Enterprises Factory Fire and the Struggle for Justice</t>
  </si>
  <si>
    <t>Interdisciplinary Studies in Human Rights Ser.</t>
  </si>
  <si>
    <t>Saage-Maaß, Miriam</t>
  </si>
  <si>
    <t>Benefit/Cost-Driven Software Development : With Benefit Points and Size Points</t>
  </si>
  <si>
    <t>Hannay, Jo Erskine</t>
  </si>
  <si>
    <t>QA76.75-76.765</t>
  </si>
  <si>
    <t>https://ebookcentral.proquest.com/lib/istinye/detail.action?docID=6676597</t>
  </si>
  <si>
    <t>Rethinking Nordic Courts</t>
  </si>
  <si>
    <t>Ius Gentium: Comparative Perspectives on Law and Justice Ser.</t>
  </si>
  <si>
    <t>Ervo, Laura</t>
  </si>
  <si>
    <t>Automated Deduction - CADE 28 : 28th International Conference on Automated Deduction, Virtual Event, July 12-15, 2021, Proceedings</t>
  </si>
  <si>
    <t>Platzer, André</t>
  </si>
  <si>
    <t>The Once-Only Principle : The TOOP Project</t>
  </si>
  <si>
    <t>Krimmer, Robert</t>
  </si>
  <si>
    <t>Datensouveränität : Governance-Ansätze Für Den Gesundheitsbereich</t>
  </si>
  <si>
    <t>Hummel, Patrik</t>
  </si>
  <si>
    <t>Gerechter Frieden : Im Spannungsfeld Zwischen Ziviler Konfliktbearbeitung und Rechtserhaltender Gewalt</t>
  </si>
  <si>
    <t>Werkner, Ines-Jacqueline</t>
  </si>
  <si>
    <t>JZ5509.2-6300</t>
  </si>
  <si>
    <t>https://ebookcentral.proquest.com/lib/istinye/detail.action?docID=6676602</t>
  </si>
  <si>
    <t>Pflege-Report 2021 : Sicherstellung der Pflege: Bedarfslagen und Angebotsstrukturen</t>
  </si>
  <si>
    <t>Towards an Ethics of Autism : A Philosophical Exploration</t>
  </si>
  <si>
    <t>Hens, Kristien</t>
  </si>
  <si>
    <t>Human Cultures Through the Scientific Lens : Essays in Evolutionary Cognitive Anthropology</t>
  </si>
  <si>
    <t>Boyer, Pascal</t>
  </si>
  <si>
    <t>Measuring Professional Competence for the Teaching of Mathematical Modelling : A Test Instrument</t>
  </si>
  <si>
    <t>International Perspectives on the Teaching and Learning of Mathematical Modelling Ser.</t>
  </si>
  <si>
    <t>Wess, Raphael</t>
  </si>
  <si>
    <t>Abschlusspolitische Ergebnisspaltungen Mit Aufgegebenen Geschäftsbereichen Nach IFRS 5 : Existenz und Prävention</t>
  </si>
  <si>
    <t>Auditing and Accounting Studies</t>
  </si>
  <si>
    <t>Czupalla, Kai</t>
  </si>
  <si>
    <t>HF5601-5688</t>
  </si>
  <si>
    <t>https://ebookcentral.proquest.com/lib/istinye/detail.action?docID=6679204</t>
  </si>
  <si>
    <t>Financing Clean Energy Access in Sub-Saharan Africa : Risk Mitigation Strategies and Innovative Financing Structures</t>
  </si>
  <si>
    <t>Michoud, Bruno</t>
  </si>
  <si>
    <t>Computer Aided Verification : 33rd International Conference, CAV 2021, Virtual Event, July 20-23, 2021, Proceedings, Part I</t>
  </si>
  <si>
    <t>Silva, Alexandra</t>
  </si>
  <si>
    <t>Computer Aided Verification : 33rd International Conference, CAV 2021, Virtual Event, July 20-23, 2021, Proceedings, Part II</t>
  </si>
  <si>
    <t>Games Without Frontiers? : Socio-Historical Perspectives at the Gaming/Gambling Intersection</t>
  </si>
  <si>
    <t>Leisure Studies in a Global Era Ser.</t>
  </si>
  <si>
    <t>Wardle, Heather</t>
  </si>
  <si>
    <t>HM</t>
  </si>
  <si>
    <t>https://ebookcentral.proquest.com/lib/istinye/detail.action?docID=6679369</t>
  </si>
  <si>
    <t>The German Chambers of Commerce and Industry : Self-Governance, Service, the General Representation of Interests and the Dual System of Professional Education</t>
  </si>
  <si>
    <t>Practical Wisdom for Sustainable Organizations Ser.</t>
  </si>
  <si>
    <t>Sasse, Eberhard</t>
  </si>
  <si>
    <t>(un)doing Gender Empirisch : Qualitative Forschung in der Kita</t>
  </si>
  <si>
    <t>Nentwich, Julia C.</t>
  </si>
  <si>
    <t>Entrepreneurial Strategy : Starting, Managing, and Scaling New Ventures</t>
  </si>
  <si>
    <t>Shepherd, Dean A.</t>
  </si>
  <si>
    <t>Organizing for Sustainability : A Guide to Developing New Business Models</t>
  </si>
  <si>
    <t>Jonker, Jan</t>
  </si>
  <si>
    <t>Brain-Inspired Computing : 4th International Workshop, BrainComp 2019, Cetraro, Italy, July 15-19, 2019, Revised Selected Papers</t>
  </si>
  <si>
    <t>Amunts, Katrin</t>
  </si>
  <si>
    <t>Logistische Regression : Eine Anwendungsorientierte Einführung Mit R</t>
  </si>
  <si>
    <t>Kalisch, Markus</t>
  </si>
  <si>
    <t>Outdoor Learning and Play : Pedagogical Practices and Children's Cultural Formation</t>
  </si>
  <si>
    <t>International Perspectives on Early Childhood Education and Development Ser.</t>
  </si>
  <si>
    <t>Grindheim, Liv Torunn</t>
  </si>
  <si>
    <t>Pupils’ Encounters with Mathematics : A Study of Pupils’ Encounters with Mathematics in Preschool Class and in Year 1</t>
  </si>
  <si>
    <t>Arnell, Sofie</t>
  </si>
  <si>
    <t>https://ebookcentral.proquest.com/lib/istinye/detail.action?docID=6683072</t>
  </si>
  <si>
    <t>Local Conditions for Long Cycles in Graphs</t>
  </si>
  <si>
    <t>Granholm, Jonas B.</t>
  </si>
  <si>
    <t>https://ebookcentral.proquest.com/lib/istinye/detail.action?docID=6683074</t>
  </si>
  <si>
    <t>Representations of fractions : A study of middle school mathematics</t>
  </si>
  <si>
    <t>Sveider, Cecilia</t>
  </si>
  <si>
    <t>https://ebookcentral.proquest.com/lib/istinye/detail.action?docID=6683075</t>
  </si>
  <si>
    <t>Digitalt stöd för personer med kognitiv funktionsnedsättning : enintervention för att öka aktivitetsutförande i vardagen</t>
  </si>
  <si>
    <t>Andreassen, Maria</t>
  </si>
  <si>
    <t>https://ebookcentral.proquest.com/lib/istinye/detail.action?docID=6683076</t>
  </si>
  <si>
    <t>Identifiering av unga som riskerar sexuell ohälsa : implementering av en ny metod på ungdomsmottagningar</t>
  </si>
  <si>
    <t>Hammarström, Sofia</t>
  </si>
  <si>
    <t>https://ebookcentral.proquest.com/lib/istinye/detail.action?docID=6683077</t>
  </si>
  <si>
    <t>Learning Representations for Segmentation and Registration</t>
  </si>
  <si>
    <t>Järemo Lawin, Felix</t>
  </si>
  <si>
    <t>https://ebookcentral.proquest.com/lib/istinye/detail.action?docID=6683078</t>
  </si>
  <si>
    <t>The Data Journalism Handbook : Towards a Critical Data Practice</t>
  </si>
  <si>
    <t>Digital Studies</t>
  </si>
  <si>
    <t>Bounegru, Liliana</t>
  </si>
  <si>
    <t>Co-Governed Sovereignty Network : Legal Basis and Its Prototype and Applications with MIN Architecture</t>
  </si>
  <si>
    <t>Li, Hui</t>
  </si>
  <si>
    <t>Non-Canonical Control in a Cross-linguistic Perspective</t>
  </si>
  <si>
    <t>Mucha, Anne</t>
  </si>
  <si>
    <t>Introduction to Space Syntax in Urban Studies</t>
  </si>
  <si>
    <t>van Nes, Akkelies</t>
  </si>
  <si>
    <t>Embodying Black Religions in Africa and Its Diasporas</t>
  </si>
  <si>
    <t>What Works in Conservation : 2021</t>
  </si>
  <si>
    <t>Politics and the Environment in Eastern Europe</t>
  </si>
  <si>
    <t>Krasznai Kovacs, Eszter</t>
  </si>
  <si>
    <t>https://ebookcentral.proquest.com/lib/istinye/detail.action?docID=6689124</t>
  </si>
  <si>
    <t>Ray Tracing Gems II : Next Generation Real-Time Rendering with DXR, Vulkan, and OptiX</t>
  </si>
  <si>
    <t>Marrs, Adam</t>
  </si>
  <si>
    <t>Visual Methodology in Migration Studies : New Possibilities, Theoretical Implications, and Ethical Questions</t>
  </si>
  <si>
    <t>Nikielska-Sekula, Karolina</t>
  </si>
  <si>
    <t>Improving Interagency Collaboration, Innovation and Learning in Criminal Justice Systems : Supporting Offender Rehabilitation</t>
  </si>
  <si>
    <t>Hean, Sarah</t>
  </si>
  <si>
    <t>Augmented Humanity : Being and Remaining Agentic in a Digitalized World</t>
  </si>
  <si>
    <t>Bryant, Peter T.</t>
  </si>
  <si>
    <t>Mehrsprachige Pflegebedürftige in Deutschen Pflegeheimen und das Projekt Unvergessen : Studierende an der Schnittstelle Von Forschung und Gesellschaft</t>
  </si>
  <si>
    <t>Karl, Katrin Bente</t>
  </si>
  <si>
    <t>HB1531-1738</t>
  </si>
  <si>
    <t>https://ebookcentral.proquest.com/lib/istinye/detail.action?docID=6689310</t>
  </si>
  <si>
    <t>Concepts in Action : Representation, Learning, and Application</t>
  </si>
  <si>
    <t>Bechberger, Lucas</t>
  </si>
  <si>
    <t>Between Peace and Conflict in the East and the West : Studies on Transformation and Development in the OSCE Region</t>
  </si>
  <si>
    <t>Mihr, Anja</t>
  </si>
  <si>
    <t>https://ebookcentral.proquest.com/lib/istinye/detail.action?docID=6692414</t>
  </si>
  <si>
    <t>Time-resolved CVD of Group 13-Nitrides</t>
  </si>
  <si>
    <t>Rouf, Polla</t>
  </si>
  <si>
    <t>https://ebookcentral.proquest.com/lib/istinye/detail.action?docID=6693082</t>
  </si>
  <si>
    <t>Stocker du Carbone Dans les Sols Français : Quel Potentiel et à Quel Coût ?</t>
  </si>
  <si>
    <t>Pellerin, Sylvain</t>
  </si>
  <si>
    <t>Global Political Demography : The Politics of Population Change</t>
  </si>
  <si>
    <t>Goerres, Achim</t>
  </si>
  <si>
    <t>Vor der Revolution : Die Vereinigten Staaten und Die Permanente Intervention in Iran, 1953-1975</t>
  </si>
  <si>
    <t>Popp, Roland</t>
  </si>
  <si>
    <t>JZ5587-6009</t>
  </si>
  <si>
    <t>https://ebookcentral.proquest.com/lib/istinye/detail.action?docID=6696600</t>
  </si>
  <si>
    <t>Molecular Beams in Physics and Chemistry : From Otto Stern's Pioneering Exploits to Present-Day Feats</t>
  </si>
  <si>
    <t>Friedrich, Bretislav</t>
  </si>
  <si>
    <t>A Visual Atlas for Soil Micromorphologists</t>
  </si>
  <si>
    <t>Verrecchia, Eric P.</t>
  </si>
  <si>
    <t>Student Feedback on Teaching in Schools : Using Student Perceptions for the Development of Teaching and Teachers</t>
  </si>
  <si>
    <t>Rollett, Wolfram</t>
  </si>
  <si>
    <t>Big Data in Bioeconomy : Results from the European DataBio Project</t>
  </si>
  <si>
    <t>Södergård, Caj</t>
  </si>
  <si>
    <t>Ab Initio Modeling of Magnetic Materials in the High-Temperature Paramagnetic Phase</t>
  </si>
  <si>
    <t>Gambino, Davide</t>
  </si>
  <si>
    <t>https://ebookcentral.proquest.com/lib/istinye/detail.action?docID=6700285</t>
  </si>
  <si>
    <t>Foundations of Software Science and Computation Structures : 23rd International Conference, FOSSACS 2020, Held As Part of the European Joint Conferences on Theory and Practice of Software, ETAPS 2020, Dublin, Ireland, April 25-30, 2020, Proceedings</t>
  </si>
  <si>
    <t>Goubault-Larrecq, Jean</t>
  </si>
  <si>
    <t>Earth Observation Science and Applications for Risk Reduction and Enhanced Resilience in Hindu Kush Himalaya Region : A Decade of Experience from SERVIR</t>
  </si>
  <si>
    <t>Bajracharya, Birendra</t>
  </si>
  <si>
    <t>Beyond the Makerspace : Making and Relational Rhetorics</t>
  </si>
  <si>
    <t>Sweetland Digital Rhetoric Collaborative Ser.</t>
  </si>
  <si>
    <t>Shivers-McNair, Ann</t>
  </si>
  <si>
    <t>Theater As Data : Computational Journeys into Theater Research</t>
  </si>
  <si>
    <t>Escobar Varela, Miguel</t>
  </si>
  <si>
    <t>PN2075</t>
  </si>
  <si>
    <t>https://ebookcentral.proquest.com/lib/istinye/detail.action?docID=6706672</t>
  </si>
  <si>
    <t>Saving New Sounds : Podcast Preservation and Historiography</t>
  </si>
  <si>
    <t>Morris, Jeremy Wade</t>
  </si>
  <si>
    <t>Paul Lorenzen -- Mathematician and Logician</t>
  </si>
  <si>
    <t>Logic, Epistemology, and the Unity of Science Ser.</t>
  </si>
  <si>
    <t>Heinzmann, Gerhard</t>
  </si>
  <si>
    <t>Exercise-Based Cardiac Rehabilitation in Patients with Coronary Artery Disease : Attendance, Adherence and the Added Value of a Behavioural Medicine Intervention</t>
  </si>
  <si>
    <t>Borg, Sabina</t>
  </si>
  <si>
    <t>https://ebookcentral.proquest.com/lib/istinye/detail.action?docID=6708504</t>
  </si>
  <si>
    <t>Theoretical studies of the coupling between electronic, vibrational, configurational and structural effects in metal borides</t>
  </si>
  <si>
    <t>Johansson, Erik</t>
  </si>
  <si>
    <t>https://ebookcentral.proquest.com/lib/istinye/detail.action?docID=6708512</t>
  </si>
  <si>
    <t>Assessment and guidance : Assessment interviews with prospective adoptive parents as institutional practice</t>
  </si>
  <si>
    <t>Wirzén, Madeleine</t>
  </si>
  <si>
    <t>https://ebookcentral.proquest.com/lib/istinye/detail.action?docID=6708513</t>
  </si>
  <si>
    <t>The Economics of the Audiovisual Industry: Financing TV, Film and Web</t>
  </si>
  <si>
    <t>La Torre, Mario</t>
  </si>
  <si>
    <t>Selbststudium Im Digitalen Wandel : Digitales, Begleitetes Selbststudium in der Mathematik - MINT Meistern Mit Optes</t>
  </si>
  <si>
    <t>Küstermann, Roland</t>
  </si>
  <si>
    <t>Assessment of Climate Change over the Indian Region : A Report of the Ministry of Earth Sciences (MoES), Government of India</t>
  </si>
  <si>
    <t>Krishnan, R.</t>
  </si>
  <si>
    <t>The Importance and Value of Older Employees : Wise Workers in the Workplace</t>
  </si>
  <si>
    <t>Hilsen, Anne Inga</t>
  </si>
  <si>
    <t>Three Essays on Empirical Asset Pricing in International Equity Markets</t>
  </si>
  <si>
    <t>Gabler Theses Ser.</t>
  </si>
  <si>
    <t>Müller, Birgit Charlotte</t>
  </si>
  <si>
    <t>HG4523</t>
  </si>
  <si>
    <t>https://ebookcentral.proquest.com/lib/istinye/detail.action?docID=6709815</t>
  </si>
  <si>
    <t>Binging Family : Die Konzeption Von Familie in der Video-On-Demand-Serie</t>
  </si>
  <si>
    <t>Kelsch, Jakob</t>
  </si>
  <si>
    <t>PN1993.5.U6</t>
  </si>
  <si>
    <t>https://ebookcentral.proquest.com/lib/istinye/detail.action?docID=6709816</t>
  </si>
  <si>
    <t>Music As Intangible Cultural Heritage : Economic, Cultural and Social Identity</t>
  </si>
  <si>
    <t>de-Miguel-Molina, Blanca</t>
  </si>
  <si>
    <t>NGOs Als Besondere Akteure der Interessenvermittlung : Eine Analyse der Politischen Rationalität Von Nichtregierungsorganisationen</t>
  </si>
  <si>
    <t>Studien der NRW School of Governance Ser.</t>
  </si>
  <si>
    <t>Schiffers, Maximilian</t>
  </si>
  <si>
    <t>JF20-2112</t>
  </si>
  <si>
    <t>https://ebookcentral.proquest.com/lib/istinye/detail.action?docID=6710765</t>
  </si>
  <si>
    <t>Liquidity, Markets and Trading in Action : An Interdisciplinary Perspective</t>
  </si>
  <si>
    <t>Classroom Companion: Business Ser.</t>
  </si>
  <si>
    <t>Ozenbas, Deniz</t>
  </si>
  <si>
    <t>From Goethe to Gundolf : Essays on German Literature and Culture</t>
  </si>
  <si>
    <t>https://ebookcentral.proquest.com/lib/istinye/detail.action?docID=6714071</t>
  </si>
  <si>
    <t>Energy Management Strategy Design for Series Hybrid Electric Vehicles</t>
  </si>
  <si>
    <t>Shafikhani, Iman</t>
  </si>
  <si>
    <t>https://ebookcentral.proquest.com/lib/istinye/detail.action?docID=6714571</t>
  </si>
  <si>
    <t>Collective decision-making on networked systems in presence of antagonistic interactions</t>
  </si>
  <si>
    <t>Fontan, Angela</t>
  </si>
  <si>
    <t>https://ebookcentral.proquest.com/lib/istinye/detail.action?docID=6714572</t>
  </si>
  <si>
    <t>Digitalising Tax, The Kenyan Way : The Travels and Translations of ITax in Kenya</t>
  </si>
  <si>
    <t>Elmi, Nimmo Osman</t>
  </si>
  <si>
    <t>https://ebookcentral.proquest.com/lib/istinye/detail.action?docID=6714573</t>
  </si>
  <si>
    <t>Inequalities in Health : the Importance of Material/Structural Factors and Psychosocial Resources</t>
  </si>
  <si>
    <t>Granström, Fredrik</t>
  </si>
  <si>
    <t>https://ebookcentral.proquest.com/lib/istinye/detail.action?docID=6714574</t>
  </si>
  <si>
    <t>Dissecting Discrimination : Identifying Its Various Faces and Their Sources</t>
  </si>
  <si>
    <t>Entscheidungs- und Organisationstheorie Ser.</t>
  </si>
  <si>
    <t>Villiger, Daniel</t>
  </si>
  <si>
    <t>https://ebookcentral.proquest.com/lib/istinye/detail.action?docID=6714634</t>
  </si>
  <si>
    <t>Il était une Fois L'Ifremer</t>
  </si>
  <si>
    <t>Chatry, Gilles</t>
  </si>
  <si>
    <t>Le Bien-être des Animaux D'élevage : Évaluer le Bien-être Animal</t>
  </si>
  <si>
    <t>Les Mémos de Quae Ser.</t>
  </si>
  <si>
    <t>Mounier, Luc</t>
  </si>
  <si>
    <t>Cocaine : From Coca Fields to the Streets</t>
  </si>
  <si>
    <t>Arias, Enrique Desmond</t>
  </si>
  <si>
    <t>Scriptures, Shrines, Scapegoats, and World Politics : Religious Sources of Conflict and Cooperation in the Modern Era</t>
  </si>
  <si>
    <t>Maoz, Zeev</t>
  </si>
  <si>
    <t>Academic Ableism : Disability and Higher Education</t>
  </si>
  <si>
    <t>Dolmage, Jay T.</t>
  </si>
  <si>
    <t>LC4818</t>
  </si>
  <si>
    <t>https://ebookcentral.proquest.com/lib/istinye/detail.action?docID=6716487</t>
  </si>
  <si>
    <t>Karawitan : Source Readings in Javanese Gamelan and Vocal Music, Volume 1</t>
  </si>
  <si>
    <t>Becker, Judith</t>
  </si>
  <si>
    <t>Agricultural Robotics: Part of the New Deal? FIRA 2020 Conclusions : With 27 Agricultural Robot Information Sheets</t>
  </si>
  <si>
    <t>Lenain, Roland</t>
  </si>
  <si>
    <t>Queering Asylum in Europe : Legal and Social Experiences of Seeking International Protection on Grounds of Sexual Orientation and Gender Identity</t>
  </si>
  <si>
    <t>Danisi, Carmelo</t>
  </si>
  <si>
    <t>Good Citizenship for the Next Generation : A Global Perspective Using IEA ICCS 2016 Data</t>
  </si>
  <si>
    <t>Treviño, Ernesto</t>
  </si>
  <si>
    <t>Typisch Social Entrepreneurship : Arbeitsgestaltung und Wirkung Von Arbeit Bei Sozialunternehmer*innen in Deutschland</t>
  </si>
  <si>
    <t>Hein, Rüdiger</t>
  </si>
  <si>
    <t>HD62.5</t>
  </si>
  <si>
    <t>https://ebookcentral.proquest.com/lib/istinye/detail.action?docID=6716676</t>
  </si>
  <si>
    <t>Anatomie des Amoklaufs : Malaiischer Mĕngamok und School Shooting</t>
  </si>
  <si>
    <t>Edition Centaurus - Neuere Medizin- und Wissenschaftsgeschichte Ser.</t>
  </si>
  <si>
    <t>Sell, Madlen</t>
  </si>
  <si>
    <t>HV6080-6113</t>
  </si>
  <si>
    <t>https://ebookcentral.proquest.com/lib/istinye/detail.action?docID=6716677</t>
  </si>
  <si>
    <t>Towards a Digital Epistemology : Aesthetics and Modes of Thought in Early Modernity and the Present Age</t>
  </si>
  <si>
    <t>Ingvarsson, Jonas</t>
  </si>
  <si>
    <t>The Promise of Higher Education : Essays in Honour of 70 Years of IAU</t>
  </si>
  <si>
    <t>van't Land, Hilligje</t>
  </si>
  <si>
    <t>Complicities : A Theory for Subjectivity in the Psychological Humanities</t>
  </si>
  <si>
    <t>Palgrave Studies in the Theory and History of Psychology Ser.</t>
  </si>
  <si>
    <t>Distiller, Natasha</t>
  </si>
  <si>
    <t>BF38</t>
  </si>
  <si>
    <t>150.1</t>
  </si>
  <si>
    <t>https://ebookcentral.proquest.com/lib/istinye/detail.action?docID=6719370</t>
  </si>
  <si>
    <t>Modern Industrial Services : A Cookbook for Design, Delivery, and Management</t>
  </si>
  <si>
    <t>West, shaun</t>
  </si>
  <si>
    <t>Bandgap Engineering of Lead-Free Halide Double Perovskites</t>
  </si>
  <si>
    <t>Ji, Fuxiang</t>
  </si>
  <si>
    <t>https://ebookcentral.proquest.com/lib/istinye/detail.action?docID=6720001</t>
  </si>
  <si>
    <t>Dynamic capabilities for managing logistics challenges of retailers</t>
  </si>
  <si>
    <t>Haag, Linnea</t>
  </si>
  <si>
    <t>https://ebookcentral.proquest.com/lib/istinye/detail.action?docID=6720002</t>
  </si>
  <si>
    <t>Designing with Machine Learning in Digital Pathology : Augmenting Medical Specialists through Interaction Design</t>
  </si>
  <si>
    <t>Lindvall, Martin</t>
  </si>
  <si>
    <t>https://ebookcentral.proquest.com/lib/istinye/detail.action?docID=6720003</t>
  </si>
  <si>
    <t>Different Aspects of Psoriasis : Comorbidity, Comedication and Disease Biomarkers</t>
  </si>
  <si>
    <t>Duvetorp, Albert</t>
  </si>
  <si>
    <t>https://ebookcentral.proquest.com/lib/istinye/detail.action?docID=6720004</t>
  </si>
  <si>
    <t>3D-printing for Aerospace : Fatigue Behaviour of Additively Manufactured Titanium</t>
  </si>
  <si>
    <t>Kahlin, Magnus</t>
  </si>
  <si>
    <t>https://ebookcentral.proquest.com/lib/istinye/detail.action?docID=6720005</t>
  </si>
  <si>
    <t>Local Tax Benefits at a Distance : Japan's Hometown Tax Donation Payment</t>
  </si>
  <si>
    <t>Hoda, Takaaki</t>
  </si>
  <si>
    <t>Engaged Fatherhood for Men, Families and Gender Equality : Healthcare, Social Policy, and Work Perspectives</t>
  </si>
  <si>
    <t>Grau Grau, Marc</t>
  </si>
  <si>
    <t>Emerging Threats of Synthetic Biology and Biotechnology : Addressing Security and Resilience Issues</t>
  </si>
  <si>
    <t>NATO Science for Peace and Security Series C: Environmental Security Ser.</t>
  </si>
  <si>
    <t>Trump, Benjamin D.</t>
  </si>
  <si>
    <t>Violence in the Balkans : First Findings from the Balkan Homicide Study</t>
  </si>
  <si>
    <t>SpringerBriefs in Criminology Ser.</t>
  </si>
  <si>
    <t>Getos Kalac, Anna-Maria</t>
  </si>
  <si>
    <t>https://ebookcentral.proquest.com/lib/istinye/detail.action?docID=6724812</t>
  </si>
  <si>
    <t>Unterrichtszentrierte Schulentwicklung : Schulen Auf Dem Weg Zu Einer Personalisierten Gestaltung Von Lehr- und Lernprozessen</t>
  </si>
  <si>
    <t>Galle, Marco</t>
  </si>
  <si>
    <t>LB1049</t>
  </si>
  <si>
    <t>https://ebookcentral.proquest.com/lib/istinye/detail.action?docID=6724813</t>
  </si>
  <si>
    <t>No Real Choice : How Culture and Politics Matter for Reproductive Autonomy</t>
  </si>
  <si>
    <t>Families in Focus Ser.</t>
  </si>
  <si>
    <t>Kimport, Katrina</t>
  </si>
  <si>
    <t>Improving Inclusive Education Through Universal Design for Learning</t>
  </si>
  <si>
    <t>Inclusive Learning and Educational Equity Ser.</t>
  </si>
  <si>
    <t>Galkiene, Alvyra</t>
  </si>
  <si>
    <t>Interdisciplinary Nutritional Management and Care for Older Adults : An Evidence-Based Practical Guide for Nurses</t>
  </si>
  <si>
    <t>Perspectives in Nursing Management and Care for Older Adults Ser.</t>
  </si>
  <si>
    <t>Geirsdóttir, Ólöf G.</t>
  </si>
  <si>
    <t>Decision-making and decision support connected to biogas use in Sweden</t>
  </si>
  <si>
    <t>Dahlgren, Sofia</t>
  </si>
  <si>
    <t>https://ebookcentral.proquest.com/lib/istinye/detail.action?docID=6725030</t>
  </si>
  <si>
    <t>On Material selection and its consequences in product development</t>
  </si>
  <si>
    <t>Henriksson, Fredrik</t>
  </si>
  <si>
    <t>https://ebookcentral.proquest.com/lib/istinye/detail.action?docID=6725031</t>
  </si>
  <si>
    <t>Sexual and Reproductive Health and Rights in India : Self-Care for Universal Health Coverage</t>
  </si>
  <si>
    <t>Pachauri, Saroj</t>
  </si>
  <si>
    <t>A Handbook and Reader of Ottoman Arabic</t>
  </si>
  <si>
    <t>Wagner, Esther-Miriam</t>
  </si>
  <si>
    <t>Partizipation Durch Werkstatträte</t>
  </si>
  <si>
    <t>Beiträge Zur Teilhabeforschung Ser.</t>
  </si>
  <si>
    <t>Schachler, Viviane</t>
  </si>
  <si>
    <t>LC4001-4700.4</t>
  </si>
  <si>
    <t>https://ebookcentral.proquest.com/lib/istinye/detail.action?docID=6726436</t>
  </si>
  <si>
    <t>Art Activism for an Anticolonial Future</t>
  </si>
  <si>
    <t>Garrido Castellano, Carlos</t>
  </si>
  <si>
    <t>701/.03</t>
  </si>
  <si>
    <t>https://ebookcentral.proquest.com/lib/istinye/detail.action?docID=6726791</t>
  </si>
  <si>
    <t>Primary and Secondary Education During Covid-19 : Disruptions to Educational Opportunity During a Pandemic</t>
  </si>
  <si>
    <t>https://ebookcentral.proquest.com/lib/istinye/detail.action?docID=6727208</t>
  </si>
  <si>
    <t>Co-Creation for Responsible Research and Innovation : Experimenting with Design Methods and Tools</t>
  </si>
  <si>
    <t>Deserti, Alessandro</t>
  </si>
  <si>
    <t>Übersetzen in der Frühen Neuzeit - Konzepte und Methoden / Concepts and Practices of Translation in the Early Modern Period</t>
  </si>
  <si>
    <t>Übersetzungskulturen der Frühen Neuzeit Ser.</t>
  </si>
  <si>
    <t>Toepfer, Regina</t>
  </si>
  <si>
    <t>Science Parks and talent attraction : a study on the development of Science Parks</t>
  </si>
  <si>
    <t>de Almeida Cadorin, Eduardo</t>
  </si>
  <si>
    <t>https://ebookcentral.proquest.com/lib/istinye/detail.action?docID=6729646</t>
  </si>
  <si>
    <t>Loss Mechanisms In Non-Fullerene Organic Solar Cells</t>
  </si>
  <si>
    <t>Zhang, Huotian</t>
  </si>
  <si>
    <t>https://ebookcentral.proquest.com/lib/istinye/detail.action?docID=6729647</t>
  </si>
  <si>
    <t>Expanding the versatility and functionality of iontronic devices</t>
  </si>
  <si>
    <t>Cherian, Dennis</t>
  </si>
  <si>
    <t>https://ebookcentral.proquest.com/lib/istinye/detail.action?docID=6729670</t>
  </si>
  <si>
    <t>Die Praxis der Social-Media-Analyse : Eine Explorative Untersuchung Kalibrierten Zuhörens in der Automobilindustrie</t>
  </si>
  <si>
    <t>Säugling, Carolin</t>
  </si>
  <si>
    <t>https://ebookcentral.proquest.com/lib/istinye/detail.action?docID=6730700</t>
  </si>
  <si>
    <t>NL ARMS Netherlands Annual Review of Military Studies 2021 : Compliance and Integrity in International Military Trade</t>
  </si>
  <si>
    <t>Beeres, Robert</t>
  </si>
  <si>
    <t>Zivilgesellschaftliche Performanz Von Religiösen und Säkularen Migrantenselbstorganisationen : Eine Studie in Nordrhein-Westfalen</t>
  </si>
  <si>
    <t>Klie, Anna Wiebke</t>
  </si>
  <si>
    <t>https://ebookcentral.proquest.com/lib/istinye/detail.action?docID=6732941</t>
  </si>
  <si>
    <t>Proceedings of the 2021 DigitalFUTURES : The 3rd International Conference on Computational Design and Robotic Fabrication (CDRF 2021)</t>
  </si>
  <si>
    <t>Hochschulreformen, Leistungsbewertungen und Berufliche Identität Von Professor*innen : Eine Fächervergleichende Qualitative Studie</t>
  </si>
  <si>
    <t>Organization and Public Management Ser.</t>
  </si>
  <si>
    <t>Janßen, Melike</t>
  </si>
  <si>
    <t>Structural Health Monitoring Damage Detection Systems for Aerospace</t>
  </si>
  <si>
    <t>Springer Aerospace Technology Ser.</t>
  </si>
  <si>
    <t>Sause, Markus G. R.</t>
  </si>
  <si>
    <t>Politische Bildung in Aktion : Eine Qualitative Studie Zur Rekonstruktion Von Selbstbestimmten Bildungserfahrungen in Politischen Jugendinitiativen</t>
  </si>
  <si>
    <t>Kenner, Steve</t>
  </si>
  <si>
    <t>https://ebookcentral.proquest.com/lib/istinye/detail.action?docID=6733487</t>
  </si>
  <si>
    <t>Le Bien-être des Animaux D'élevage : Comprendre le Bien-être Animal</t>
  </si>
  <si>
    <t>Le Bananier Plantain : Enjeux Socio-économiques et Techniques</t>
  </si>
  <si>
    <t>Kwa, Moïse</t>
  </si>
  <si>
    <t>Carrières D'halieutes : Histoires de Mer et de Passions</t>
  </si>
  <si>
    <t>Gascuel, Didier</t>
  </si>
  <si>
    <t>https://ebookcentral.proquest.com/lib/istinye/detail.action?docID=6733958</t>
  </si>
  <si>
    <t>Strategic Management of Agricultural and Life Sciences Research Organisations : Interfaces, Processes and Contents</t>
  </si>
  <si>
    <t>Heimann, Bettina</t>
  </si>
  <si>
    <t>Agroforesterie et Services écosystémiques en Zone Tropicale : Recherche de Compromis Entre Services d'approvisionnement et Autres Services écosystémiques</t>
  </si>
  <si>
    <t>Seghieri, Josiane</t>
  </si>
  <si>
    <t>Sugar Beet : A Competitive Innovation</t>
  </si>
  <si>
    <t>Grassland Use in Europe : A Syllabus for Young Farmers</t>
  </si>
  <si>
    <t>Pol-van Dasselaar, Agnes van den</t>
  </si>
  <si>
    <t>La Betterave Sucrière : L'innovation Compétitive</t>
  </si>
  <si>
    <t>L' eau en Milieu Agricole : Outils et Méthodes Pour une Gestion Intégrée et Territoriale</t>
  </si>
  <si>
    <t>Leenhardt, Delphine</t>
  </si>
  <si>
    <t>Des Choses de la Nature et de Leurs Droits</t>
  </si>
  <si>
    <t>Sciences en Questions Ser.</t>
  </si>
  <si>
    <t>Vanuxem, Sarah</t>
  </si>
  <si>
    <t>Services écosystémiques et Protection des Sols : Analyses Juridiques et éclairages Agronomiques</t>
  </si>
  <si>
    <t>Hermon, Carole</t>
  </si>
  <si>
    <t>https://ebookcentral.proquest.com/lib/istinye/detail.action?docID=6733971</t>
  </si>
  <si>
    <t>Du Comportement Végétal à l'intelligence des Plantes ?</t>
  </si>
  <si>
    <t>Hiernaux, Quentin</t>
  </si>
  <si>
    <t>One Health, une Seule Santé : Théorie et Pratique des Approches Intégrées de la Santé</t>
  </si>
  <si>
    <t>Zinsstag, Jakob</t>
  </si>
  <si>
    <t>Grasslands and Herbivore Production in Europe and Effects of Common Policies</t>
  </si>
  <si>
    <t>Agroécologie : des Recherches Pour la Transition des Filières et des Territoires</t>
  </si>
  <si>
    <t>Les légumineuses Pour des Systèmes Agricoles et Alimentaires Durables</t>
  </si>
  <si>
    <t>Schneider, Anne</t>
  </si>
  <si>
    <t>Gestion des Territoires Ruraux : Connaissances et Méthodes Pour la décision Publique Tomes 1 Et 2</t>
  </si>
  <si>
    <t>Pivot, Jean-Marc</t>
  </si>
  <si>
    <t>https://ebookcentral.proquest.com/lib/istinye/detail.action?docID=6733994</t>
  </si>
  <si>
    <t>La Transition Numérique Dans la Recherche et l'enseignement Supérieur à L'horizon 2040</t>
  </si>
  <si>
    <t>Barzman, Marco</t>
  </si>
  <si>
    <t>La Transformation des Grains</t>
  </si>
  <si>
    <t>Le Manioc, Entre Culture Alimentaire et Filière Agro-Industrielle</t>
  </si>
  <si>
    <t>Vernier, Philippe</t>
  </si>
  <si>
    <t>La Santé Globale Au Prisme de l'analyse des Politiques Publiques</t>
  </si>
  <si>
    <t>Gardon, Sébastien</t>
  </si>
  <si>
    <t>Piloter la Fertilisation du Palmier à Huile</t>
  </si>
  <si>
    <t>Savoir Faire Ser.</t>
  </si>
  <si>
    <t>Dubos, Bernard</t>
  </si>
  <si>
    <t>Réaménagement Forestier des Carrières de Granulats</t>
  </si>
  <si>
    <t>Piedallu, Christian</t>
  </si>
  <si>
    <t>Into the Woods : Overlapping Perspectives on the History of Ancien Forest</t>
  </si>
  <si>
    <t>Paradis-Grenouillet, Sandrine</t>
  </si>
  <si>
    <t>Parasites et Parasitoses des Poissons</t>
  </si>
  <si>
    <t>de Kinkelin, Pierre</t>
  </si>
  <si>
    <t>Stratégies des Filières Fromagères Sous AOP en Europe : Modes de Régulation et Performance économique</t>
  </si>
  <si>
    <t>Jeanneaux, Philippe</t>
  </si>
  <si>
    <t>https://ebookcentral.proquest.com/lib/istinye/detail.action?docID=6734008</t>
  </si>
  <si>
    <t>De Grands défis et des Solutions Pour L'élevage : INRA Productions Animales 02/19 Vol 32</t>
  </si>
  <si>
    <t>INRA Productions Animales Ser.</t>
  </si>
  <si>
    <t>Baumont, René</t>
  </si>
  <si>
    <t>https://ebookcentral.proquest.com/lib/istinye/detail.action?docID=6734010</t>
  </si>
  <si>
    <t>Potabilisation des Eaux de Surface en Afrique de L'Ouest : Solutions Techniques Adaptées de l'expérience de la Vallée du Fleuve Sénégal</t>
  </si>
  <si>
    <t>David, édéric</t>
  </si>
  <si>
    <t>Manger en Ville : Regards Socio-Anthropologiques d'Afrique, d'Amérique Latine et D'Asie</t>
  </si>
  <si>
    <t>Sociologie des Changements de Pratiques en Agriculture : L'apport de l'étude des Réseaux de Dialogues Entre Pairs</t>
  </si>
  <si>
    <t>Compagnone, Claude</t>
  </si>
  <si>
    <t>https://ebookcentral.proquest.com/lib/istinye/detail.action?docID=6734015</t>
  </si>
  <si>
    <t>Restaurer les Milieux et Prévenir les Inondations Grâce Au Génie Végétal</t>
  </si>
  <si>
    <t>Rey, Freddy</t>
  </si>
  <si>
    <t>https://ebookcentral.proquest.com/lib/istinye/detail.action?docID=6734019</t>
  </si>
  <si>
    <t>Filière forêt-Bois et Atténuation du Changement Climatique : Entre Séquestration du Carbone en forêt et développement de la Bioéconomie</t>
  </si>
  <si>
    <t>Roux, Alice</t>
  </si>
  <si>
    <t>Une Troisième Voie Entre l'État et le Marché : Échanges Avec Elinor Ostrom</t>
  </si>
  <si>
    <t>Antona, Martine</t>
  </si>
  <si>
    <t>Guide de Gestion des Dunes et des Plages Associées</t>
  </si>
  <si>
    <t>Guide Pratique Ser.</t>
  </si>
  <si>
    <t>Gouguet, Loïc</t>
  </si>
  <si>
    <t>https://ebookcentral.proquest.com/lib/istinye/detail.action?docID=6734026</t>
  </si>
  <si>
    <t>Les Terres Agricoles Face à L'urbanisation : De la Donnée à l'action, Quels Rôles Pour L'information ?</t>
  </si>
  <si>
    <t>Plant, Roel</t>
  </si>
  <si>
    <t>Sols Artificialisés : Déterminants, Impacts et Leviers D'action</t>
  </si>
  <si>
    <t>Desrousseaux, Maylis</t>
  </si>
  <si>
    <t>Stratégies de Publication Scientifique</t>
  </si>
  <si>
    <t>Volland-Nail, Patricia</t>
  </si>
  <si>
    <t>https://ebookcentral.proquest.com/lib/istinye/detail.action?docID=6734037</t>
  </si>
  <si>
    <t>Quelles Agricultures Irriguées Demain ? : Répondre Aux Enjeux de Sécurité Alimentaire et du développement Durable</t>
  </si>
  <si>
    <t>Bouarfa, Sami</t>
  </si>
  <si>
    <t>Emergence of Infectious Diseases : Risks and Issues for Societies</t>
  </si>
  <si>
    <t>Réaménagement Agricole des Carrières de Granulats</t>
  </si>
  <si>
    <t>Impacts et Services Issus des élevages Européens</t>
  </si>
  <si>
    <t>Dumont, Bertrand</t>
  </si>
  <si>
    <t>Biomasse : Une Histoire de Richesse et de Puissance</t>
  </si>
  <si>
    <t>Bioeconomy Challenges and Implementation: the European Research Organisations' Perspective</t>
  </si>
  <si>
    <t>The Forestry and Wood Sector and Climate Change Mitigation : From Carbon Sequestration in Forests to the Development of the Bioeconomy</t>
  </si>
  <si>
    <t>Geophysical and Geotechnical Methods for Diagnosing Flood Protection Dikes : Guide for Implementation and Interpretation</t>
  </si>
  <si>
    <t>Turner, Richard</t>
  </si>
  <si>
    <t>Oyapock et Maroni : Portraits d'estuaires Amazoniens</t>
  </si>
  <si>
    <t>Gardel, Antoine</t>
  </si>
  <si>
    <t>Climatiser le Monde</t>
  </si>
  <si>
    <t>C. Aykut, Stefan</t>
  </si>
  <si>
    <t>https://ebookcentral.proquest.com/lib/istinye/detail.action?docID=6734066</t>
  </si>
  <si>
    <t>Dynamique des élevages Pastoraux et Agropastoraux en Afrique Intertropicale</t>
  </si>
  <si>
    <t>Richard, Didier</t>
  </si>
  <si>
    <t>Can Organic Agriculture Cope Without Copper for Disease Control? : Synthesis of the Collective Scientific Assessment Report</t>
  </si>
  <si>
    <t>La Panification Au Levain Naturel : Glossaire des Savoirs</t>
  </si>
  <si>
    <t>Roussel, Philippe</t>
  </si>
  <si>
    <t>Lexique Hydrologique Pour L'ingénieur</t>
  </si>
  <si>
    <t>https://ebookcentral.proquest.com/lib/istinye/detail.action?docID=6734076</t>
  </si>
  <si>
    <t>Les Zoonoses : Ces Maladies Qui Nous Lient Aux Animaux</t>
  </si>
  <si>
    <t>Vourc'h, Gwenaël</t>
  </si>
  <si>
    <t>Eaux et forêts. la forêt : un Outil de Gestion des Eaux ?</t>
  </si>
  <si>
    <t>Écosystèmes Forestiers Ser.</t>
  </si>
  <si>
    <t>Lavabre, Jacques</t>
  </si>
  <si>
    <t>Pesticides : Des Impacts Aux Changements de Pratiques</t>
  </si>
  <si>
    <t>Charbonnier, Edwige</t>
  </si>
  <si>
    <t>Artificialized Land and Land Take : Drivers, Impacts and Potential Responses</t>
  </si>
  <si>
    <t>Innovation and Development in Agricultural and Food Systems</t>
  </si>
  <si>
    <t>L' influence Humaine Dans l'origine des Crues : État de l'art et Actes du Colloque</t>
  </si>
  <si>
    <t>Leblois, Étienne</t>
  </si>
  <si>
    <t>https://ebookcentral.proquest.com/lib/istinye/detail.action?docID=6734100</t>
  </si>
  <si>
    <t>La Systémique Agraire à L'INRA : Histoire d'une Dissidence</t>
  </si>
  <si>
    <t>New Directions in the History of the Jews in the Polish Lands</t>
  </si>
  <si>
    <t>Polonsky, Antony</t>
  </si>
  <si>
    <t>Neighbourhoods in Transition : Brownfield Regeneration in European Metropolitan Areas</t>
  </si>
  <si>
    <t>Rey, Emmanuel</t>
  </si>
  <si>
    <t>The Persistence of Memory : Remembering Slavery in Liverpool, 'slaving Capital of the World'</t>
  </si>
  <si>
    <t>Liverpool Studies in International Slavery Ser.</t>
  </si>
  <si>
    <t>Moody, Jessica</t>
  </si>
  <si>
    <t>https://ebookcentral.proquest.com/lib/istinye/detail.action?docID=6734874</t>
  </si>
  <si>
    <t>Reconstructing Public Housing : Liverpool's Hidden History of Collective Alternatives</t>
  </si>
  <si>
    <t>Thompson, Matthew</t>
  </si>
  <si>
    <t>https://ebookcentral.proquest.com/lib/istinye/detail.action?docID=6734877</t>
  </si>
  <si>
    <t>A Stage of Emancipation : Change and Progress at the Dublin Gate Theatre</t>
  </si>
  <si>
    <t>Corporaal, Marguérite</t>
  </si>
  <si>
    <t>From Slavery to Civil Rights : On the Streetcars of New Orleans 1830s-Present</t>
  </si>
  <si>
    <t>McLaughlin-Stonham, Hilary</t>
  </si>
  <si>
    <t>https://ebookcentral.proquest.com/lib/istinye/detail.action?docID=6734879</t>
  </si>
  <si>
    <t>Abrahamic Reflections on Randomness and Providence</t>
  </si>
  <si>
    <t>Clark, Kelly James</t>
  </si>
  <si>
    <t>Preparing for Digital Disruption</t>
  </si>
  <si>
    <t>Schrijvers, Erik</t>
  </si>
  <si>
    <t>Negotiating Climate Change in Crisis</t>
  </si>
  <si>
    <t>Böhm, Steffen</t>
  </si>
  <si>
    <t>Consensus or Conflict? : China and Globalization in the 21st Century</t>
  </si>
  <si>
    <t>China and Globalization Ser.</t>
  </si>
  <si>
    <t>Wang, Huiyao</t>
  </si>
  <si>
    <t>Spillways on River Levees</t>
  </si>
  <si>
    <t>Critical Landscape Planning During the Belt and Road Initiative</t>
  </si>
  <si>
    <t>Kelly, Ashley Scott</t>
  </si>
  <si>
    <t>Global Pathways to Education : Cultural Spheres, Networks, and International Organizations</t>
  </si>
  <si>
    <t>Evidence-Based School Development in Changing Demographic Contexts</t>
  </si>
  <si>
    <t>Studies in Educational Leadership Ser.</t>
  </si>
  <si>
    <t>Ylimaki, Rose M.</t>
  </si>
  <si>
    <t>Mobile Edge Computing</t>
  </si>
  <si>
    <t>Zhang, Yan</t>
  </si>
  <si>
    <t>https://ebookcentral.proquest.com/lib/istinye/detail.action?docID=6739189</t>
  </si>
  <si>
    <t>Chinese Water Systems : Volume 4: Applied Water Management in China</t>
  </si>
  <si>
    <t>Dohmann, Max</t>
  </si>
  <si>
    <t>The Life of Breath in Literature, Culture and Medicine : Classical to Contemporary</t>
  </si>
  <si>
    <t>Fuller, David</t>
  </si>
  <si>
    <t>Implementing BetterBack – a Best Practice Physiotherapy Healthcare Model for Low Back Pain : Clinician and Patient Evaluation</t>
  </si>
  <si>
    <t>Schröder, Karin</t>
  </si>
  <si>
    <t>https://ebookcentral.proquest.com/lib/istinye/detail.action?docID=6739213</t>
  </si>
  <si>
    <t>Organic Bioelectronic Devices for Selective Biomarker Sensing : Towards Integration with Living Systems</t>
  </si>
  <si>
    <t>Diacci, Chiara</t>
  </si>
  <si>
    <t>https://ebookcentral.proquest.com/lib/istinye/detail.action?docID=6739214</t>
  </si>
  <si>
    <t>Social Robots as Intentional Agents</t>
  </si>
  <si>
    <t>Thellman, Sam</t>
  </si>
  <si>
    <t>https://ebookcentral.proquest.com/lib/istinye/detail.action?docID=6739215</t>
  </si>
  <si>
    <t>Impact of different interventions on cardiovascular risk factors</t>
  </si>
  <si>
    <t>Vergara, Marta</t>
  </si>
  <si>
    <t>https://ebookcentral.proquest.com/lib/istinye/detail.action?docID=6739216</t>
  </si>
  <si>
    <t>Autonomous Avoidance Maneuvers for Vehicles using Optimization</t>
  </si>
  <si>
    <t>Anistratov, Pavel</t>
  </si>
  <si>
    <t>https://ebookcentral.proquest.com/lib/istinye/detail.action?docID=6739217</t>
  </si>
  <si>
    <t>Interface-Assisted Perovskite Modulations for High-Performance Light-Emitting Diodes</t>
  </si>
  <si>
    <t>Kuang, Chaoyang</t>
  </si>
  <si>
    <t>https://ebookcentral.proquest.com/lib/istinye/detail.action?docID=6739219</t>
  </si>
  <si>
    <t>Analyse Von Transferprozessen in der Entwicklung des Bruchzahlbegriffs : Theoretische Rahmung und Empirische Untersuchung</t>
  </si>
  <si>
    <t>Kollhoff, Sebastian</t>
  </si>
  <si>
    <t>https://ebookcentral.proquest.com/lib/istinye/detail.action?docID=6741290</t>
  </si>
  <si>
    <t>Political Leadership in Contemporary Japan</t>
  </si>
  <si>
    <t>MacDougall, Terry</t>
  </si>
  <si>
    <t>JQ1698</t>
  </si>
  <si>
    <t>https://ebookcentral.proquest.com/lib/istinye/detail.action?docID=6743494</t>
  </si>
  <si>
    <t>The American and Japanese Auto Industries in Transition : Report of the Joint U. S. -Japan Automotive Study</t>
  </si>
  <si>
    <t>International Experience in Developing the Financial Resources of Universities</t>
  </si>
  <si>
    <t>Addressing the Climate Crisis : Local Action in Theory and Practice</t>
  </si>
  <si>
    <t>Howarth, Candice</t>
  </si>
  <si>
    <t>University and School Collaborations During a Pandemic : Sustaining Educational Opportunity and Reinventing Education</t>
  </si>
  <si>
    <t>Knowledge Studies in Higher Education Ser.</t>
  </si>
  <si>
    <t>Nachhaltige Entwicklung in Einer Gesellschaft des Umbruchs</t>
  </si>
  <si>
    <t>Blättel-Mink, Birgit</t>
  </si>
  <si>
    <t>La Montée du Niveau de la Mer D'ici 2100 : Scénarios et Conséquences</t>
  </si>
  <si>
    <t>Lacroix, Denis</t>
  </si>
  <si>
    <t>The Prehistoric Maritime Frontier of Southeast China : Indigenous Bai Yue and Their Oceanic Dispersal</t>
  </si>
  <si>
    <t>The Archaeology of Asia-Pacific Navigation Ser.</t>
  </si>
  <si>
    <t>Wu, Chunming</t>
  </si>
  <si>
    <t>CC77.U5</t>
  </si>
  <si>
    <t>https://ebookcentral.proquest.com/lib/istinye/detail.action?docID=6745788</t>
  </si>
  <si>
    <t>AVENUE21. Connected and Automated Driving: Prospects for Urban Europe</t>
  </si>
  <si>
    <t>Protecting the Fatherland: Lawsuits and Political Debates in Jülich, Hesse-Cassel and Brittany (1642-1655)</t>
  </si>
  <si>
    <t>Studies in the History of Law and Justice Ser.</t>
  </si>
  <si>
    <t>Romein, Christel Annemieke</t>
  </si>
  <si>
    <t>K201-487</t>
  </si>
  <si>
    <t>https://ebookcentral.proquest.com/lib/istinye/detail.action?docID=6747838</t>
  </si>
  <si>
    <t>Complex Event Processing under Uncertainty in RDF Stream Processing</t>
  </si>
  <si>
    <t>Keskisärkkä, Robin</t>
  </si>
  <si>
    <t>https://ebookcentral.proquest.com/lib/istinye/detail.action?docID=6747846</t>
  </si>
  <si>
    <t>Microplastic in the Environment: Pattern and Process</t>
  </si>
  <si>
    <t>Environmental Contamination Remediation and Management Ser.</t>
  </si>
  <si>
    <t>Bank, Michael S.</t>
  </si>
  <si>
    <t>https://ebookcentral.proquest.com/lib/istinye/detail.action?docID=6747976</t>
  </si>
  <si>
    <t>African Land Reform under Economic Liberalisation : States, Chiefs, and Rural Communities</t>
  </si>
  <si>
    <t>Takeuchi, Shinichi</t>
  </si>
  <si>
    <t>https://ebookcentral.proquest.com/lib/istinye/detail.action?docID=6748746</t>
  </si>
  <si>
    <t>Wadi Flash Floods : Challenges and Advanced Approaches for Disaster Risk Reduction</t>
  </si>
  <si>
    <t>Natural Disaster Science and Mitigation Engineering: DPRI Reports</t>
  </si>
  <si>
    <t>Sumi, Tetsuya</t>
  </si>
  <si>
    <t>Datenreiche Medizin und das Problem der Einwilligung : Ethische, Rechtliche und Sozialwissenschaftliche Perspektiven</t>
  </si>
  <si>
    <t>Richter, Gesine</t>
  </si>
  <si>
    <t>Umrisse Einer Dritten Kultur Im Interdisziplinären Zusammenspiel Zwischen Literatur und Naturwissenschaft : Jahrbuch des Instituts Für Moderne Fremdsprachen an der Naturwissenschaftlich-Technischen Universität Norwegens (NTNU) in Trondheim</t>
  </si>
  <si>
    <t>ELECTRISCHER PROMETHEUS. Umrisse Einer Dritten Kultur Im Interdisziplinären Zusammenspiel Zwischen Literatur und Naturwissenschaft Ser.</t>
  </si>
  <si>
    <t>Neumann, Bernd</t>
  </si>
  <si>
    <t>PN770-779</t>
  </si>
  <si>
    <t>https://ebookcentral.proquest.com/lib/istinye/detail.action?docID=6749217</t>
  </si>
  <si>
    <t>The New Politics of Numbers : Utopia, Evidence and Democracy</t>
  </si>
  <si>
    <t>Executive Politics and Governance Ser.</t>
  </si>
  <si>
    <t>Mennicken, Andrea</t>
  </si>
  <si>
    <t>Mastering Uncertainty in Mechanical Engineering</t>
  </si>
  <si>
    <t>Die Formation des literarischen Humors : Ein psychoanalytischer Beitrag zur bürgerlichen Subjektivität</t>
  </si>
  <si>
    <t>transcript</t>
  </si>
  <si>
    <t>transcript Verlag</t>
  </si>
  <si>
    <t>Lettre</t>
  </si>
  <si>
    <t>Hörhammer, Dieter</t>
  </si>
  <si>
    <t>https://ebookcentral.proquest.com/lib/istinye/detail.action?docID=6749466</t>
  </si>
  <si>
    <t>Religion und Disability : Behinderung und Befähigung in religiösen Kontexten. Eine religionswissenschaftliche Untersuchung</t>
  </si>
  <si>
    <t>Religionswissenschaft</t>
  </si>
  <si>
    <t>Jelinek-Menke, Ramona</t>
  </si>
  <si>
    <t>https://ebookcentral.proquest.com/lib/istinye/detail.action?docID=6749647</t>
  </si>
  <si>
    <t>Aufbruch in die Öffentlichkeit? : Reflexionen zum ›public turn‹ in der Religionspädagogik</t>
  </si>
  <si>
    <t>Grümme, Bernhard</t>
  </si>
  <si>
    <t>https://ebookcentral.proquest.com/lib/istinye/detail.action?docID=6749729</t>
  </si>
  <si>
    <t>Unbegleitete minderjährige Geflüchtete : Ihre Lebenssituationen und Perspektiven in Deutschland</t>
  </si>
  <si>
    <t>Kultur und soziale Praxis</t>
  </si>
  <si>
    <t>Thomas, Stefan</t>
  </si>
  <si>
    <t>Towards Shared Research : Participatory and Integrative Approaches in Researching African Environments</t>
  </si>
  <si>
    <t>Haller, Tobias</t>
  </si>
  <si>
    <t>Lehrer_in, Migration und Differenz : Fragen der Zugehörigkeit bei Grundschullehrer_innen der zweiten Einwanderungsgeneration in der Schweiz</t>
  </si>
  <si>
    <t>Mantel, Carola</t>
  </si>
  <si>
    <t>https://ebookcentral.proquest.com/lib/istinye/detail.action?docID=6749923</t>
  </si>
  <si>
    <t>»Solidarität zuerst« : Zur Neuentdeckung einer politischen Idee</t>
  </si>
  <si>
    <t>Edition Politik</t>
  </si>
  <si>
    <t>Kracht, Hermann-Josef Große</t>
  </si>
  <si>
    <t>https://ebookcentral.proquest.com/lib/istinye/detail.action?docID=6750107</t>
  </si>
  <si>
    <t>Kämpfe um Migrationspolitik seit 2015 : Zur Transformation des europäischen Migrationsregimes</t>
  </si>
  <si>
    <t>Buckel, Sonja</t>
  </si>
  <si>
    <t>Narrative Mechanics : Strategies and Meanings in Games and Real Life</t>
  </si>
  <si>
    <t>Edition Medienwissenschaft</t>
  </si>
  <si>
    <t>Suter, Beat</t>
  </si>
  <si>
    <t>Jahrbuch Für Kulturpolitik 2019/20 : Kultur. Macht. Heimaten. Heimat Als Kulturpolitische Herausforderung</t>
  </si>
  <si>
    <t>Jahrbuch Für Kulturpolitik Ser.</t>
  </si>
  <si>
    <t>Sievers, Norbert</t>
  </si>
  <si>
    <t>Religion in der Schule : Pädagogische Praxis zwischen Diskriminierung und Anerkennung</t>
  </si>
  <si>
    <t>Pädagogik</t>
  </si>
  <si>
    <t>Willems, Joachim</t>
  </si>
  <si>
    <t>https://ebookcentral.proquest.com/lib/istinye/detail.action?docID=6750416</t>
  </si>
  <si>
    <t>Frei, fair und lebendig - Die Macht der Commons</t>
  </si>
  <si>
    <t>Neue Ökonomie</t>
  </si>
  <si>
    <t>Mediated Bordering : Eurosur, the Refugee Boat, and the Construction of an External EU Border</t>
  </si>
  <si>
    <t>Ellebrecht, Sabrina</t>
  </si>
  <si>
    <t>JN30.E37 2020</t>
  </si>
  <si>
    <t>https://ebookcentral.proquest.com/lib/istinye/detail.action?docID=6750588</t>
  </si>
  <si>
    <t>Transnationalizing Radio Research : New Approaches to an Old Medium</t>
  </si>
  <si>
    <t>Föllmer, Golo</t>
  </si>
  <si>
    <t>Jahrbuch Migration und Gesellschaft / Yearbook Migration and Society 2020/2021 : Focus »Beyond Borders«</t>
  </si>
  <si>
    <t>Jahrbuch Migration und Gesellschaft / Yearbook Migration and Society</t>
  </si>
  <si>
    <t>Warum treffen sich soziale Bewegungen? : Vom Wert der Begegnung: Interaktionssoziologische Perspektiven auf das Weltsozialforum</t>
  </si>
  <si>
    <t>Soziale Bewegung und Protest</t>
  </si>
  <si>
    <t>Manthe, Rainald</t>
  </si>
  <si>
    <t>https://ebookcentral.proquest.com/lib/istinye/detail.action?docID=6750671</t>
  </si>
  <si>
    <t>The Democratization of Artificial Intelligence : Net Politics in the Era of Learning Algorithms</t>
  </si>
  <si>
    <t>KI-Kritik / AI Critique</t>
  </si>
  <si>
    <t>Sudmann, Andreas</t>
  </si>
  <si>
    <t>https://ebookcentral.proquest.com/lib/istinye/detail.action?docID=6750672</t>
  </si>
  <si>
    <t>Maritime Poetics : From Coast to Hinterland</t>
  </si>
  <si>
    <t>Edition Kulturwissenschaft</t>
  </si>
  <si>
    <t>Gee, Gabriel N.</t>
  </si>
  <si>
    <t>Historisches Lernen und Materielle Kultur : Von Dingen und Objekten in der Geschichtsdidaktik</t>
  </si>
  <si>
    <t>Public History - Angewandte Geschichte</t>
  </si>
  <si>
    <t>Barsch, Sebastian</t>
  </si>
  <si>
    <t>Student und Demokratie : Das politische Potenzial deutscher Studierender in Geschichte und Gegenwart</t>
  </si>
  <si>
    <t>Studien des Göttinger Instituts für Demokratieforschung zur Geschichte politischer und gesellschaftlicher Kontroversen</t>
  </si>
  <si>
    <t>Schenke, Julian</t>
  </si>
  <si>
    <t>LA728.7.S333 2020</t>
  </si>
  <si>
    <t>https://ebookcentral.proquest.com/lib/istinye/detail.action?docID=6750764</t>
  </si>
  <si>
    <t>Sterbeorte : Über eine neue Sichtbarkeit des Sterbens in der Architektur</t>
  </si>
  <si>
    <t>Architekturen</t>
  </si>
  <si>
    <t>Voigt, Katharina</t>
  </si>
  <si>
    <t>https://ebookcentral.proquest.com/lib/istinye/detail.action?docID=6750765</t>
  </si>
  <si>
    <t>The Decline of Marriage in Namibia : Kinship and Social Class in a Rural Community</t>
  </si>
  <si>
    <t>Pauli, Julia</t>
  </si>
  <si>
    <t>https://ebookcentral.proquest.com/lib/istinye/detail.action?docID=6750891</t>
  </si>
  <si>
    <t>Imagined Economies - Real Fictions : New Perspectives on Economic Thinking in Great Britain</t>
  </si>
  <si>
    <t>Fischer, Jessica</t>
  </si>
  <si>
    <t>Curating Contemporary Music Festivals : A New Perspective on Music's Mediation</t>
  </si>
  <si>
    <t>Musik und Klangkultur</t>
  </si>
  <si>
    <t>Farnsworth, Brandon</t>
  </si>
  <si>
    <t>https://ebookcentral.proquest.com/lib/istinye/detail.action?docID=6751046</t>
  </si>
  <si>
    <t>Politiken der Generativität : Reproduktive Gesundheit, Bevölkerung und Geschlecht. Das Beispiel der Weltgesundheitsorganisation</t>
  </si>
  <si>
    <t>Gender Studies</t>
  </si>
  <si>
    <t>Schutzbach, Franziska</t>
  </si>
  <si>
    <t>https://ebookcentral.proquest.com/lib/istinye/detail.action?docID=6751059</t>
  </si>
  <si>
    <t>Nationale Hoffnung und konservative Enttäuschung : Zum Wandel des konservativen Nationenverständnisses nach der deutschen Vereinigung</t>
  </si>
  <si>
    <t>Finkbeiner, Florian</t>
  </si>
  <si>
    <t>JC573.2.G3F56 2020</t>
  </si>
  <si>
    <t>https://ebookcentral.proquest.com/lib/istinye/detail.action?docID=6751064</t>
  </si>
  <si>
    <t>The Bureaucratic Production of Difference : Ethos and Ethics in Migration Administrations</t>
  </si>
  <si>
    <t>Eckert, Julia M.</t>
  </si>
  <si>
    <t>https://ebookcentral.proquest.com/lib/istinye/detail.action?docID=6751170</t>
  </si>
  <si>
    <t>Sich selbst vergleichen : Zur Relationalität autobiographischen Schreibens vom 12. Jahrhundert bis zur Gegenwart</t>
  </si>
  <si>
    <t>Histoire</t>
  </si>
  <si>
    <t>Arlinghaus, Franz-Josef</t>
  </si>
  <si>
    <t>Reflexive Responsibilisierung : Verantwortung für nachhaltige Entwicklung</t>
  </si>
  <si>
    <t>Sozialtheorie</t>
  </si>
  <si>
    <t>Henkel, Anna</t>
  </si>
  <si>
    <t>Autonomie und Kalkulation : Zur Praxis gesellschaftlicher Ökonomisierung im Gesundheits- und Krankenhauswesen</t>
  </si>
  <si>
    <t>Arbeit und Organisation</t>
  </si>
  <si>
    <t>Molzberger, Kaspar</t>
  </si>
  <si>
    <t>https://ebookcentral.proquest.com/lib/istinye/detail.action?docID=6751348</t>
  </si>
  <si>
    <t>Knowing in Performing : Artistic Research in Music and the Performing Arts</t>
  </si>
  <si>
    <t>Huber, Annegret</t>
  </si>
  <si>
    <t>Robotic Knitting : Re-Crafting Human-Robot Collaboration Through Careful Coboting</t>
  </si>
  <si>
    <t>Science Studies</t>
  </si>
  <si>
    <t>Treusch, Pat</t>
  </si>
  <si>
    <t>https://ebookcentral.proquest.com/lib/istinye/detail.action?docID=6751405</t>
  </si>
  <si>
    <t>Als Andere unter Anderen : Darstellungen des Füreinander als Weg zur Solidarität</t>
  </si>
  <si>
    <t>Edition Moderne Postmoderne</t>
  </si>
  <si>
    <t>Helfritzsch, Paul</t>
  </si>
  <si>
    <t>https://ebookcentral.proquest.com/lib/istinye/detail.action?docID=6751437</t>
  </si>
  <si>
    <t>Die Gabe als drittes Prinzip zwischen Markt und Staat? : Perspektiven von Marcel Mauss bis zur Gegenwart</t>
  </si>
  <si>
    <t>Frick, Marc</t>
  </si>
  <si>
    <t>https://ebookcentral.proquest.com/lib/istinye/detail.action?docID=6751477</t>
  </si>
  <si>
    <t>Eingeschlossene Räume : Das Motiv der Box im Film</t>
  </si>
  <si>
    <t>Film</t>
  </si>
  <si>
    <t>Zettl, Nepomuk</t>
  </si>
  <si>
    <t>https://ebookcentral.proquest.com/lib/istinye/detail.action?docID=6751646</t>
  </si>
  <si>
    <t>Contested Solidarity : Practices of Refugee Support between Humanitarian Help and Political Activism</t>
  </si>
  <si>
    <t>Fleischmann, Larissa</t>
  </si>
  <si>
    <t>https://ebookcentral.proquest.com/lib/istinye/detail.action?docID=6751649</t>
  </si>
  <si>
    <t>Großerzählungen des Extremen : Neue Rechte, Populismus, Islamismus, War on Terror</t>
  </si>
  <si>
    <t>X-Texte zu Kultur und Gesellschaft</t>
  </si>
  <si>
    <t>Schellhöh, Jennifer</t>
  </si>
  <si>
    <t>Private Daten : Unsere Spuren in der digitalen Welt</t>
  </si>
  <si>
    <t>Digitale Gesellschaft</t>
  </si>
  <si>
    <t>Wiesner, Barbara</t>
  </si>
  <si>
    <t>https://ebookcentral.proquest.com/lib/istinye/detail.action?docID=6751936</t>
  </si>
  <si>
    <t>Die Berater : Ihr Wirken in Staat und Gesellschaft</t>
  </si>
  <si>
    <t>X-Texte Zu Kultur und Gesellschaft Ser.</t>
  </si>
  <si>
    <t>Rügemer, Werner</t>
  </si>
  <si>
    <t>https://ebookcentral.proquest.com/lib/istinye/detail.action?docID=6752054</t>
  </si>
  <si>
    <t>Studies in the Arts - Neue Perspektiven auf Forschung über, in und durch Kunst und Design</t>
  </si>
  <si>
    <t>Image</t>
  </si>
  <si>
    <t>Gartmann, Thomas</t>
  </si>
  <si>
    <t>Kunstlabore: Für mehr Kunst in Schulen! : Ein Ratgeber zur Qualität künstlerischer Arbeit in Schulen</t>
  </si>
  <si>
    <t>Heisig, Julia</t>
  </si>
  <si>
    <t>Judith Butler und die Theologie : Herausforderung und Rezeption</t>
  </si>
  <si>
    <t>Fragile Werte : Diskurs und Praxis der Restaurierungswissenschaften 1913-2014</t>
  </si>
  <si>
    <t>Bäschlin, Nathalie</t>
  </si>
  <si>
    <t>https://ebookcentral.proquest.com/lib/istinye/detail.action?docID=6752170</t>
  </si>
  <si>
    <t>Der literarische Realismus und die illustrierten Printmedien : Literatur im Kontext der Massenmedien und visuellen Kultur des 19. Jahrhunderts</t>
  </si>
  <si>
    <t>Barthold, Willi Wolfgang</t>
  </si>
  <si>
    <t>https://ebookcentral.proquest.com/lib/istinye/detail.action?docID=6752238</t>
  </si>
  <si>
    <t>Glück und Nachhaltigkeit : Subjektives Wohlbefinden als Leitmotiv für nachhaltige Entwicklung</t>
  </si>
  <si>
    <t>Dallmer, Jochen</t>
  </si>
  <si>
    <t>https://ebookcentral.proquest.com/lib/istinye/detail.action?docID=6752262</t>
  </si>
  <si>
    <t>Psychische Erkrankungen in der Arbeitswelt : Analysen und Ansätze zur therapeutischen und betrieblichen Bewältigung</t>
  </si>
  <si>
    <t>Forschung aus der Hans-Böckler-Stiftung</t>
  </si>
  <si>
    <t>Alsdorf, Nora</t>
  </si>
  <si>
    <t>Philipp von Huttens Tod in der Neuen Welt : Ein Kriminalfall, der das koloniale Schreiben in Gang setzte</t>
  </si>
  <si>
    <t>Gujer-Bertschinger, Susanne Andrea</t>
  </si>
  <si>
    <t>https://ebookcentral.proquest.com/lib/istinye/detail.action?docID=6752392</t>
  </si>
  <si>
    <t>Music - Media - History : Re-Thinking Musicology in an Age of Digital Media</t>
  </si>
  <si>
    <t>Santi, Matej</t>
  </si>
  <si>
    <t>Making Democracy - Aushandlungen von Freiheit, Gleichheit und Solidarität im Alltag</t>
  </si>
  <si>
    <t>Rajal, Elke</t>
  </si>
  <si>
    <t>Hinter der glitzernden Fassade : Über die Macht der Informalität in der Kaukasusrepublik Aserbaidschan</t>
  </si>
  <si>
    <t>Safiyev, Rail</t>
  </si>
  <si>
    <t>https://ebookcentral.proquest.com/lib/istinye/detail.action?docID=6752643</t>
  </si>
  <si>
    <t>Monospace and Multiverse : Exploring Space with Actor-Network-Theory</t>
  </si>
  <si>
    <t>Materialitäten</t>
  </si>
  <si>
    <t>Hansmann, Sabine</t>
  </si>
  <si>
    <t>https://ebookcentral.proquest.com/lib/istinye/detail.action?docID=6752683</t>
  </si>
  <si>
    <t>Islam, Gender, Intersektionalität : Bildungswege junger Frauen in der Schweiz</t>
  </si>
  <si>
    <t>Gasser, Nathalie</t>
  </si>
  <si>
    <t>LC2247.G37 2020</t>
  </si>
  <si>
    <t>https://ebookcentral.proquest.com/lib/istinye/detail.action?docID=6752765</t>
  </si>
  <si>
    <t>Nachhaltige Lebensführung : Praktiken und Transformationspotenziale gemeinschaftlicher Wohnprojekte</t>
  </si>
  <si>
    <t>Soziologie der Nachhaltigkeit</t>
  </si>
  <si>
    <t>Görgen, Benjamin</t>
  </si>
  <si>
    <t>https://ebookcentral.proquest.com/lib/istinye/detail.action?docID=6752817</t>
  </si>
  <si>
    <t>Arts in Context - Kunst, Forschung, Gesellschaft</t>
  </si>
  <si>
    <t>Re-Cording Lives : Governing Asylum in Switzerland and the Need to Resolve</t>
  </si>
  <si>
    <t>Sozial- und Kulturgeographie</t>
  </si>
  <si>
    <t>Pörtner, Ephraim</t>
  </si>
  <si>
    <t>https://ebookcentral.proquest.com/lib/istinye/detail.action?docID=6752904</t>
  </si>
  <si>
    <t>Wikis und die Wikipedia verstehen : Eine Einführung</t>
  </si>
  <si>
    <t>Dijk, Ziko van</t>
  </si>
  <si>
    <t>https://ebookcentral.proquest.com/lib/istinye/detail.action?docID=6752967</t>
  </si>
  <si>
    <t>Stuttgart 21 - eine Rekonstruktion der Proteste : Soziale Bewegungen in Zeiten der Postdemokratie</t>
  </si>
  <si>
    <t>Staden, Julia von</t>
  </si>
  <si>
    <t>https://ebookcentral.proquest.com/lib/istinye/detail.action?docID=6753120</t>
  </si>
  <si>
    <t>Postwachstumsgeographien : Raumbezüge diverser und alternativer Ökonomien</t>
  </si>
  <si>
    <t>Lange, Bastian</t>
  </si>
  <si>
    <t>How to Relate : Wissen, Künste, Praktiken / Knowledge, Arts, Practices</t>
  </si>
  <si>
    <t>Wissen der Künste</t>
  </si>
  <si>
    <t>Haas, Annika</t>
  </si>
  <si>
    <t>Erdgeschichte(n) und Entwicklungsromane : Geologisches Wissen und Subjektkonstitution in der Poetologie der frühen Moderne. Goethes Wanderjahre und Stifters Nachsommer</t>
  </si>
  <si>
    <t>Schär, Kathrin</t>
  </si>
  <si>
    <t>https://ebookcentral.proquest.com/lib/istinye/detail.action?docID=6753200</t>
  </si>
  <si>
    <t>Fridays for Future - Die Jugend gegen den Klimawandel : Konturen der weltweiten Protestbewegung</t>
  </si>
  <si>
    <t>Haunss, Sebastian</t>
  </si>
  <si>
    <t>»Wir machen Stoff« : Die Gewerkschaft Textil-Bekleidung 1949-1998</t>
  </si>
  <si>
    <t>Donath, Peter</t>
  </si>
  <si>
    <t>Kulturen des Reparierens : Dinge - Wissen - Praktiken</t>
  </si>
  <si>
    <t>Krebs, Stefan</t>
  </si>
  <si>
    <t>War der Coronavirus-Lockdown notwendig? : Versuch einer wissenschaftlichen Antwort</t>
  </si>
  <si>
    <t>Richter, Dirk</t>
  </si>
  <si>
    <t>https://ebookcentral.proquest.com/lib/istinye/detail.action?docID=6753578</t>
  </si>
  <si>
    <t>Bürgerwehren in Deutschland : Zwischen Nachbarschaftshilfe und rechtsextremer Raumergreifung</t>
  </si>
  <si>
    <t>Bust-Bartels, Nina Marie</t>
  </si>
  <si>
    <t>https://ebookcentral.proquest.com/lib/istinye/detail.action?docID=6753616</t>
  </si>
  <si>
    <t>Achtsamkeit als kulturelle Praxis : Zu den Selbst-Welt-Modellen eines populären Phänomens</t>
  </si>
  <si>
    <t>Achtsamkeit - Bildung - Medien</t>
  </si>
  <si>
    <t>Schmidt, Jacob</t>
  </si>
  <si>
    <t>https://ebookcentral.proquest.com/lib/istinye/detail.action?docID=6753625</t>
  </si>
  <si>
    <t>Friedensgutachten 2021 : Europa kann mehr!</t>
  </si>
  <si>
    <t>Friedensgutachten</t>
  </si>
  <si>
    <t>BICC Bonn International Centre for Conflict Studies</t>
  </si>
  <si>
    <t>Epistemische Gewalt : Wissen und Herrschaft in der kolonialen Moderne</t>
  </si>
  <si>
    <t>Brunner, Claudia</t>
  </si>
  <si>
    <t>https://ebookcentral.proquest.com/lib/istinye/detail.action?docID=6753721</t>
  </si>
  <si>
    <t>Authority and Authorship in Medieval and Seventeenth Century Women's Visionary Writings</t>
  </si>
  <si>
    <t>Frick, Deborah</t>
  </si>
  <si>
    <t>https://ebookcentral.proquest.com/lib/istinye/detail.action?docID=6753907</t>
  </si>
  <si>
    <t>Religion in Flüchtlingsunterkünften : Sozialanthropologische Perspektiven</t>
  </si>
  <si>
    <t>Powroznik, Natalie</t>
  </si>
  <si>
    <t>https://ebookcentral.proquest.com/lib/istinye/detail.action?docID=6753948</t>
  </si>
  <si>
    <t>»Verworfene Frauenzimmer« : Geschlecht als Kategorie des Wissens vor dem Strafgericht</t>
  </si>
  <si>
    <t>Grütter, Melanie</t>
  </si>
  <si>
    <t>https://ebookcentral.proquest.com/lib/istinye/detail.action?docID=6754027</t>
  </si>
  <si>
    <t>Das zweite konvivialistische Manifest : Für eine post-neoliberale Welt</t>
  </si>
  <si>
    <t>Die konvivialistische Internationale</t>
  </si>
  <si>
    <t>Politik in Fernsehserien : Analysen und Fallstudien zu House of Cards, Borgen &amp; Co.</t>
  </si>
  <si>
    <t>Switek, Niko</t>
  </si>
  <si>
    <t>https://ebookcentral.proquest.com/lib/istinye/detail.action?docID=6754117</t>
  </si>
  <si>
    <t>Zeit im Lebensverlauf : Ein Glossar</t>
  </si>
  <si>
    <t>Schinkel, Sebastian</t>
  </si>
  <si>
    <t>Die Produktion der Konsumgesellschaft : Eine kulturökonomische Grundlegung der feinen Unterschiede</t>
  </si>
  <si>
    <t>Edition transcript</t>
  </si>
  <si>
    <t>Mohr, Ernst</t>
  </si>
  <si>
    <t>https://ebookcentral.proquest.com/lib/istinye/detail.action?docID=6754232</t>
  </si>
  <si>
    <t>After Confucius : Studies in Early Chinese Philosophy</t>
  </si>
  <si>
    <t>University of Hawaii Press</t>
  </si>
  <si>
    <t>Goldin, Paul R.</t>
  </si>
  <si>
    <t>181/.11</t>
  </si>
  <si>
    <t>https://ebookcentral.proquest.com/lib/istinye/detail.action?docID=6754286</t>
  </si>
  <si>
    <t>The New Meatways and Sustainability : Discourses and Social Practices</t>
  </si>
  <si>
    <t>Kanerva, Minna</t>
  </si>
  <si>
    <t>https://ebookcentral.proquest.com/lib/istinye/detail.action?docID=6754564</t>
  </si>
  <si>
    <t>Democratic Citizenship in Flux : Conceptions of Citizenship in the Light of Political and Social Fragmentation</t>
  </si>
  <si>
    <t>Bayer, Markus</t>
  </si>
  <si>
    <t>Im Rauschen der Schweizer Alpen : Eine auditive Ethnographie zu Klang und Kulturpolitik des internationalen Radios</t>
  </si>
  <si>
    <t>Jäggi, Patricia</t>
  </si>
  <si>
    <t>https://ebookcentral.proquest.com/lib/istinye/detail.action?docID=6754848</t>
  </si>
  <si>
    <t>Judith Butler und die Theologie der Freiheit</t>
  </si>
  <si>
    <t>Werner, Gunda</t>
  </si>
  <si>
    <t>BT810.3.W44 2021</t>
  </si>
  <si>
    <t>https://ebookcentral.proquest.com/lib/istinye/detail.action?docID=6754871</t>
  </si>
  <si>
    <t>Religiöse Pluralitäten - Umbrüche in der Wahrnehmung religiöser Vielfalt in Deutschland</t>
  </si>
  <si>
    <t>Klinkhammer, Gritt</t>
  </si>
  <si>
    <t>Wagner - Weimar - Eisenach : Richard Wagner im Spannungsfeld von Kultur und Politik</t>
  </si>
  <si>
    <t>Geyer, Helen</t>
  </si>
  <si>
    <t>Hegemonie und Kulturkampf : Verknüpfung von Neoliberalismus und Islam in der Türkei</t>
  </si>
  <si>
    <t>Babacan, Errol</t>
  </si>
  <si>
    <t>https://ebookcentral.proquest.com/lib/istinye/detail.action?docID=6754966</t>
  </si>
  <si>
    <t>Achtsamkeit und Meditation im Hochschulkontext : 10 Jahre Münchner Modell</t>
  </si>
  <si>
    <t>Bruin, Andreas de</t>
  </si>
  <si>
    <t>https://ebookcentral.proquest.com/lib/istinye/detail.action?docID=6755145</t>
  </si>
  <si>
    <t>Mindfulness and Meditation at University : 10 Years of the Munich Model</t>
  </si>
  <si>
    <t>https://ebookcentral.proquest.com/lib/istinye/detail.action?docID=6755253</t>
  </si>
  <si>
    <t>Material Cultures of Psychiatry</t>
  </si>
  <si>
    <t>Ankele, Monika</t>
  </si>
  <si>
    <t>Normalität und Subjektivierung : Eine biographische Untersuchung im Übergang aus der stationären Jugendhilfe</t>
  </si>
  <si>
    <t>Rein, Angela</t>
  </si>
  <si>
    <t>https://ebookcentral.proquest.com/lib/istinye/detail.action?docID=6755449</t>
  </si>
  <si>
    <t>Arbeit an der Kultur : Margaret Mead, Gregory Bateson und die amerikanische Anthropologie, 1930-1950</t>
  </si>
  <si>
    <t>Neidhöfer, Thilo</t>
  </si>
  <si>
    <t>https://ebookcentral.proquest.com/lib/istinye/detail.action?docID=6755569</t>
  </si>
  <si>
    <t>Wahrheit und Revolution : Studien zur Grundproblematik der Marx'schen Gesellschaftskritik</t>
  </si>
  <si>
    <t>Bohlender, Matthias</t>
  </si>
  <si>
    <t>»Truth« and Fiction : Conspiracy Theories in Eastern European Culture and Literature</t>
  </si>
  <si>
    <t>Deutschmann, Peter</t>
  </si>
  <si>
    <t>100 Jahre Politikwissenschaft in Hamburg : Bruchstücke zu einer Institutsgeschichte</t>
  </si>
  <si>
    <t>Niesen, Peter</t>
  </si>
  <si>
    <t>Zwischen bürgerlicher Identität und musikalischer Profession : Die Geschichte der Philharmonischen Gesellschaft Bremen im 19. Jahrhundert</t>
  </si>
  <si>
    <t>Bock, Katrin</t>
  </si>
  <si>
    <t>https://ebookcentral.proquest.com/lib/istinye/detail.action?docID=6755768</t>
  </si>
  <si>
    <t>Faking, Forging, Counterfeiting : Discredited Practices at the Margins of Mimesis</t>
  </si>
  <si>
    <t>Becker, Daniel</t>
  </si>
  <si>
    <t>Geflüchtetenprotest und Gewerkschaften : Verhandlungen von Repräsentation im deutschen Arbeits- und Migrationsregime</t>
  </si>
  <si>
    <t>Fischer, Oskar Ilja</t>
  </si>
  <si>
    <t>https://ebookcentral.proquest.com/lib/istinye/detail.action?docID=6755980</t>
  </si>
  <si>
    <t>Muslimischsein im Sicherheitsdiskurs : Eine rekonstruktive Studie über den Umgang mit dem Bedrohungsszenario</t>
  </si>
  <si>
    <t>Attia, Iman</t>
  </si>
  <si>
    <t>Obskure Organisationen : Logen, Clubs und Männerbünde als organisationssoziologische Sonderfälle</t>
  </si>
  <si>
    <t>Gibel, Roman</t>
  </si>
  <si>
    <t>https://ebookcentral.proquest.com/lib/istinye/detail.action?docID=6756186</t>
  </si>
  <si>
    <t>Migration in den Alpen : Handlungsspielräume und Perspektiven</t>
  </si>
  <si>
    <t>Graf, Flurina</t>
  </si>
  <si>
    <t>https://ebookcentral.proquest.com/lib/istinye/detail.action?docID=6756231</t>
  </si>
  <si>
    <t>HipHop aus Österreich : Lokale Aspekte einer globalen Kultur</t>
  </si>
  <si>
    <t>Studien zur Popularmusik</t>
  </si>
  <si>
    <t>Dörfler-Trummer, Frederik</t>
  </si>
  <si>
    <t>https://ebookcentral.proquest.com/lib/istinye/detail.action?docID=6756294</t>
  </si>
  <si>
    <t>Flucht und Vertreibung in europäischen Museen : Deutsche, polnische und tschechische Perspektiven im Vergleich</t>
  </si>
  <si>
    <t>Regente, Vincent</t>
  </si>
  <si>
    <t>https://ebookcentral.proquest.com/lib/istinye/detail.action?docID=6756325</t>
  </si>
  <si>
    <t>Ordnungen des Nationalen und die geteilte Welt : Zur Praxis Auswärtiger Kulturpolitik als Konfliktprävention</t>
  </si>
  <si>
    <t>Adam, Jens</t>
  </si>
  <si>
    <t>https://ebookcentral.proquest.com/lib/istinye/detail.action?docID=6756346</t>
  </si>
  <si>
    <t>Medienqualität : Diskurse aus dem Grimme-Institut zu Fernsehen, Internet und Radio</t>
  </si>
  <si>
    <t>Gerlach, Frauke</t>
  </si>
  <si>
    <t>https://ebookcentral.proquest.com/lib/istinye/detail.action?docID=6756400</t>
  </si>
  <si>
    <t>Digital Image Systems : Photography and New Technologies at the Düsseldorf School</t>
  </si>
  <si>
    <t>Gunti, Claus</t>
  </si>
  <si>
    <t>https://ebookcentral.proquest.com/lib/istinye/detail.action?docID=6756521</t>
  </si>
  <si>
    <t>Geflüchtete im Betrieb : Integration und Arbeitsbeziehungen zwischen Ressentiment und Kollegialität</t>
  </si>
  <si>
    <t>HD8488.A2S36 2020</t>
  </si>
  <si>
    <t>https://ebookcentral.proquest.com/lib/istinye/detail.action?docID=6756617</t>
  </si>
  <si>
    <t>Die multiple Identität der Technik : Eine Innovationsbiographie der Augmented Reality-Technologie</t>
  </si>
  <si>
    <t>Technik - Körper - Gesellschaft</t>
  </si>
  <si>
    <t>Lenzen, Kirstin</t>
  </si>
  <si>
    <t>https://ebookcentral.proquest.com/lib/istinye/detail.action?docID=6756633</t>
  </si>
  <si>
    <t>Transfer in der Lehre : Zivilgesellschaftliches Engagement als Zumutung oder Chance für die Hochschulen?</t>
  </si>
  <si>
    <t>Bildungsforschung</t>
  </si>
  <si>
    <t>Kümmel-Schnur, Albert</t>
  </si>
  <si>
    <t>Musical Composition in the Context of Globalization : New Perspectives on Music History in the 20th and 21st Century</t>
  </si>
  <si>
    <t>Utz, Christian</t>
  </si>
  <si>
    <t>Der Hochverrat des Amtmanns Povel Juel : Ein mikrohistorischer Streifzug durch Europas Norden der Frühen Neuzeit</t>
  </si>
  <si>
    <t>Schaad, Martin</t>
  </si>
  <si>
    <t>https://ebookcentral.proquest.com/lib/istinye/detail.action?docID=6756927</t>
  </si>
  <si>
    <t>The Production of Consumer Society : Cultural-Economic Principles of Distinction</t>
  </si>
  <si>
    <t>https://ebookcentral.proquest.com/lib/istinye/detail.action?docID=6756992</t>
  </si>
  <si>
    <t>Philosophie des HipHop : Performen, was an der Zeit ist</t>
  </si>
  <si>
    <t>Manemann, Jürgen</t>
  </si>
  <si>
    <t>Fernbeziehungen : Diffraktionen zu Intimität in medialen Zwischenräumen</t>
  </si>
  <si>
    <t>Scherrer, Madeleine</t>
  </si>
  <si>
    <t>https://ebookcentral.proquest.com/lib/istinye/detail.action?docID=6757105</t>
  </si>
  <si>
    <t>Bildspuren - Sprachspuren : Postkarten als Quellen zur Mehrsprachigkeit in der späten Habsburger Monarchie</t>
  </si>
  <si>
    <t>Almasy, Karin</t>
  </si>
  <si>
    <t>Intersektionale Sozialforschung</t>
  </si>
  <si>
    <t>Ganz, Kathrin</t>
  </si>
  <si>
    <t>Konversation und Geselligkeit : Praxis französischer Salonkultur im Spannungsfeld von Idealität und Realität</t>
  </si>
  <si>
    <t>Schulz, Karin</t>
  </si>
  <si>
    <t>https://ebookcentral.proquest.com/lib/istinye/detail.action?docID=6757150</t>
  </si>
  <si>
    <t>Strange Blood : The Rise and Fall of Lamb Blood Transfusion in 19th Century Medicine and Beyond</t>
  </si>
  <si>
    <t>Medical Humanities</t>
  </si>
  <si>
    <t>Berner, Boel</t>
  </si>
  <si>
    <t>https://ebookcentral.proquest.com/lib/istinye/detail.action?docID=6757205</t>
  </si>
  <si>
    <t>Hoffnung auf eine bessere Vergangenheit : Kollektivierungsdiskurse und ihre Codes der Verräumlichung</t>
  </si>
  <si>
    <t>Re-Figuration von Räumen</t>
  </si>
  <si>
    <t>Kibel, Jochen</t>
  </si>
  <si>
    <t>https://ebookcentral.proquest.com/lib/istinye/detail.action?docID=6757352</t>
  </si>
  <si>
    <t>Liquid Democracy in Deutschland : Zur Zukunft digitaler politischer Entscheidungsfindung nach dem Niedergang der Piratenpartei</t>
  </si>
  <si>
    <t>Adler, Anja</t>
  </si>
  <si>
    <t>https://ebookcentral.proquest.com/lib/istinye/detail.action?docID=6757437</t>
  </si>
  <si>
    <t>Digitalisierung als Distributivkraft : Über das Neue am digitalen Kapitalismus</t>
  </si>
  <si>
    <t>Pfeiffer, Sabine</t>
  </si>
  <si>
    <t>https://ebookcentral.proquest.com/lib/istinye/detail.action?docID=6757455</t>
  </si>
  <si>
    <t>Politik in der digitalen Gesellschaft : Zentrale Problemfelder und Forschungsperspektiven</t>
  </si>
  <si>
    <t>Politik in der digitalen Gesellschaft</t>
  </si>
  <si>
    <t>Hofmann, Jeanette</t>
  </si>
  <si>
    <t>Ambivalenzen pädagogischen Handelns : Reflexionen der Betreuung von Menschen mit ›geistiger Behinderung‹</t>
  </si>
  <si>
    <t>Gesellschaft der Unterschiede</t>
  </si>
  <si>
    <t>Trescher, Hendrik</t>
  </si>
  <si>
    <t>Konzepte der Interkulturalität in der Germanistik weltweit</t>
  </si>
  <si>
    <t>Interkulturelle Germanistik</t>
  </si>
  <si>
    <t>Cornejo, Renata</t>
  </si>
  <si>
    <t>Wie können wir den Schaden maximieren? : Gestaltung trotz Komplexität. Beiträge zu einem Public Interest Design</t>
  </si>
  <si>
    <t>Public Interest Design</t>
  </si>
  <si>
    <t>Rodatz, Christoph</t>
  </si>
  <si>
    <t>Ver-rückte Expertisen : Ethnografische Perspektiven auf Genesungsbegleitung</t>
  </si>
  <si>
    <t>VerKörperungen/MatteRealities - Perspektiven empirischer Wissenschaftsforschung</t>
  </si>
  <si>
    <t>Schmid, Christine</t>
  </si>
  <si>
    <t>https://ebookcentral.proquest.com/lib/istinye/detail.action?docID=6758056</t>
  </si>
  <si>
    <t>Co-Parenting und die Zukunft der Liebe : Über post-romantische Elternschaft</t>
  </si>
  <si>
    <t>Wimbauer, Christine</t>
  </si>
  <si>
    <t>https://ebookcentral.proquest.com/lib/istinye/detail.action?docID=6758082</t>
  </si>
  <si>
    <t>Care trans_formieren : Eine ethnographische Studie zu trans und nicht-binärer Sorgearbeit</t>
  </si>
  <si>
    <t>Queer Studies</t>
  </si>
  <si>
    <t>Seeck, Francis</t>
  </si>
  <si>
    <t>https://ebookcentral.proquest.com/lib/istinye/detail.action?docID=6758110</t>
  </si>
  <si>
    <t>Gilles Deleuze und die Anyone Corporation : Übersetzungsprozesse zwischen Philosophie und Architektur</t>
  </si>
  <si>
    <t>Lausch, Frederike</t>
  </si>
  <si>
    <t>https://ebookcentral.proquest.com/lib/istinye/detail.action?docID=6758211</t>
  </si>
  <si>
    <t>Legal Pluralism in Ethiopia : Actors, Challenges and Solutions</t>
  </si>
  <si>
    <t>Epple, Susanne</t>
  </si>
  <si>
    <t>Der Weltanschauungsroman 2. Ordnung : Probleme literarischer Modellbildung bei Hermann Broch und Robert Musil</t>
  </si>
  <si>
    <t>Schwarzwälder, Florens</t>
  </si>
  <si>
    <t>https://ebookcentral.proquest.com/lib/istinye/detail.action?docID=6758369</t>
  </si>
  <si>
    <t>Die Dialektik der Angewiesenheit : Das sozialpolitische Werk von Eduard Heimann neu lesen</t>
  </si>
  <si>
    <t>Böhnisch, Lothar</t>
  </si>
  <si>
    <t>https://ebookcentral.proquest.com/lib/istinye/detail.action?docID=6758390</t>
  </si>
  <si>
    <t>Thinking of Space Relationally : Critical Realism Beyond Relativism - A Manifold Study of the Artworld in Beijing</t>
  </si>
  <si>
    <t>Urban Studies</t>
  </si>
  <si>
    <t>Gao, Xiaoxue</t>
  </si>
  <si>
    <t>https://ebookcentral.proquest.com/lib/istinye/detail.action?docID=6758570</t>
  </si>
  <si>
    <t>Komplexes Erzählen - Literatur auf 2+n-ter Stufe : Zu einer Theorie literarischer Komplexität</t>
  </si>
  <si>
    <t>Literaturtheorie</t>
  </si>
  <si>
    <t>Steiner, André</t>
  </si>
  <si>
    <t>https://ebookcentral.proquest.com/lib/istinye/detail.action?docID=6758605</t>
  </si>
  <si>
    <t>Die Energiewende im Bundestag: ein politisches Transformationsprojekt? : Eine Diskursanalyse aus feministischer und sozial-ökologischer Perspektive</t>
  </si>
  <si>
    <t>Amri-Henkel, Andrea</t>
  </si>
  <si>
    <t>https://ebookcentral.proquest.com/lib/istinye/detail.action?docID=6758629</t>
  </si>
  <si>
    <t>Creating Learning Spaces : Experiences from Educational Fields</t>
  </si>
  <si>
    <t>Bröcher, Joachim</t>
  </si>
  <si>
    <t>LB3013.B694 2019</t>
  </si>
  <si>
    <t>https://ebookcentral.proquest.com/lib/istinye/detail.action?docID=6758648</t>
  </si>
  <si>
    <t>Leben weben : (Auto-)Biographische Praktiken russischer Autorinnen und Autoren im Internet</t>
  </si>
  <si>
    <t>Howanitz, Gernot</t>
  </si>
  <si>
    <t>https://ebookcentral.proquest.com/lib/istinye/detail.action?docID=6758667</t>
  </si>
  <si>
    <t>Praxeologie in der Historischen Bildungsforschung : Möglichkeiten und Grenzen eines Forschungsansatzes</t>
  </si>
  <si>
    <t>Hoffmann-Ocon, Andreas</t>
  </si>
  <si>
    <t>Ausbildung statt Ausgrenzung : Wie interkulturelle Öffnung und Diversity-Orientierung in Berlins Öffentlichem Dienst und in Landesbetrieben gelingen können</t>
  </si>
  <si>
    <t>Germershausen, Andreas</t>
  </si>
  <si>
    <t>Freiheit wagen! : Ein Essay zur Revolution im 21. Jahrhundert</t>
  </si>
  <si>
    <t>https://ebookcentral.proquest.com/lib/istinye/detail.action?docID=6759008</t>
  </si>
  <si>
    <t>Narratologie und Geschichte : Eine Analyse schottischer Historiografie am Beispiel des »Scotichronicon« und des »Bruce«</t>
  </si>
  <si>
    <t>Mainzer Historische Kulturwissenschaften</t>
  </si>
  <si>
    <t>Hachgenei, Davina</t>
  </si>
  <si>
    <t>https://ebookcentral.proquest.com/lib/istinye/detail.action?docID=6759045</t>
  </si>
  <si>
    <t>Urban Resilience in a Global Context : Actors, Narratives, and Temporalities</t>
  </si>
  <si>
    <t>Brantz, Dorothee</t>
  </si>
  <si>
    <t>Killing and Being Killed: Bodies in Battle : Perspectives on Fighters in the Middle Ages</t>
  </si>
  <si>
    <t>Rogge, Jörg</t>
  </si>
  <si>
    <t>https://ebookcentral.proquest.com/lib/istinye/detail.action?docID=6759152</t>
  </si>
  <si>
    <t>Care Home Stories : Aging, Disability, and Long-Term Residential Care</t>
  </si>
  <si>
    <t>Aging Studies</t>
  </si>
  <si>
    <t>Chivers, Sally</t>
  </si>
  <si>
    <t>Rechtes Denken, rechte Räume? : Demokratiefeindliche Entwicklungen und ihre räumlichen Kontexte</t>
  </si>
  <si>
    <t>Berg, Lynn</t>
  </si>
  <si>
    <t>Practices of Speculation : Modeling, Embodiment, Figuration</t>
  </si>
  <si>
    <t>Cortiel, Jeanne</t>
  </si>
  <si>
    <t>Postmigrantische Visionen : Erfahrungen - Ideen - Reflexionen</t>
  </si>
  <si>
    <t>Postmigrantische Studien</t>
  </si>
  <si>
    <t>Hill, Marc</t>
  </si>
  <si>
    <t>Tanz der Dinge/Things that dance : Jahrbuch TanzForschung 2019</t>
  </si>
  <si>
    <t>TanzForschung</t>
  </si>
  <si>
    <t>Birringer, Johannes</t>
  </si>
  <si>
    <t>Kritik - Selbstaffirmation - Othering : Immanuel Kants Denken der Zweckmässigkeit und die koloniale Episteme</t>
  </si>
  <si>
    <t>Hostettler, Karin</t>
  </si>
  <si>
    <t>https://ebookcentral.proquest.com/lib/istinye/detail.action?docID=6759487</t>
  </si>
  <si>
    <t>Kritik der Gegenwart - Politische Theorie als kritische Zeitdiagnose</t>
  </si>
  <si>
    <t>Flügel-Martinsen, Oliver</t>
  </si>
  <si>
    <t>https://ebookcentral.proquest.com/lib/istinye/detail.action?docID=6759671</t>
  </si>
  <si>
    <t>Von Tierdaten zu Datentieren : Eine Mediengeschichte der elektronischen Tierkennzeichnung und des datengestützten Herdenmanagements</t>
  </si>
  <si>
    <t>Human-Animal Studies</t>
  </si>
  <si>
    <t>Bolinski, Ina</t>
  </si>
  <si>
    <t>https://ebookcentral.proquest.com/lib/istinye/detail.action?docID=6759774</t>
  </si>
  <si>
    <t>Annäherungen an das Unaussprechliche : Ästhetische Erfahrung in kollektiven religiösen Praktiken</t>
  </si>
  <si>
    <t>Schwaderer, Isabella</t>
  </si>
  <si>
    <t>Anders lernen, arbeiten und leben : Für eine Transformation von Pädagogik und Gesellschaft</t>
  </si>
  <si>
    <t>https://ebookcentral.proquest.com/lib/istinye/detail.action?docID=6759838</t>
  </si>
  <si>
    <t>Soziale Welten der Erwachsenenbildung : Eine professionstheoretische Verortung</t>
  </si>
  <si>
    <t>Steiner, Petra H.</t>
  </si>
  <si>
    <t>https://ebookcentral.proquest.com/lib/istinye/detail.action?docID=6759844</t>
  </si>
  <si>
    <t>Im Zwischenraum der beschleunigten Moderne : Eine Bau- und Kulturgeschichte des Wartens auf Eisenbahnen, 1830-1935</t>
  </si>
  <si>
    <t>Kellermann, Robin</t>
  </si>
  <si>
    <t>https://ebookcentral.proquest.com/lib/istinye/detail.action?docID=6759891</t>
  </si>
  <si>
    <t>Mistrust : Ethnographic Approximations</t>
  </si>
  <si>
    <t>Mühlfried, Florian</t>
  </si>
  <si>
    <t>153.4</t>
  </si>
  <si>
    <t>https://ebookcentral.proquest.com/lib/istinye/detail.action?docID=6759898</t>
  </si>
  <si>
    <t>Biopolitics and Historic Justice : Coming to Terms with the Injuries of Normality</t>
  </si>
  <si>
    <t>Braun, Kathrin</t>
  </si>
  <si>
    <t>https://ebookcentral.proquest.com/lib/istinye/detail.action?docID=6759904</t>
  </si>
  <si>
    <t>SONA - Netzwerk Soziologie der Nachhaltigkeit</t>
  </si>
  <si>
    <t>https://ebookcentral.proquest.com/lib/istinye/detail.action?docID=6759913</t>
  </si>
  <si>
    <t>Baustelle Elektromobilität : Sozialwissenschaftliche Perspektiven auf die Transformation der (Auto-)Mobilität</t>
  </si>
  <si>
    <t>Die Kunst des Büchermachens: Autorschaft und Materialität der Literatur zwischen 1765 und 1815</t>
  </si>
  <si>
    <t>Fuchs, Tobias</t>
  </si>
  <si>
    <t>https://ebookcentral.proquest.com/lib/istinye/detail.action?docID=6759952</t>
  </si>
  <si>
    <t>Socializing Development : Transnational Social Movement Advocacy and the Human Rights Accountability of Multilateral Development Banks</t>
  </si>
  <si>
    <t>Schettler, Leon Valentin</t>
  </si>
  <si>
    <t>https://ebookcentral.proquest.com/lib/istinye/detail.action?docID=6760045</t>
  </si>
  <si>
    <t>Democracy, Markets and the Commons : Towards a Reconciliation of Freedom and Ecology</t>
  </si>
  <si>
    <t>Peter, Lukas</t>
  </si>
  <si>
    <t>https://ebookcentral.proquest.com/lib/istinye/detail.action?docID=6760093</t>
  </si>
  <si>
    <t>Anti-Genderismus in Europa : Allianzen von Rechtspopulismus und religiösem Fundamentalismus. Mobilisierung - Vernetzung - Transformation</t>
  </si>
  <si>
    <t>Strube, Sonja A.</t>
  </si>
  <si>
    <t>Southeast Asian Transformations : Urban and Rural Developments in the 21st Century</t>
  </si>
  <si>
    <t>Global Studies</t>
  </si>
  <si>
    <t>Kurfürst, Sandra</t>
  </si>
  <si>
    <t>European Regions : Perspectives, Trends and Developments in the 21st Century</t>
  </si>
  <si>
    <t>Donat, Elisabeth</t>
  </si>
  <si>
    <t>A Poetics of Neurosis : Narratives of Normalcy and Disorder in Cultural and Literary Texts</t>
  </si>
  <si>
    <t>Furlanetto, Elena</t>
  </si>
  <si>
    <t>Sexualität - Geschlecht - Affekt : Sexuelle Scripts als Palimpsest in literarischen Erzähltexten und zeitgenössischen theoretischen Debatten</t>
  </si>
  <si>
    <t>Binswanger, Christa</t>
  </si>
  <si>
    <t>PT749.S48B56 2020</t>
  </si>
  <si>
    <t>https://ebookcentral.proquest.com/lib/istinye/detail.action?docID=6760607</t>
  </si>
  <si>
    <t>Bally - A History of Footwear in the Interwar Period</t>
  </si>
  <si>
    <t>Fashion Studies</t>
  </si>
  <si>
    <t>Schlittler, Anna-Brigitte</t>
  </si>
  <si>
    <t>Bildungs- und Berufsberatung in der Migrationsgesellschaft : Pädagogische Perspektiven auf Beratung zur Anerkennung im Ausland erworbener Qualifikationen</t>
  </si>
  <si>
    <t>Schmidtke, Birgit</t>
  </si>
  <si>
    <t>https://ebookcentral.proquest.com/lib/istinye/detail.action?docID=6760825</t>
  </si>
  <si>
    <t>Segregation, Inequality, and Urban Development : Forced Evictions and Criminalisation Practices in Present-Day South Africa</t>
  </si>
  <si>
    <t>Dehkordi, Sara</t>
  </si>
  <si>
    <t>https://ebookcentral.proquest.com/lib/istinye/detail.action?docID=6760887</t>
  </si>
  <si>
    <t>Moschee-Neubauten : Institutionalisierung, Bedeutung und Sichtbarkeit in England und der Schweiz</t>
  </si>
  <si>
    <t>Stöckli, Lucia</t>
  </si>
  <si>
    <t>https://ebookcentral.proquest.com/lib/istinye/detail.action?docID=6760913</t>
  </si>
  <si>
    <t>Kosmopolitische Pioniere : »Inder_innen der zweiten Generation« aus der Schweiz zwischen Assimilation, Exotik und globaler Moderne</t>
  </si>
  <si>
    <t>Jain, Rohit</t>
  </si>
  <si>
    <t>https://ebookcentral.proquest.com/lib/istinye/detail.action?docID=6760966</t>
  </si>
  <si>
    <t>Die Ästhetisierung und Politisierung des Todes : Handyvideos von Gewalt und Tod im Syrienkonflikt</t>
  </si>
  <si>
    <t>Meis, Mareike</t>
  </si>
  <si>
    <t>https://ebookcentral.proquest.com/lib/istinye/detail.action?docID=6761145</t>
  </si>
  <si>
    <t>Multispezies-Ethnographie : Zur Methodik einer ganzheitlichen Erforschung von Mensch, Tier, Natur und Kultur</t>
  </si>
  <si>
    <t>Ameli, Katharina</t>
  </si>
  <si>
    <t>https://ebookcentral.proquest.com/lib/istinye/detail.action?docID=6761192</t>
  </si>
  <si>
    <t>Trump - ein amerikanischer Traum? : Warum Amerika sich verwählt hat</t>
  </si>
  <si>
    <t>Fach, Wolfgang</t>
  </si>
  <si>
    <t>E912.F33 2020</t>
  </si>
  <si>
    <t>https://ebookcentral.proquest.com/lib/istinye/detail.action?docID=6761369</t>
  </si>
  <si>
    <t>Political Participation in the Digital Age : An Ethnographic Comparison Between Iceland and Germany</t>
  </si>
  <si>
    <t>Tiemann-Kollipost, Julia</t>
  </si>
  <si>
    <t>JN7389.A15T54 2020</t>
  </si>
  <si>
    <t>https://ebookcentral.proquest.com/lib/istinye/detail.action?docID=6761397</t>
  </si>
  <si>
    <t>Nach der »Willkommenskultur« : Geflüchtete zwischen umkämpfter Teilhabe und zivilgesellschaftlicher Solidarität</t>
  </si>
  <si>
    <t>Dinkelaker, Samia</t>
  </si>
  <si>
    <t>Kampf um Mitbestimmung : Antworten auf »Union Busting« und die Behinderung von Betriebsräten</t>
  </si>
  <si>
    <t>Thünken, Oliver</t>
  </si>
  <si>
    <t>This Is Not an Atlas : A Global Collection of Counter-Cartographies</t>
  </si>
  <si>
    <t>Sozial- und Kulturgeographie Ser.</t>
  </si>
  <si>
    <t>kollektiv orangotango+, kollektiv</t>
  </si>
  <si>
    <t>https://ebookcentral.proquest.com/lib/istinye/detail.action?docID=6761621</t>
  </si>
  <si>
    <t>Robuste Langzeit-Governance bei der Endlagersuche : Soziotechnische Herausforderungen im Umgang mit hochradioaktiven Abfällen</t>
  </si>
  <si>
    <t>Brohmann, Bettina</t>
  </si>
  <si>
    <t>Transgressive Truths and Flattering Lies : The Poetics and Ethics of Anglophone Arab Representations</t>
  </si>
  <si>
    <t>Postcolonial Studies</t>
  </si>
  <si>
    <t>Schmitz, Markus</t>
  </si>
  <si>
    <t>PR129.A65.S36 2020</t>
  </si>
  <si>
    <t>https://ebookcentral.proquest.com/lib/istinye/detail.action?docID=6761723</t>
  </si>
  <si>
    <t>Die Evolution der Religion : Ein soziologischer Grundriss</t>
  </si>
  <si>
    <t>Religiöse Evolution</t>
  </si>
  <si>
    <t>Krech, Volkhard</t>
  </si>
  <si>
    <t>https://ebookcentral.proquest.com/lib/istinye/detail.action?docID=6761744</t>
  </si>
  <si>
    <t>Religious Fundamentalism in the Age of Pandemic</t>
  </si>
  <si>
    <t>Käsehage, Nina</t>
  </si>
  <si>
    <t>https://ebookcentral.proquest.com/lib/istinye/detail.action?docID=6761794</t>
  </si>
  <si>
    <t>Media Agency - Neue Ansätze zur Medialität in der Architektur</t>
  </si>
  <si>
    <t>ArchitekturDenken</t>
  </si>
  <si>
    <t>Barlieb, Christophe</t>
  </si>
  <si>
    <t>Leistungsklassen und Geschlechtertests : Die heteronormative Logik des Sports</t>
  </si>
  <si>
    <t>Heckemeyer, Karolin</t>
  </si>
  <si>
    <t>https://ebookcentral.proquest.com/lib/istinye/detail.action?docID=6761923</t>
  </si>
  <si>
    <t>Democratic and Authoritarian Political Systems in 21st Century World Society : Vol. 1 - Differentiation, Inclusion, Responsiveness</t>
  </si>
  <si>
    <t>Global Studies &amp; Theory of Society</t>
  </si>
  <si>
    <t>Ahlers, Anna L.</t>
  </si>
  <si>
    <t>Friedensgutachten 2020 : Im Schatten der Pandemie: letzte Chance für Europa</t>
  </si>
  <si>
    <t>Armut und Umweltschutz : Potenziale und Barrieren im urbanen Raum Westafrikas</t>
  </si>
  <si>
    <t>Huber, Elisabeth</t>
  </si>
  <si>
    <t>https://ebookcentral.proquest.com/lib/istinye/detail.action?docID=6762011</t>
  </si>
  <si>
    <t>Wasser als Gemeinsames : Potenziale und Probleme von Commoning bei Konflikten der Wasserbewirtschaftung</t>
  </si>
  <si>
    <t>Euler, Johannes</t>
  </si>
  <si>
    <t>https://ebookcentral.proquest.com/lib/istinye/detail.action?docID=6762098</t>
  </si>
  <si>
    <t>Perspektiven pragmatischer Medienphilosophie : Grundlagen - Anwendungen - Praktiken</t>
  </si>
  <si>
    <t>Sandbothe, Mike</t>
  </si>
  <si>
    <t>https://ebookcentral.proquest.com/lib/istinye/detail.action?docID=6762133</t>
  </si>
  <si>
    <t>The Redundant City : A Multi-Site Enquiry into Urban Narratives of Conflict and Change</t>
  </si>
  <si>
    <t>Kling, Norbert</t>
  </si>
  <si>
    <t>https://ebookcentral.proquest.com/lib/istinye/detail.action?docID=6762324</t>
  </si>
  <si>
    <t>Radikalislamische YouTube-Propaganda : Eine qualitative Rezeptionsstudie unter jungen Erwachsenen</t>
  </si>
  <si>
    <t>Klevesath, Lino</t>
  </si>
  <si>
    <t>Das quantifizierte Selbst : Zur Genealogie des Self-Trackings</t>
  </si>
  <si>
    <t>Mämecke, Thorben</t>
  </si>
  <si>
    <t>https://ebookcentral.proquest.com/lib/istinye/detail.action?docID=6762431</t>
  </si>
  <si>
    <t>Krankheit in Digitalen Spielen : Interdisziplinäre Betrachtungen</t>
  </si>
  <si>
    <t>Görgen, Arno</t>
  </si>
  <si>
    <t>Publikationsberatung an Universitäten : Ein Praxisleitfaden zum Aufbau publikationsunterstützender Services</t>
  </si>
  <si>
    <t>Lackner, Karin</t>
  </si>
  <si>
    <t>Markeninszenierung in Japan : Zur narrativen Konstruktion der Lifestyle-Marken »Muji« und »Uniqlo«</t>
  </si>
  <si>
    <t>Rühle, Christiane</t>
  </si>
  <si>
    <t>https://ebookcentral.proquest.com/lib/istinye/detail.action?docID=6762657</t>
  </si>
  <si>
    <t>Moving Images : Mediating Migration as Crisis</t>
  </si>
  <si>
    <t>Lynes, Krista</t>
  </si>
  <si>
    <t>Technologisches Regieren : Der Aufstieg des Netzwerk-Denkens in der Krise der Moderne. Foucault, Luhmann und die Kybernetik</t>
  </si>
  <si>
    <t>August, Vincent</t>
  </si>
  <si>
    <t>https://ebookcentral.proquest.com/lib/istinye/detail.action?docID=6762773</t>
  </si>
  <si>
    <t>TransCoding - From `Highbrow Art' to Participatory Culture : Social Media - Art - Research</t>
  </si>
  <si>
    <t>Lüneburg, Barbara</t>
  </si>
  <si>
    <t>https://ebookcentral.proquest.com/lib/istinye/detail.action?docID=6762852</t>
  </si>
  <si>
    <t>Zivilgesellschaft in der Bundesrepublik Deutschland : Aufbrüche, Umbrüche, Ausblicke</t>
  </si>
  <si>
    <t>Grande, Brigitte</t>
  </si>
  <si>
    <t>Writing Emotions : Theoretical Concepts and Selected Case Studies in Literature</t>
  </si>
  <si>
    <t>Jandl, Ingeborg</t>
  </si>
  <si>
    <t>The Wealthy, the Brilliant, the Few : Elite Education in Contemporary American Discourse</t>
  </si>
  <si>
    <t>American Culture Studies</t>
  </si>
  <si>
    <t>Spieler, Sophie</t>
  </si>
  <si>
    <t>https://ebookcentral.proquest.com/lib/istinye/detail.action?docID=6763297</t>
  </si>
  <si>
    <t>Envisioning the World: Mapping and Making the Global</t>
  </si>
  <si>
    <t>Holtgreve, Sandra</t>
  </si>
  <si>
    <t>EU-Staatlichkeit zwischen Ausbau und Stagnation : Kritische Perspektiven auf die Transformationsprozesse in der Euro-Krise</t>
  </si>
  <si>
    <t>Gerken, Johannes</t>
  </si>
  <si>
    <t>https://ebookcentral.proquest.com/lib/istinye/detail.action?docID=6763648</t>
  </si>
  <si>
    <t>Depression und Biographie : Krankheitserfahrungen migrierter Frauen in der Schweiz</t>
  </si>
  <si>
    <t>Trevisan, Amina</t>
  </si>
  <si>
    <t>Das Indernet : Eine rassismuskritische Internet-Ethnografie</t>
  </si>
  <si>
    <t>Goel, Urmila</t>
  </si>
  <si>
    <t>https://ebookcentral.proquest.com/lib/istinye/detail.action?docID=6763725</t>
  </si>
  <si>
    <t>Moscheeleben in Deutschland : Eine Ethnographie zu Islamischem Wissen, Tradition und religiöser Autorität</t>
  </si>
  <si>
    <t>Globaler lokaler Islam</t>
  </si>
  <si>
    <t>Akca, Ayse Almila</t>
  </si>
  <si>
    <t>BP65.G4A43 2020</t>
  </si>
  <si>
    <t>https://ebookcentral.proquest.com/lib/istinye/detail.action?docID=6763800</t>
  </si>
  <si>
    <t>Inklusion im kommunalen Raum : Sozialraumentwicklung im Kontext von Behinderung, Flucht und Demenz</t>
  </si>
  <si>
    <t>Refugee Routes : Telling, Looking, Protesting, Redressing</t>
  </si>
  <si>
    <t>The Academy in Exile Book Series</t>
  </si>
  <si>
    <t>Agnew, Vanessa</t>
  </si>
  <si>
    <t>Währung - Krise - Emotion : Kollektive Wahrnehmungsweisen von Wirtschaftskrisen</t>
  </si>
  <si>
    <t>Ziethen, Sanne</t>
  </si>
  <si>
    <t>Good White Queers? : Racism and Whiteness in Queer U.S. Comics</t>
  </si>
  <si>
    <t>Linke, Kai</t>
  </si>
  <si>
    <t>https://ebookcentral.proquest.com/lib/istinye/detail.action?docID=6764223</t>
  </si>
  <si>
    <t>Energiewende und Megatrends : Wechselwirkungen von globaler Gesellschaftsentwicklung und Nachhaltigkeit</t>
  </si>
  <si>
    <t>Engler, Steven</t>
  </si>
  <si>
    <t>Tanz - Diversität - Inklusion : Jahrbuch TanzForschung 2018</t>
  </si>
  <si>
    <t>Quinten, Susanne</t>
  </si>
  <si>
    <t>Beyond the Mirror : Seeing in Art History and Visual Culture Studies</t>
  </si>
  <si>
    <t>Falkenhausen, Susanne von</t>
  </si>
  <si>
    <t>https://ebookcentral.proquest.com/lib/istinye/detail.action?docID=6764529</t>
  </si>
  <si>
    <t>Sojourners and Settlers : Chinese Migrants in Hawaii</t>
  </si>
  <si>
    <t>Glick, Clarence E.</t>
  </si>
  <si>
    <t>Competition in World Politics : Knowledge, Strategies and Institutions</t>
  </si>
  <si>
    <t>Russ, Daniela</t>
  </si>
  <si>
    <t>Am Ende der Globalisierung : Über die Refiguration von Räumen</t>
  </si>
  <si>
    <t>Löw, Martina</t>
  </si>
  <si>
    <t>Geschlechtsspezifische Gewalt in Zeiten der Digitalisierung : Formen und Interventionsstrategien</t>
  </si>
  <si>
    <t>bff: Bundesverband Frauenberatungsstellen und Frauennotrufe</t>
  </si>
  <si>
    <t>Der Offenbacher Ansatz : Zur Theorie der Produktsprache</t>
  </si>
  <si>
    <t>Design</t>
  </si>
  <si>
    <t>Schwer, Thilo</t>
  </si>
  <si>
    <t>Menschenrechte im Unternehmen durchsetzen : Internationale Arbeitnehmerrechte: Die UN-Leitprinzipien als Hebel für Betriebsräte und Gewerkschaften</t>
  </si>
  <si>
    <t>Hadwiger, Felix</t>
  </si>
  <si>
    <t>»Wir machen Kunst für Künstler« : Lohnarbeit in Kunstmanufakturen. Eine ethnografische Studie</t>
  </si>
  <si>
    <t>Schultheis, Franz</t>
  </si>
  <si>
    <t>https://ebookcentral.proquest.com/lib/istinye/detail.action?docID=6765082</t>
  </si>
  <si>
    <t>Praktiken der (Im-)Mobilisierung : Lager, Sammelunterkünfte und Ankerzentren im Kontext von Asylregimen</t>
  </si>
  <si>
    <t>Devlin, Julia</t>
  </si>
  <si>
    <t>Generative Bildarbeit : Zum transformativen Potential fotografischer Praxis</t>
  </si>
  <si>
    <t>Brandner, Vera</t>
  </si>
  <si>
    <t>https://ebookcentral.proquest.com/lib/istinye/detail.action?docID=6765256</t>
  </si>
  <si>
    <t>Überwachen und konsumieren : Kontrolle, Normen und soziale Beziehungen in der digitalen Gesellschaft</t>
  </si>
  <si>
    <t>Zurawski, Nils</t>
  </si>
  <si>
    <t>https://ebookcentral.proquest.com/lib/istinye/detail.action?docID=6765400</t>
  </si>
  <si>
    <t>Grenzobjekte und Medienforschung : (hg. von Sebastian Gießmann und Nadine Taha)</t>
  </si>
  <si>
    <t>Locating Media/Situierte Medien</t>
  </si>
  <si>
    <t>(verst.), Susan Leigh Star</t>
  </si>
  <si>
    <t>Der transgressive Charakter der Pornografie : Philosophische und feministische Positionen</t>
  </si>
  <si>
    <t>Schocher, Nathan</t>
  </si>
  <si>
    <t>https://ebookcentral.proquest.com/lib/istinye/detail.action?docID=6765780</t>
  </si>
  <si>
    <t>Pop-Musik sammeln : Zehn ethnografische Tracks zwischen Plattenladen und Streamingportal</t>
  </si>
  <si>
    <t>Elster, Christian</t>
  </si>
  <si>
    <t>https://ebookcentral.proquest.com/lib/istinye/detail.action?docID=6765781</t>
  </si>
  <si>
    <t>Alltag in der Moschee : Eine Feldforschung jenseits von Integrationsfragen</t>
  </si>
  <si>
    <t>Rückamp, Veronika</t>
  </si>
  <si>
    <t>https://ebookcentral.proquest.com/lib/istinye/detail.action?docID=6765917</t>
  </si>
  <si>
    <t>Transdifferenz und Transkulturalität : Migration und Alterität in den Literaturen und Kulturen Österreich-Ungarns</t>
  </si>
  <si>
    <t>Millner, Alexandra</t>
  </si>
  <si>
    <t>Die Welt neu denken lernen - Plädoyer für eine planetare Politik : Lehren aus Corona und anderen existentiellen Krisen</t>
  </si>
  <si>
    <t>Wintersteiner, Werner</t>
  </si>
  <si>
    <t>Objekte im Netz : Wissenschaftliche Sammlungen im digitalen Wandel</t>
  </si>
  <si>
    <t>Andraschke, Udo</t>
  </si>
  <si>
    <t>Thinking the Problematic : Genealogies and Explorations between Philosophy and the Sciences</t>
  </si>
  <si>
    <t>Leistert, Oliver</t>
  </si>
  <si>
    <t>Mikro-Utopien der Architektur : Das utopische Moment architektonischer Minimaltechniken</t>
  </si>
  <si>
    <t>Meireis, Sandra</t>
  </si>
  <si>
    <t>https://ebookcentral.proquest.com/lib/istinye/detail.action?docID=6766187</t>
  </si>
  <si>
    <t>Use Of Patented Traditional Chinese Medicine Against Covid-19: A Practical Manual</t>
  </si>
  <si>
    <t>World Scientific / Chemical Industry Press, China</t>
  </si>
  <si>
    <t>Zhai, Huaqiang</t>
  </si>
  <si>
    <t>Biocomputing 2021 - Proceedings Of The Pacific Symposium</t>
  </si>
  <si>
    <t>The Buddhist Poetry of the Great Kamo Priestess : Daisaiin Senshi and Hosshin Wakashu</t>
  </si>
  <si>
    <t>Michigan Monograph Series in Japanese Studies</t>
  </si>
  <si>
    <t>Kamens, Edward</t>
  </si>
  <si>
    <t>PL789</t>
  </si>
  <si>
    <t>895.6/114</t>
  </si>
  <si>
    <t>https://ebookcentral.proquest.com/lib/istinye/detail.action?docID=6768937</t>
  </si>
  <si>
    <t>Berufs- und Arbeitswelt in der Politischen Bildung : Über Bildungs- und Berufsvorstellungen Jugendlicher Am Ende der Sekundarstufe I in Deutschland Und Österreich</t>
  </si>
  <si>
    <t>Citizenship. Studien Zur Politischen Bildung Ser.</t>
  </si>
  <si>
    <t>Straub, Sarah</t>
  </si>
  <si>
    <t>Active Assisted Living : Anwendungsszenarien und lösungsansätze Für ein Selbstbestimmtes Leben</t>
  </si>
  <si>
    <t>Sailer, Marcel</t>
  </si>
  <si>
    <t>Brasilien : $bEine Einführung /$cPeter Birle (Hrsg. )</t>
  </si>
  <si>
    <t>Iberoamericana Editorial Vervuert</t>
  </si>
  <si>
    <t>Bibliotheca Ibero-Americana Ser.</t>
  </si>
  <si>
    <t>Birle, Peter</t>
  </si>
  <si>
    <t>https://ebookcentral.proquest.com/lib/istinye/detail.action?docID=6786043</t>
  </si>
  <si>
    <t>Sublinear Computation Paradigm : Algorithmic Revolution in the Big Data Era</t>
  </si>
  <si>
    <t>Katoh, Naoki</t>
  </si>
  <si>
    <t>Mutation Breeding, Genetic Diversity and Crop Adaptation to Climate Change</t>
  </si>
  <si>
    <t>Sivasankar, Sobhana</t>
  </si>
  <si>
    <t>Ancient Greek I : A 21st Century Approach</t>
  </si>
  <si>
    <t>Peek, Philip S.</t>
  </si>
  <si>
    <t>Circulation and Control : Artistic Culture and Intellectual Property in the Nineteenth Century</t>
  </si>
  <si>
    <t>Delamaire, Marie-Stéphanie</t>
  </si>
  <si>
    <t>Piracy in World History</t>
  </si>
  <si>
    <t>Maritime Humanities, 1400-1800 Ser.</t>
  </si>
  <si>
    <t>Amirell, Stefan</t>
  </si>
  <si>
    <t>Agile Processes in Software Engineering and Extreme Programming - Workshops : XP 2021 Workshops, Virtual Event, June 14-18, 2021, Revised Selected Papers</t>
  </si>
  <si>
    <t>Von Einem Traum Getrieben : Wie der Physiker Rolf Widerøe Den Teilchenbeschleuniger Erfand</t>
  </si>
  <si>
    <t>Sørheim, Aashild</t>
  </si>
  <si>
    <t>Climate Change and Community Resilience : Insights from South Asia</t>
  </si>
  <si>
    <t>Haque, A. K. Enamul</t>
  </si>
  <si>
    <t>Educational Perspectives on Mediality and Subjectivation : Discourse, Power and Analysis</t>
  </si>
  <si>
    <t>Palgrave Studies in Educational Media Ser.</t>
  </si>
  <si>
    <t>Bettinger, Patrick</t>
  </si>
  <si>
    <t>https://ebookcentral.proquest.com/lib/istinye/detail.action?docID=6789986</t>
  </si>
  <si>
    <t>Security-Aware Design of Cyber-Physical Systems for Control Applications</t>
  </si>
  <si>
    <t>Mahfouzi, Rouhollah</t>
  </si>
  <si>
    <t>https://ebookcentral.proquest.com/lib/istinye/detail.action?docID=6790369</t>
  </si>
  <si>
    <t>A path along deep learning for medical image analysis : With focus on burn wounds and brain tumors</t>
  </si>
  <si>
    <t>Cirillo, Marco Domenico</t>
  </si>
  <si>
    <t>https://ebookcentral.proquest.com/lib/istinye/detail.action?docID=6790370</t>
  </si>
  <si>
    <t>”Varför mobbar vi ens?” : Mobbningens sociala processer i två svenska mellanstadieskolor</t>
  </si>
  <si>
    <t>Strindberg, Joakim</t>
  </si>
  <si>
    <t>https://ebookcentral.proquest.com/lib/istinye/detail.action?docID=6790372</t>
  </si>
  <si>
    <t>Performance and Optimization Aspects of Time Critical Networking</t>
  </si>
  <si>
    <t>Fountoulakis, Emmanouil</t>
  </si>
  <si>
    <t>https://ebookcentral.proquest.com/lib/istinye/detail.action?docID=6790373</t>
  </si>
  <si>
    <t>How to Practice Academic Medicine and Publish from Developing Countries? : A Practical Guide</t>
  </si>
  <si>
    <t>Nundy, Samiran</t>
  </si>
  <si>
    <t>Pandemics: Insurance and Social Protection</t>
  </si>
  <si>
    <t>Springer Actuarial Ser.</t>
  </si>
  <si>
    <t>Boado-Penas, María del Carmen</t>
  </si>
  <si>
    <t>Transforming Markets : A Development Bank for the 21st Century. a History of the EBRD, Volume 2</t>
  </si>
  <si>
    <t>Understanding Well-Being Data : Improving Social and Cultural Policy, Practice and Research</t>
  </si>
  <si>
    <t>New Directions in Cultural Policy Research Ser.</t>
  </si>
  <si>
    <t>Oman, Susan</t>
  </si>
  <si>
    <t>Brand Content und Brand Image : Experimentelle Studie über Die Wirkung Von Brand Content Auf Imagedimensionen</t>
  </si>
  <si>
    <t>Albisser, Matthias</t>
  </si>
  <si>
    <t>HM741-743</t>
  </si>
  <si>
    <t>https://ebookcentral.proquest.com/lib/istinye/detail.action?docID=6792517</t>
  </si>
  <si>
    <t>Towards a Sustainable Future - Life Cycle Management : Challenges and Prospects</t>
  </si>
  <si>
    <t>Klos, Zbigniew Stanislaw</t>
  </si>
  <si>
    <t>Russische Errungenschaften in der Physiologie der Verdauung : Vom Späten 19. Bis Zum Beginnenden 20. Jahrhundert</t>
  </si>
  <si>
    <t>Balalykin, Dmitry A.</t>
  </si>
  <si>
    <t>RC1-1245</t>
  </si>
  <si>
    <t>https://ebookcentral.proquest.com/lib/istinye/detail.action?docID=6792519</t>
  </si>
  <si>
    <t>Principles and Pedagogies in Jewish Education</t>
  </si>
  <si>
    <t>Chazan, Barry</t>
  </si>
  <si>
    <t>Arzneimittel-Kompass 2021 : Hochpreisige Arzneimittel - Herausforderung und Perspektiven</t>
  </si>
  <si>
    <t>Schröder, Helmut</t>
  </si>
  <si>
    <t>Access to Medicines and Vaccines : Implementing Flexibilities under Intellectual Property Law</t>
  </si>
  <si>
    <t>Correa, Carlos M.</t>
  </si>
  <si>
    <t>Chosen Peoples : Christianity and Political Imagination in South Sudan</t>
  </si>
  <si>
    <t>Tounsel, Christopher</t>
  </si>
  <si>
    <t>BR115</t>
  </si>
  <si>
    <t>https://ebookcentral.proquest.com/lib/istinye/detail.action?docID=6794662</t>
  </si>
  <si>
    <t>To Make Negro Literature : Writing, Literary Practice, and African American Authorship</t>
  </si>
  <si>
    <t>McHenry, Elizabeth</t>
  </si>
  <si>
    <t>https://ebookcentral.proquest.com/lib/istinye/detail.action?docID=6794664</t>
  </si>
  <si>
    <t>Cybersecurity in Poland : Legal Aspects</t>
  </si>
  <si>
    <t>Chałubińska-Jentkiewicz, Katarzyna</t>
  </si>
  <si>
    <t>Digitalisierung in Studium und Lehre Gemeinsam Gestalten : Innovative Formate, Strategien und Netzwerke</t>
  </si>
  <si>
    <t>Hochschulforum Digitalisierung</t>
  </si>
  <si>
    <t>https://ebookcentral.proquest.com/lib/istinye/detail.action?docID=6795399</t>
  </si>
  <si>
    <t>Gouverner la Biodiversité Ou Comment Réussir à échouer</t>
  </si>
  <si>
    <t>Devictor, Vincent</t>
  </si>
  <si>
    <t>The CIA in Ecuador</t>
  </si>
  <si>
    <t>Becker, Marc</t>
  </si>
  <si>
    <t>JL3029</t>
  </si>
  <si>
    <t>https://ebookcentral.proquest.com/lib/istinye/detail.action?docID=6796033</t>
  </si>
  <si>
    <t>Moving Home : Gender, Place, and Travel Writing in the Early Black Atlantic</t>
  </si>
  <si>
    <t>Gunning, Sandra</t>
  </si>
  <si>
    <t>https://ebookcentral.proquest.com/lib/istinye/detail.action?docID=6796034</t>
  </si>
  <si>
    <t>Colonial Debts : The Case of Puerto Rico</t>
  </si>
  <si>
    <t>Zambrana, Rocío</t>
  </si>
  <si>
    <t>The Comprehensive Cancer Center : Development, Integration, and Implementation</t>
  </si>
  <si>
    <t>Open Science: the Very Idea</t>
  </si>
  <si>
    <t>Miedema, Frank</t>
  </si>
  <si>
    <t>Q174-175.3</t>
  </si>
  <si>
    <t>https://ebookcentral.proquest.com/lib/istinye/detail.action?docID=6796354</t>
  </si>
  <si>
    <t>Studying Morphology Formation and Charge Separation in Organic Solar Cells</t>
  </si>
  <si>
    <t>Liu, Yanfeng</t>
  </si>
  <si>
    <t>https://ebookcentral.proquest.com/lib/istinye/detail.action?docID=6796362</t>
  </si>
  <si>
    <t>Microvascular effects of insulin in the skin</t>
  </si>
  <si>
    <t>Högstedt, Alexandra</t>
  </si>
  <si>
    <t>https://ebookcentral.proquest.com/lib/istinye/detail.action?docID=6796365</t>
  </si>
  <si>
    <t>Physics of Earth's Radiation Belts : Theory and Observations</t>
  </si>
  <si>
    <t>Koskinen, Hannu E. J.</t>
  </si>
  <si>
    <t>Creating Resilient Futures : Integrating Disaster Risk Reduction, Sustainable Development Goals and Climate Change Adaptation Agendas</t>
  </si>
  <si>
    <t>Flood, Stephen</t>
  </si>
  <si>
    <t>Sociological Debates on Gestational Surrogacy : Between Legitimation and International Abolition</t>
  </si>
  <si>
    <t>Bandelli, Daniela</t>
  </si>
  <si>
    <t>HQ12-449</t>
  </si>
  <si>
    <t>https://ebookcentral.proquest.com/lib/istinye/detail.action?docID=6796479</t>
  </si>
  <si>
    <t>China and the West : Music, Representation, and Reception</t>
  </si>
  <si>
    <t>Saffle, Michael</t>
  </si>
  <si>
    <t>Learning Cultural Literacy Through Creative Practices in Schools : Cultural and Multimodal Approaches to Meaning-Making</t>
  </si>
  <si>
    <t>Lähdesmäki, Tuuli</t>
  </si>
  <si>
    <t>World Protests : A Study of Key Protest Issues in the 21st Century</t>
  </si>
  <si>
    <t>Ortiz, Isabel</t>
  </si>
  <si>
    <t>Macroeconomic Modelling of R&amp;d and Innovation Policies</t>
  </si>
  <si>
    <t>International Economic Association Ser.</t>
  </si>
  <si>
    <t>Akcigit, Ufuk</t>
  </si>
  <si>
    <t>Partial Least Squares Structural Equation Modeling (PLS-SEM) Using R : A Workbook</t>
  </si>
  <si>
    <t>Hair Jr., Joseph F.</t>
  </si>
  <si>
    <t>The Anatomy of Post-Communist Regimes : A Conceptual Framework</t>
  </si>
  <si>
    <t>Magyar, Bálint</t>
  </si>
  <si>
    <t>Making Muslim Women European : Voluntary Associations, Gender, and Islam in Post-Ottoman Bosnia and Yugoslavia (1878-1941)</t>
  </si>
  <si>
    <t>CEU Press Studies in the History of Medicine Ser.</t>
  </si>
  <si>
    <t>Giomi, Fabio</t>
  </si>
  <si>
    <t>The Tsar, the Empire, and the Nation : Dilemmas of Nationalization in Russia's Western Borderlands, 1905-1915</t>
  </si>
  <si>
    <t>Historical Studies in Eastern Europe and Eurasia Ser.</t>
  </si>
  <si>
    <t>Staliūnas, Darius</t>
  </si>
  <si>
    <t>Nation and Migration : How Citizens in Europe Are Coping with Xenophobia</t>
  </si>
  <si>
    <t>Csepeli, György</t>
  </si>
  <si>
    <t>Documentary Making for Digital Humanists</t>
  </si>
  <si>
    <t>Reid, Darren R.</t>
  </si>
  <si>
    <t>Forms of Life and Subjectivity : Rethinking Sartre's Philosophy</t>
  </si>
  <si>
    <t>Rueda Garrido, Daniel</t>
  </si>
  <si>
    <t>Mobilitäts- und Transportrecht in Europa : Bestandsaufnahme und Zukunftsperspektiven</t>
  </si>
  <si>
    <t>Epitaxial growth, structure, and thermoelectric properties of CaMn- and V-based oxides</t>
  </si>
  <si>
    <t>Ekström, Erik</t>
  </si>
  <si>
    <t>https://ebookcentral.proquest.com/lib/istinye/detail.action?docID=6799470</t>
  </si>
  <si>
    <t>Acoustic Platform for MXene Synthesis and Electrochemical Behaviour of i-MXenes in Aqueous Electrolytes</t>
  </si>
  <si>
    <t>El Ghazaly, Ahmed</t>
  </si>
  <si>
    <t>https://ebookcentral.proquest.com/lib/istinye/detail.action?docID=6799473</t>
  </si>
  <si>
    <t>On lymphedema of the lower limbs after treatment of endometrial cancer : with emphasis on incidence, quality of life, risk factors, and health economy</t>
  </si>
  <si>
    <t>Wedin, Madelene</t>
  </si>
  <si>
    <t>https://ebookcentral.proquest.com/lib/istinye/detail.action?docID=6799474</t>
  </si>
  <si>
    <t>Multi-omic time-series analysis of T-cells as a model for identification of biomarkers, treatments and upstream disease regulators</t>
  </si>
  <si>
    <t>Rundquist, Olof</t>
  </si>
  <si>
    <t>https://ebookcentral.proquest.com/lib/istinye/detail.action?docID=6799475</t>
  </si>
  <si>
    <t>Surgery in Armed Conflicts : Predicting surgical treatment needs and improving resource use in resource-constrained settings</t>
  </si>
  <si>
    <t>Muhrbeck, Måns</t>
  </si>
  <si>
    <t>https://ebookcentral.proquest.com/lib/istinye/detail.action?docID=6799476</t>
  </si>
  <si>
    <t>Tailoring Fluorescent Probes for Organelle-Specific Imaging and Sensing</t>
  </si>
  <si>
    <t>Zhang, Xin</t>
  </si>
  <si>
    <t>https://ebookcentral.proquest.com/lib/istinye/detail.action?docID=6799477</t>
  </si>
  <si>
    <t>Image dipoles and polarons in organic semiconductors</t>
  </si>
  <si>
    <t>Chen, Yongzhen</t>
  </si>
  <si>
    <t>https://ebookcentral.proquest.com/lib/istinye/detail.action?docID=6799478</t>
  </si>
  <si>
    <t>Computational study of Polymerization, Crystallization and Mechanical Properties of Conducting Polymers</t>
  </si>
  <si>
    <t>Kim, Donghyun</t>
  </si>
  <si>
    <t>https://ebookcentral.proquest.com/lib/istinye/detail.action?docID=6799479</t>
  </si>
  <si>
    <t>Deep Integration, Global Firms, and Technology Spillovers</t>
  </si>
  <si>
    <t>Advances in Japanese Business and Economics Ser.</t>
  </si>
  <si>
    <t>Jinji, Naoto</t>
  </si>
  <si>
    <t>Russia's Role in the Contemporary International Agri-Food Trade System</t>
  </si>
  <si>
    <t>Palgrave Advances in Bioeconomy: Economics and Policies Ser.</t>
  </si>
  <si>
    <t>Wegren, Stephen K.</t>
  </si>
  <si>
    <t>Dinaric Perspectives on TIMSS 2019 : Teaching and Learning Mathematics and Science in South-Eastern Europe</t>
  </si>
  <si>
    <t>Japelj Pavesić, Barbara</t>
  </si>
  <si>
    <t>The Post-Screen Through Virtual Reality, Holograms and Light Projections : Where Screen Boundaries Lie</t>
  </si>
  <si>
    <t>Ng, Jenna</t>
  </si>
  <si>
    <t>006.72</t>
  </si>
  <si>
    <t>https://ebookcentral.proquest.com/lib/istinye/detail.action?docID=6803553</t>
  </si>
  <si>
    <t>Better Work : The Impact of Automation, Flexibilization and Intensification of Work</t>
  </si>
  <si>
    <t>Kremer, Monique</t>
  </si>
  <si>
    <t>Surveying Climate-Relevant Behavior : Measurements, Obstacles, and Implications</t>
  </si>
  <si>
    <t>Hadler, Markus</t>
  </si>
  <si>
    <t>Periphery and Small Ones Matter : Interplay of Policy and Social Capital</t>
  </si>
  <si>
    <t>https://ebookcentral.proquest.com/lib/istinye/detail.action?docID=6803858</t>
  </si>
  <si>
    <t>Groundwater Overexploitation in the North China Plain: a Path to Sustainability</t>
  </si>
  <si>
    <t>Kinzelbach, Wolfgang</t>
  </si>
  <si>
    <t>Automotive Remanufacturing in a Changing Market : Challenges and Opportunities in a market with a growing share of electric cars</t>
  </si>
  <si>
    <t>Casper, Robert</t>
  </si>
  <si>
    <t>https://ebookcentral.proquest.com/lib/istinye/detail.action?docID=6803962</t>
  </si>
  <si>
    <t>Developing strategies for improved economic performance and reduced climate impact of landfill mining in Europe</t>
  </si>
  <si>
    <t>Esguerra, John Laurence</t>
  </si>
  <si>
    <t>https://ebookcentral.proquest.com/lib/istinye/detail.action?docID=6803965</t>
  </si>
  <si>
    <t>Managing variation in hospital patient flows</t>
  </si>
  <si>
    <t>Olsson, Olle</t>
  </si>
  <si>
    <t>https://ebookcentral.proquest.com/lib/istinye/detail.action?docID=6803966</t>
  </si>
  <si>
    <t>Perinatal risk factors for type 1 diabetes in children and adolescents</t>
  </si>
  <si>
    <t>Lindell, Nina</t>
  </si>
  <si>
    <t>https://ebookcentral.proquest.com/lib/istinye/detail.action?docID=6803969</t>
  </si>
  <si>
    <t>Black Campus Life : The Worlds Black Students Make at a Historically White Institution</t>
  </si>
  <si>
    <t>Tichavakunda, Antar A.</t>
  </si>
  <si>
    <t>https://ebookcentral.proquest.com/lib/istinye/detail.action?docID=6804318</t>
  </si>
  <si>
    <t>The Swedish FrameNet++ : Harmonization, Integration, Method Development and Practical Language Technology Applications</t>
  </si>
  <si>
    <t>Natural Language Processing Ser.</t>
  </si>
  <si>
    <t>Dannélls, Dana</t>
  </si>
  <si>
    <t>Understanding Energy Innovation : Learning from Smart Grid Experiments</t>
  </si>
  <si>
    <t>Lovell, Heather</t>
  </si>
  <si>
    <t>Sustainable Mobility for Island Destinations</t>
  </si>
  <si>
    <t>Tsoutsos, Theocharis</t>
  </si>
  <si>
    <t>A Resource for Quantum Computation</t>
  </si>
  <si>
    <t>Johansson, Niklas</t>
  </si>
  <si>
    <t>https://ebookcentral.proquest.com/lib/istinye/detail.action?docID=6806666</t>
  </si>
  <si>
    <t>Infertility in Men in Relation to Their Birth Characteristics</t>
  </si>
  <si>
    <t>Liffner, Susanne</t>
  </si>
  <si>
    <t>https://ebookcentral.proquest.com/lib/istinye/detail.action?docID=6806668</t>
  </si>
  <si>
    <t>A parental perspective on child chronic kidney disease : The lived experience of caregiving in Portugal</t>
  </si>
  <si>
    <t>Bruno de Sousa, Andréa</t>
  </si>
  <si>
    <t>https://ebookcentral.proquest.com/lib/istinye/detail.action?docID=6806669</t>
  </si>
  <si>
    <t>Dementia, Sense-making and Evaluations : Implications for Communication</t>
  </si>
  <si>
    <t>Lindeberg, Sophia</t>
  </si>
  <si>
    <t>https://ebookcentral.proquest.com/lib/istinye/detail.action?docID=6806671</t>
  </si>
  <si>
    <t>Urban Matters : Current Approaches in Variationist Sociolinguistics</t>
  </si>
  <si>
    <t>Ziegler, Arne</t>
  </si>
  <si>
    <t>Economy Studies : A Guide to Rethinking Economics Education</t>
  </si>
  <si>
    <t>de Muijnck, Sam</t>
  </si>
  <si>
    <t>Integrated Nematode Management : State-Of-the-Art and Visions for the Future</t>
  </si>
  <si>
    <t>Sikora, Richard</t>
  </si>
  <si>
    <t>Une écologie de L'alimentation</t>
  </si>
  <si>
    <t>Authorizing Early Modern European Women : From Biography to Biofiction</t>
  </si>
  <si>
    <t>Fitzmaurice, James</t>
  </si>
  <si>
    <t>Towards Resilient Organizations and Societies : A Cross-Sectoral and Multi-Disciplinary Perspective</t>
  </si>
  <si>
    <t>Public Sector Organizations Ser.</t>
  </si>
  <si>
    <t>Pinheiro, Rómulo</t>
  </si>
  <si>
    <t>The Distributed University for Sustainable Higher Education</t>
  </si>
  <si>
    <t>SpringerBriefs in Education Ser.</t>
  </si>
  <si>
    <t>Heller, Richard Frederick</t>
  </si>
  <si>
    <t>https://ebookcentral.proquest.com/lib/istinye/detail.action?docID=6811599</t>
  </si>
  <si>
    <t>Urban Inequality and Segregation in Europe and China : Towards a New Dialogue</t>
  </si>
  <si>
    <t>Pryce, Gwilym</t>
  </si>
  <si>
    <t>Development and Characterization of a Dispersion-Encoded Method for Low-Coherence Interferometry</t>
  </si>
  <si>
    <t>Taudt, Christopher</t>
  </si>
  <si>
    <t>Freiwilliges Engagement in Deutschland : Der Deutsche Freiwilligensurvey 2019</t>
  </si>
  <si>
    <t>Continental Philosophy of Technoscience</t>
  </si>
  <si>
    <t>Philosophy of Engineering and Technology Ser.</t>
  </si>
  <si>
    <t>Zwart, Hub</t>
  </si>
  <si>
    <t>https://ebookcentral.proquest.com/lib/istinye/detail.action?docID=6811603</t>
  </si>
  <si>
    <t>Uprooting Bias in the Academy : Lessons from the Field</t>
  </si>
  <si>
    <t>Bisson, Linda F.</t>
  </si>
  <si>
    <t>Perspectives on Digital Humanism</t>
  </si>
  <si>
    <t>Werthner, Hannes</t>
  </si>
  <si>
    <t>Greening the Greyfields : New Models for Regenerating the Middle Suburbs of Low-Density Cities</t>
  </si>
  <si>
    <t>Newton, Peter W.</t>
  </si>
  <si>
    <t>Life Skills Education for Youth : Critical Perspectives</t>
  </si>
  <si>
    <t>Young People and Learning Processes in School and Everyday Life Ser.</t>
  </si>
  <si>
    <t>DeJaeghere, Joan</t>
  </si>
  <si>
    <t>Research Methodologies and Ethical Challenges in Digital Migration Studies : Caring for (Big) Data?</t>
  </si>
  <si>
    <t>Approaches to Social Inequality and Difference Ser.</t>
  </si>
  <si>
    <t>Sandberg, Marie</t>
  </si>
  <si>
    <t>Land Governance and Gender : The Tenure-Gender Nexus in Land Management and Land Policy</t>
  </si>
  <si>
    <t>Chigbu, Uchendu Eugene</t>
  </si>
  <si>
    <t>333.3</t>
  </si>
  <si>
    <t>https://ebookcentral.proquest.com/lib/istinye/detail.action?docID=6812058</t>
  </si>
  <si>
    <t>Networks and Geographies of Global Social Policy Diffusion : Culture, Economy, and Colonial Legacies</t>
  </si>
  <si>
    <t>Windzio, Michael</t>
  </si>
  <si>
    <t>Climate-Smart Forestry in Mountain Regions</t>
  </si>
  <si>
    <t>Managing Forest Ecosystems Ser.</t>
  </si>
  <si>
    <t>Tognetti, Roberto</t>
  </si>
  <si>
    <t>Swiss Energy Governance : Political, Economic and Legal Challenges and Opportunities in the Energy Transition</t>
  </si>
  <si>
    <t>Hettich, Peter</t>
  </si>
  <si>
    <t>Japan Nutrition</t>
  </si>
  <si>
    <t>Nakamura, Teiji</t>
  </si>
  <si>
    <t>Künstliche Intelligenz in der Forschung : Neue Möglichkeiten und Herausforderungen Für Die Wissenschaft</t>
  </si>
  <si>
    <t>Ethics of Science and Technology Assessment Ser.</t>
  </si>
  <si>
    <t>Gethmann, Carl Friedrich</t>
  </si>
  <si>
    <t>Empire under the Microscope : Parasitology and the British Literary Imagination, 1885-1935</t>
  </si>
  <si>
    <t>Taylor-Pirie, Emilie</t>
  </si>
  <si>
    <t>PN760.5-769</t>
  </si>
  <si>
    <t>https://ebookcentral.proquest.com/lib/istinye/detail.action?docID=6816746</t>
  </si>
  <si>
    <t>Clinical Impact of Bloodstream Infections – Characterization, Risk factors and Outcome</t>
  </si>
  <si>
    <t>Holmbom, Martin</t>
  </si>
  <si>
    <t>https://ebookcentral.proquest.com/lib/istinye/detail.action?docID=6816754</t>
  </si>
  <si>
    <t>Parasites, Pussycats and Psychosis : The Unknown Dangers of Human Toxoplasmosis</t>
  </si>
  <si>
    <t>Torrey, E. Fuller</t>
  </si>
  <si>
    <t>R1</t>
  </si>
  <si>
    <t>https://ebookcentral.proquest.com/lib/istinye/detail.action?docID=6819342</t>
  </si>
  <si>
    <t>Méthodes d'investigation de l'alimentation et des Mangeurs : Miam</t>
  </si>
  <si>
    <t>Originality, Imitation, and Plagiarism : Teaching Writing in the Digital Age</t>
  </si>
  <si>
    <t>Vicinus, Martha</t>
  </si>
  <si>
    <t>The Hyperlinked Society : Questioning Connections in the Digital Age</t>
  </si>
  <si>
    <t>Turow, Joseph</t>
  </si>
  <si>
    <t>Silent Hill : The Terror Engine</t>
  </si>
  <si>
    <t>Perron, Bernard</t>
  </si>
  <si>
    <t>Iron Will : Global Extractivism and Mining Resistance in Brazil and India</t>
  </si>
  <si>
    <t>Kroger, Markus</t>
  </si>
  <si>
    <t>Alienation Effects : Performance and Self-Management in Yugoslavia, 1945-91</t>
  </si>
  <si>
    <t>Theater: Theory/Text/Performance Ser.</t>
  </si>
  <si>
    <t>Jakovljevic, Branislav</t>
  </si>
  <si>
    <t>???</t>
  </si>
  <si>
    <t>791.09497/09045</t>
  </si>
  <si>
    <t>https://ebookcentral.proquest.com/lib/istinye/detail.action?docID=6819947</t>
  </si>
  <si>
    <t>Owning the Olympics : Narratives of the New China</t>
  </si>
  <si>
    <t>Price, Monroe</t>
  </si>
  <si>
    <t>Myst and Riven : The World of the D'ni</t>
  </si>
  <si>
    <t>Wolf, Mark J. P.</t>
  </si>
  <si>
    <t>Is William Martinez Not Our Brother? : Twenty Years of the Prison Creative Arts Project</t>
  </si>
  <si>
    <t>The New Public Scholarship Ser.</t>
  </si>
  <si>
    <t>Alexander, William</t>
  </si>
  <si>
    <t>HV8883</t>
  </si>
  <si>
    <t>365/.66</t>
  </si>
  <si>
    <t>https://ebookcentral.proquest.com/lib/istinye/detail.action?docID=6819951</t>
  </si>
  <si>
    <t>Soziale Armut : Wahrnehmung und Bewältigung Von Armut in Sozialen Netzwerken</t>
  </si>
  <si>
    <t>Sozialstrukturanalyse Ser.</t>
  </si>
  <si>
    <t>Knabe, André</t>
  </si>
  <si>
    <t>HM706</t>
  </si>
  <si>
    <t>https://ebookcentral.proquest.com/lib/istinye/detail.action?docID=6819993</t>
  </si>
  <si>
    <t>Socio-Life Science and the COVID-19 Outbreak : Public Health and Public Policy</t>
  </si>
  <si>
    <t>Yano, Makoto</t>
  </si>
  <si>
    <t>China's Long-Term Low-Carbon Development Strategies and Pathways : Comprehensive Report</t>
  </si>
  <si>
    <t>Institute of Climate Change and Sustainable Development of Tsinghua University et al., Institute of</t>
  </si>
  <si>
    <t>https://ebookcentral.proquest.com/lib/istinye/detail.action?docID=6819995</t>
  </si>
  <si>
    <t>The Gender Regime of Anti-Liberal Hungary</t>
  </si>
  <si>
    <t>Fodor, Éva</t>
  </si>
  <si>
    <t>https://ebookcentral.proquest.com/lib/istinye/detail.action?docID=6819996</t>
  </si>
  <si>
    <t>Summation-by-parts formulations for flow problems</t>
  </si>
  <si>
    <t>Laurén, Fredrik</t>
  </si>
  <si>
    <t>https://ebookcentral.proquest.com/lib/istinye/detail.action?docID=6821834</t>
  </si>
  <si>
    <t>Real-time multi-exposure laser speckle contrast imaging of skin microcirculatory perfusion</t>
  </si>
  <si>
    <t>Hultman, Martin</t>
  </si>
  <si>
    <t>https://ebookcentral.proquest.com/lib/istinye/detail.action?docID=6821835</t>
  </si>
  <si>
    <t>Biocomputing 2022 - Proceedings Of The Pacific Symposium</t>
  </si>
  <si>
    <t>Transformer le Lait Local en Afrique de L'Ouest : Procédés et Clés du développement des Minilaiteries</t>
  </si>
  <si>
    <t>Broutin, Cécile</t>
  </si>
  <si>
    <t>Coexistence et Confrontation des Modèles Agricoles et Alimentaires : Un Nouveau Paradigme du développement Territorial ?</t>
  </si>
  <si>
    <t>Reimagining Science Education in the Anthropocene</t>
  </si>
  <si>
    <t>Palgrave Studies in Education and the Environment Ser.</t>
  </si>
  <si>
    <t>Wallace, Maria F. G.</t>
  </si>
  <si>
    <t>Sustainable Commodity Use : Its Governance, Legal Framework, and Future Regulatory Instruments</t>
  </si>
  <si>
    <t>Oehl, Maximilian Eduard</t>
  </si>
  <si>
    <t>https://ebookcentral.proquest.com/lib/istinye/detail.action?docID=6824265</t>
  </si>
  <si>
    <t>Water Security, Conflict and Cooperation in Peri-Urban South Asia : Flows Across Boundaries</t>
  </si>
  <si>
    <t>Narain, Vishal</t>
  </si>
  <si>
    <t>Banishment in the Late Medieval Eastern Netherlands : Exile and Redemption in Kampen</t>
  </si>
  <si>
    <t>Frankot, Edda</t>
  </si>
  <si>
    <t>Green Economy in the Transport Sector : A Case Study of Limpopo Province, South Africa</t>
  </si>
  <si>
    <t>Odiyo, John Ogony</t>
  </si>
  <si>
    <t>Knowledge and Civil Society</t>
  </si>
  <si>
    <t>Governance and Service Delivery : Practical Applications of Social Accountability Across Sectors</t>
  </si>
  <si>
    <t>RTI International / RTI Press</t>
  </si>
  <si>
    <t>RTI Press Publication</t>
  </si>
  <si>
    <t>Wetterberg, Anna</t>
  </si>
  <si>
    <t>Improving Outcomes for Noncommunicable Diseases in Low- and Middle-Income Countries</t>
  </si>
  <si>
    <t>LaBresh, Kenneth A.</t>
  </si>
  <si>
    <t>Innovations in Home Energy Use : A Sourcebook for Behavior Change</t>
  </si>
  <si>
    <t>Southwell, Brian G.</t>
  </si>
  <si>
    <t>The Essential Role of Language in Survey Research</t>
  </si>
  <si>
    <t>Sha, Mandy</t>
  </si>
  <si>
    <t>Patient-Reported Outcomes in Performance Measurement</t>
  </si>
  <si>
    <t>Cella, David</t>
  </si>
  <si>
    <t>Shale Oil and Gas : The Promise and the Peril, Revised and Updated</t>
  </si>
  <si>
    <t>Rao, Vikram</t>
  </si>
  <si>
    <t>Reproducibility : A Primer on Semantics and Implications for Research</t>
  </si>
  <si>
    <t>Pellizzari, Edo</t>
  </si>
  <si>
    <t>Young Adults in the Workplace : A Multisite Initiative of Substance Use Prevention Programs</t>
  </si>
  <si>
    <t>Bray, Jeremy W.</t>
  </si>
  <si>
    <t>Cultivating Dynamic Educators : Case Studies in Teacher Behavior Change in Africa and Asia</t>
  </si>
  <si>
    <t>Pouezevara, Sarah</t>
  </si>
  <si>
    <t>LA1501.C85 2018</t>
  </si>
  <si>
    <t>https://ebookcentral.proquest.com/lib/istinye/detail.action?docID=6824325</t>
  </si>
  <si>
    <t>Shale Gas : The Promise and the Peril</t>
  </si>
  <si>
    <t>The Nation's Health Care Bill : Who Bears the Burden? a Chartbook</t>
  </si>
  <si>
    <t>Cromwell, Jerry</t>
  </si>
  <si>
    <t>Measuring Nonuse Damages Using Contingent Valuation : An Experimental Evaluation of Accuracy</t>
  </si>
  <si>
    <t>Desvousges, William H.</t>
  </si>
  <si>
    <t>The Early Grade Reading Assessment : Applications and Interventions to Improve Basic Literacy</t>
  </si>
  <si>
    <t>Gove, Amber</t>
  </si>
  <si>
    <t>Pay for Performance in Health Care : Methods and Approaches</t>
  </si>
  <si>
    <t>Dissecting American Health Care : Commentaries on Health, Policy, and Politics</t>
  </si>
  <si>
    <t>Kamerow, Douglas</t>
  </si>
  <si>
    <t>Aerosol Science and Technology : History and Reviews</t>
  </si>
  <si>
    <t>Ensor, David</t>
  </si>
  <si>
    <t>https://ebookcentral.proquest.com/lib/istinye/detail.action?docID=6824333</t>
  </si>
  <si>
    <t>National Assessment Approach to Sampling Error Estimation</t>
  </si>
  <si>
    <t>Folsom, Ralph E.</t>
  </si>
  <si>
    <t>MLCM 2021/42192</t>
  </si>
  <si>
    <t>https://ebookcentral.proquest.com/lib/istinye/detail.action?docID=6824334</t>
  </si>
  <si>
    <t>Methods in Statistical Genomics : In the Context of Genome-Wide Association Studies</t>
  </si>
  <si>
    <t>Cooley, Philip Chester</t>
  </si>
  <si>
    <t>Noncognitive Skills in the Classroom : New Perspectives on Educational Research</t>
  </si>
  <si>
    <t>Rosen, Jeffrey A.</t>
  </si>
  <si>
    <t>Leveraging Data for Student Success : Improving Education Through Data-Driven Decisions</t>
  </si>
  <si>
    <t>Knapp, Laura G.</t>
  </si>
  <si>
    <t>Uncertainty in Engineering : Introduction to Methods and Applications</t>
  </si>
  <si>
    <t>Aslett, Louis J. M.</t>
  </si>
  <si>
    <t>Sprachbildung in der Lehramtsausbildung Mathematik : Konzepte Für eine Sprachbewusste Hochschullehre</t>
  </si>
  <si>
    <t>Schacht, Florian</t>
  </si>
  <si>
    <t>Makers at School, Educational Robotics and Innovative Learning Environments : Research and Experiences from FabLearn Italy 2019, in the Italian Schools and Beyond</t>
  </si>
  <si>
    <t>Lecture Notes in Networks and Systems Ser.</t>
  </si>
  <si>
    <t>Scaradozzi, David</t>
  </si>
  <si>
    <t>Zero Distance : Management in the Quantum Age</t>
  </si>
  <si>
    <t>Zohar, Danah</t>
  </si>
  <si>
    <t>https://ebookcentral.proquest.com/lib/istinye/detail.action?docID=6825144</t>
  </si>
  <si>
    <t>Biometric Identification, Law and Ethics</t>
  </si>
  <si>
    <t>Smith, Marcus</t>
  </si>
  <si>
    <t>The association between moral disengagement and bullying in early adolescence</t>
  </si>
  <si>
    <t>Bjärehed, Marlene</t>
  </si>
  <si>
    <t>https://ebookcentral.proquest.com/lib/istinye/detail.action?docID=6825292</t>
  </si>
  <si>
    <t>The value of immigrants' human capital for labour market integration</t>
  </si>
  <si>
    <t>Tibajev, Andrey</t>
  </si>
  <si>
    <t>https://ebookcentral.proquest.com/lib/istinye/detail.action?docID=6825293</t>
  </si>
  <si>
    <t>Dynamic Visual Learning</t>
  </si>
  <si>
    <t>Johnander, Joakim</t>
  </si>
  <si>
    <t>https://ebookcentral.proquest.com/lib/istinye/detail.action?docID=6825294</t>
  </si>
  <si>
    <t>Ye Shall Know Them by Their Fruits : A Mixed Methods Study on Corruption, Competitiveness, and Christianity in Europe and the Americas</t>
  </si>
  <si>
    <t>García Portilla, Jason</t>
  </si>
  <si>
    <t>HJ9-9940</t>
  </si>
  <si>
    <t>https://ebookcentral.proquest.com/lib/istinye/detail.action?docID=6825384</t>
  </si>
  <si>
    <t>Words in Space and Time : A Historical Atlas of Language Politics in Modern Central Europe</t>
  </si>
  <si>
    <t>Kamusella, Tomasz</t>
  </si>
  <si>
    <t>Constructing Identities over Time : Bad Gypsies and Good Roma in Russia and Hungary</t>
  </si>
  <si>
    <t>Critical Romani Studies Book Ser.</t>
  </si>
  <si>
    <t>Dunajeva, Jekatyerina</t>
  </si>
  <si>
    <t>https://ebookcentral.proquest.com/lib/istinye/detail.action?docID=6825628</t>
  </si>
  <si>
    <t>Die Rolle Von Unternehmen Im IFRS-Standardsetzungsprozess : Analyse Anhand Ausgewählter Regelungen Zur Umsatzerfassung Aus Mehrkomponentengeschäften Nach IFRS 15</t>
  </si>
  <si>
    <t>Rechnungswesen und Unternehmensüberwachung Ser.</t>
  </si>
  <si>
    <t>Jendreck, Annekatrin</t>
  </si>
  <si>
    <t>https://ebookcentral.proquest.com/lib/istinye/detail.action?docID=6825723</t>
  </si>
  <si>
    <t>Epidicus by Plautus : An Annotated Latin Text, with a Prose Translation</t>
  </si>
  <si>
    <t>Tracy, Catherine</t>
  </si>
  <si>
    <t>https://ebookcentral.proquest.com/lib/istinye/detail.action?docID=6825846</t>
  </si>
  <si>
    <t>Coping : A Philosophical Guide</t>
  </si>
  <si>
    <t>Bovens, Luc</t>
  </si>
  <si>
    <t>BF335</t>
  </si>
  <si>
    <t>155.24</t>
  </si>
  <si>
    <t>https://ebookcentral.proquest.com/lib/istinye/detail.action?docID=6825847</t>
  </si>
  <si>
    <t>Mary Warnock : Ethics, Education and Public Policy in Post-War Britain</t>
  </si>
  <si>
    <t>Graham, Philip</t>
  </si>
  <si>
    <t>https://ebookcentral.proquest.com/lib/istinye/detail.action?docID=6825848</t>
  </si>
  <si>
    <t>The Great Reset : 2021 European Public Investment Outlook</t>
  </si>
  <si>
    <t>Auld Lang Syne : A Song and Its Culture</t>
  </si>
  <si>
    <t>Grant, Morag Josephine</t>
  </si>
  <si>
    <t>PR4338</t>
  </si>
  <si>
    <t>https://ebookcentral.proquest.com/lib/istinye/detail.action?docID=6825850</t>
  </si>
  <si>
    <t>Culture and Science</t>
  </si>
  <si>
    <t>Sommermann, Karl-Peter</t>
  </si>
  <si>
    <t>Formalization of Banking Supervision : 19th-20th Centuries</t>
  </si>
  <si>
    <t>Hotori, Eiji</t>
  </si>
  <si>
    <t>Themenkarrieren in der Wissenschaft : Die Entstehung der Themen Stadtschrumpfung und Klimawandel in der Raumforschung</t>
  </si>
  <si>
    <t>Gravert, Andreas</t>
  </si>
  <si>
    <t>https://ebookcentral.proquest.com/lib/istinye/detail.action?docID=6827104</t>
  </si>
  <si>
    <t>Erwerbsarbeit Von Müttern und Frühkindliche Fremdbetreuung : Eine Integrative Betrachtung Von Wohlfahrtseffekten</t>
  </si>
  <si>
    <t>BestMasters Ser.</t>
  </si>
  <si>
    <t>Schrader, Sonja Maria</t>
  </si>
  <si>
    <t>HF5549-5549.5</t>
  </si>
  <si>
    <t>https://ebookcentral.proquest.com/lib/istinye/detail.action?docID=6827113</t>
  </si>
  <si>
    <t>Outcomes of Open Adoption from Care : An Australian Contribution to an International Debate</t>
  </si>
  <si>
    <t>Ward, Harriet</t>
  </si>
  <si>
    <t>A Guide to Sustainable Corporate Responsibility : From Theory to Action</t>
  </si>
  <si>
    <t>Ditlev-Simonsen, Caroline D.</t>
  </si>
  <si>
    <t>HD30.255</t>
  </si>
  <si>
    <t>https://ebookcentral.proquest.com/lib/istinye/detail.action?docID=6827141</t>
  </si>
  <si>
    <t>Counter-Terrorism, Ethics and Technology : Emerging Challenges at the Frontiers of Counter-Terrorism</t>
  </si>
  <si>
    <t>Advanced Sciences and Technologies for Security Applications Ser.</t>
  </si>
  <si>
    <t>Henschke, Adam</t>
  </si>
  <si>
    <t>Prosthetic Body Parts in Nineteenth-Century Literature and Culture</t>
  </si>
  <si>
    <t>Palgrave Studies in Nineteenth-Century Writing and Culture Ser.</t>
  </si>
  <si>
    <t>Sweet, Ryan</t>
  </si>
  <si>
    <t>https://ebookcentral.proquest.com/lib/istinye/detail.action?docID=6827683</t>
  </si>
  <si>
    <t>The Belt and Road Initiative Green Development Case Studies Report 2020</t>
  </si>
  <si>
    <t>BRI International Green Development</t>
  </si>
  <si>
    <t>https://ebookcentral.proquest.com/lib/istinye/detail.action?docID=6827686</t>
  </si>
  <si>
    <t>Sociology of Interdisciplinarity : The Dynamics of Energy Research</t>
  </si>
  <si>
    <t>Silvast, Antti</t>
  </si>
  <si>
    <t>Migration and Pandemics : Spaces of Solidarity and Spaces of Exception</t>
  </si>
  <si>
    <t>Triandafyllidou, Anna</t>
  </si>
  <si>
    <t>https://ebookcentral.proquest.com/lib/istinye/detail.action?docID=6827695</t>
  </si>
  <si>
    <t>Towards an Emissions Trading System in Mexico: Rationale, Design and Connections with the Global Climate Agenda : Outlook on the First ETS in Latin-America and Exploration of the Way Forward</t>
  </si>
  <si>
    <t>Lucatello, Simone</t>
  </si>
  <si>
    <t>https://ebookcentral.proquest.com/lib/istinye/detail.action?docID=6827696</t>
  </si>
  <si>
    <t>Cold War Civil Defence in Western Europe : Sociotechnical Imaginaries of Survival and Preparedness</t>
  </si>
  <si>
    <t>Cronqvist, Marie</t>
  </si>
  <si>
    <t>Co-Creativity and Engaged Scholarship : Transformative Methods in Social Sustainability Research</t>
  </si>
  <si>
    <t>Franklin, Alex</t>
  </si>
  <si>
    <t>GE40-45</t>
  </si>
  <si>
    <t>https://ebookcentral.proquest.com/lib/istinye/detail.action?docID=6827705</t>
  </si>
  <si>
    <t>Digitalisierung Souverän Gestalten II : Handlungsspielräume in Digitalen Wertschöpfungsnetzwerken</t>
  </si>
  <si>
    <t>Happiness--Concept, Measurement and Promotion</t>
  </si>
  <si>
    <t>Ng, Yew-Kwang</t>
  </si>
  <si>
    <t>https://ebookcentral.proquest.com/lib/istinye/detail.action?docID=6827718</t>
  </si>
  <si>
    <t>Dynamics in Logistics : Twenty-Five Years of Interdisciplinary Logistics Research in Bremen, Germany</t>
  </si>
  <si>
    <t>Freitag, Michael</t>
  </si>
  <si>
    <t>No Truth Without Beauty : God, the Qur'an, and Women's Rights</t>
  </si>
  <si>
    <t>Sustainable Development Goals Ser.</t>
  </si>
  <si>
    <t>El-Ali, Leena</t>
  </si>
  <si>
    <t>The Psychosocial Reality of Digital Travel : Being in Virtual Places</t>
  </si>
  <si>
    <t>Tjostheim, Ingvar</t>
  </si>
  <si>
    <t>Space, Place and Educational Settings</t>
  </si>
  <si>
    <t>Freytag, Tim</t>
  </si>
  <si>
    <t>Life Cycle Assessment of Agri-Food Systems : An Operational Guide Dedicated to Developing and Emerging Economies</t>
  </si>
  <si>
    <t>Basset-Mens, Claudine</t>
  </si>
  <si>
    <t>Feminist and LGBTI+ Activism Across Russia, Scandinavia and Turkey : Transnationalizing Spaces of Resistance</t>
  </si>
  <si>
    <t>Thinking Gender in Transnational Times Ser.</t>
  </si>
  <si>
    <t>Çağatay, Selin</t>
  </si>
  <si>
    <t>Opportunities and Challenges for New and Peripheral Political Science Communities : A Consolidated Discipline?</t>
  </si>
  <si>
    <t>Ilonszki, Gabriella</t>
  </si>
  <si>
    <t>Modeling and Model-based Control of Automotive Air Paths</t>
  </si>
  <si>
    <t>Holmbom, Robin</t>
  </si>
  <si>
    <t>https://ebookcentral.proquest.com/lib/istinye/detail.action?docID=6828603</t>
  </si>
  <si>
    <t>Ulnar fractures and ligament injuries of the wrist</t>
  </si>
  <si>
    <t>Moloney, Maria</t>
  </si>
  <si>
    <t>https://ebookcentral.proquest.com/lib/istinye/detail.action?docID=6837122</t>
  </si>
  <si>
    <t>Staged Otherness : Ethnic Shows in Central and Eastern Europe, 1850-1939</t>
  </si>
  <si>
    <t>Demski, Dagnosław</t>
  </si>
  <si>
    <t>Wie Sprache Dem Verstehen Hilft : Ergebnisse Einer Interventionsstudie Zu Sprachsensiblem Geographieunterricht</t>
  </si>
  <si>
    <t>Wey, Santina</t>
  </si>
  <si>
    <t>LB2801-3095</t>
  </si>
  <si>
    <t>https://ebookcentral.proquest.com/lib/istinye/detail.action?docID=6838564</t>
  </si>
  <si>
    <t>Social Innovation in Higher Education : Landscape, Practices, and Opportunities</t>
  </si>
  <si>
    <t>Innovation, Technology, and Knowledge Management Ser.</t>
  </si>
  <si>
    <t>Păunescu, Carmen</t>
  </si>
  <si>
    <t>Sexualisierte Gewalt und Digitale Medien : Reflexive Handlungsempfehlungen Für Die Fachpraxis</t>
  </si>
  <si>
    <t>Vobbe, Frederic</t>
  </si>
  <si>
    <t>A Climate of Justice: an Ethical Foundation for Environmentalism</t>
  </si>
  <si>
    <t>Brown, Marvin T.</t>
  </si>
  <si>
    <t>https://ebookcentral.proquest.com/lib/istinye/detail.action?docID=6838680</t>
  </si>
  <si>
    <t>Piroddi, Luigi</t>
  </si>
  <si>
    <t>Management by Missions : Connecting People to Strategy Through Purpose</t>
  </si>
  <si>
    <t>Cardona, Pablo</t>
  </si>
  <si>
    <t>Die Explorative Tympanoskopie Mit Obliteration des Runden/ovalen Fensters in der Behandlung des Hörsturzes : State of the Art</t>
  </si>
  <si>
    <t>Eichhorn, Thomas</t>
  </si>
  <si>
    <t>The Asian 21st Century</t>
  </si>
  <si>
    <t>Mahbubani, Kishore</t>
  </si>
  <si>
    <t>JQ1-1852</t>
  </si>
  <si>
    <t>https://ebookcentral.proquest.com/lib/istinye/detail.action?docID=6838834</t>
  </si>
  <si>
    <t>Seamless Learning : Grenz- und Kontextübergreifendes Lehren und Lernen in der Bodenseeregion</t>
  </si>
  <si>
    <t>Dilger, Bernadette</t>
  </si>
  <si>
    <t>Academic Flying and the Means of Communication</t>
  </si>
  <si>
    <t>Bjørkdahl, Kristian</t>
  </si>
  <si>
    <t>Agricultural Value Chains in India : Ensuring Competitiveness, Inclusiveness, Sustainability, Scalability, and Improved Finance</t>
  </si>
  <si>
    <t>Annals of Scientific Society for Assembly, Handling and Industrial Robotics 2021</t>
  </si>
  <si>
    <t>Schüppstuhl, Thorsten</t>
  </si>
  <si>
    <t>Green Consensus and High Quality Development : CCICED Annual Policy Report 2020</t>
  </si>
  <si>
    <t>CCICED</t>
  </si>
  <si>
    <t>https://ebookcentral.proquest.com/lib/istinye/detail.action?docID=6838959</t>
  </si>
  <si>
    <t>Monitoring State Compliance with the un Convention on the Rights of the Child : An Analysis of Attributes</t>
  </si>
  <si>
    <t>Children's Well-Being: Indicators and Research Ser.</t>
  </si>
  <si>
    <t>Vaghri, Ziba</t>
  </si>
  <si>
    <t>Peer Review in an Era of Evaluation : Understanding the Practice of Gatekeeping in Academia</t>
  </si>
  <si>
    <t>Forsberg, Eva</t>
  </si>
  <si>
    <t>The Autofictional : Approaches, Affordances, Forms</t>
  </si>
  <si>
    <t>Palgrave Studies in Life Writing Ser.</t>
  </si>
  <si>
    <t>Effe, Alexandra</t>
  </si>
  <si>
    <t>Data-Driven Fault Detection and Reasoning for Industrial Monitoring</t>
  </si>
  <si>
    <t>Intelligent Control and Learning Systems Ser.</t>
  </si>
  <si>
    <t>Wang, Jing</t>
  </si>
  <si>
    <t>Climate of the Middle : Understanding Climate Change As a Common Challenge</t>
  </si>
  <si>
    <t>Siegmann, Arjen</t>
  </si>
  <si>
    <t>GE170-190</t>
  </si>
  <si>
    <t>https://ebookcentral.proquest.com/lib/istinye/detail.action?docID=6841090</t>
  </si>
  <si>
    <t>Information and Communication Technologies in Tourism 2022 : Proceedings of the ENTER 2022 ETourism Conference, January 11-14 2022</t>
  </si>
  <si>
    <t>Stienmetz, Jason L.</t>
  </si>
  <si>
    <t>Collapsing Structures and Public Mismanagement</t>
  </si>
  <si>
    <t>Seibel, Wolfgang</t>
  </si>
  <si>
    <t>Religion and Governance in England's Emerging Colonial Empire, 1601-1698</t>
  </si>
  <si>
    <t>New Transculturalisms, 1400-1800 Ser.</t>
  </si>
  <si>
    <t>Smith, Haig Z.</t>
  </si>
  <si>
    <t>Memory Crash : Politics of History in and Around Ukraine, 1980s-2010s</t>
  </si>
  <si>
    <t>Kasianov, Georgiy</t>
  </si>
  <si>
    <t>https://ebookcentral.proquest.com/lib/istinye/detail.action?docID=6846445</t>
  </si>
  <si>
    <t>In Contempt : Defending Free Speech, Defeating HUAC</t>
  </si>
  <si>
    <t>Yellin, Ed</t>
  </si>
  <si>
    <t>Das Co-Creation Toolbook : Methoden Für eine Erfolgreiche Kooperation Zwischen Hochschule und Gesellschaft</t>
  </si>
  <si>
    <t>Kurzhals, Kerstin</t>
  </si>
  <si>
    <t>A Multidisciplinary Approach to Capability in Age and Ageing</t>
  </si>
  <si>
    <t>Falk Erhag, Hanna</t>
  </si>
  <si>
    <t>Horos : Ancient Boundaries and the Ecology of Stone</t>
  </si>
  <si>
    <t>Potter, Thea</t>
  </si>
  <si>
    <t>Points of Contact : The Shared Intellectual History of Vocalisation in Syriac, Arabic, and Hebrew</t>
  </si>
  <si>
    <t>Posegay, Nick</t>
  </si>
  <si>
    <t>Making the Void Fruitful : Yeats As Spiritual Seeker and Petrarchan Lover</t>
  </si>
  <si>
    <t>Keane, Patrick J.</t>
  </si>
  <si>
    <t>https://ebookcentral.proquest.com/lib/istinye/detail.action?docID=6850556</t>
  </si>
  <si>
    <t>Anthropologies of Global Maternal and Reproductive Health : From Policy Spaces to Sites of Practice</t>
  </si>
  <si>
    <t>Global Maternal and Child Health Ser.</t>
  </si>
  <si>
    <t>Wallace, Lauren J.</t>
  </si>
  <si>
    <t>Pedagogical Realities of Implementing Task-Based Language Teaching</t>
  </si>
  <si>
    <t>Task-Based Language Teaching Ser.</t>
  </si>
  <si>
    <t>Erlam, Rosemary</t>
  </si>
  <si>
    <t>Transformational Change for People and the Planet : Evaluating Environment and Development</t>
  </si>
  <si>
    <t>Uitto, Juha I.</t>
  </si>
  <si>
    <t>Der Glaube an Big Data : Eine Analyse Gesellschaftlicher Überzeugungen Von Erkenntnis- und Nutzengewinnen Aus Digitalen Daten</t>
  </si>
  <si>
    <t>Lünich, Marco</t>
  </si>
  <si>
    <t>HM846-851</t>
  </si>
  <si>
    <t>https://ebookcentral.proquest.com/lib/istinye/detail.action?docID=6854734</t>
  </si>
  <si>
    <t>Narrative Praktiken Von Unternehmen : Imagefördernde Selbstdarstellungen Im Internet</t>
  </si>
  <si>
    <t>Ackermann, Ulrike</t>
  </si>
  <si>
    <t>HB1-846.8</t>
  </si>
  <si>
    <t>https://ebookcentral.proquest.com/lib/istinye/detail.action?docID=6854864</t>
  </si>
  <si>
    <t>Multivariate Statistical Machine Learning Methods for Genomic Prediction</t>
  </si>
  <si>
    <t>Montesinos López, Osval Antonio</t>
  </si>
  <si>
    <t>Genresignaturen : Diskurshistorische Perspektiven Auf das Psycho-Universum Von 1960 Bis 2017</t>
  </si>
  <si>
    <t>Neue Perspektiven der Medienästhetik Ser.</t>
  </si>
  <si>
    <t>Kirsten, Karina</t>
  </si>
  <si>
    <t>https://ebookcentral.proquest.com/lib/istinye/detail.action?docID=6855292</t>
  </si>
  <si>
    <t>Japan's Peacekeeping at a Crossroads : Taking a Robust Stance or Remaining Hesitant?</t>
  </si>
  <si>
    <t>Fujishige, Hiromi Nagata</t>
  </si>
  <si>
    <t>Models for Dispatch of Volunteers in Daily Emergency Response</t>
  </si>
  <si>
    <t>Matinrad, Niki</t>
  </si>
  <si>
    <t>https://ebookcentral.proquest.com/lib/istinye/detail.action?docID=6857696</t>
  </si>
  <si>
    <t>Modeling and Control for Emission Management in Hybrid Electric Commercial Vehicles</t>
  </si>
  <si>
    <t>Holmer, Olov</t>
  </si>
  <si>
    <t>https://ebookcentral.proquest.com/lib/istinye/detail.action?docID=6857697</t>
  </si>
  <si>
    <t>Everyday Life under Communism and After : Lifestyle and Consumption in Hungary, 1945-2000</t>
  </si>
  <si>
    <t>Valuch, Tibor</t>
  </si>
  <si>
    <t>https://ebookcentral.proquest.com/lib/istinye/detail.action?docID=6859756</t>
  </si>
  <si>
    <t>Risk Criticism : Precautionary Reading in an Age of Environmental Uncertainty</t>
  </si>
  <si>
    <t>Wallace, Molly</t>
  </si>
  <si>
    <t>PN98</t>
  </si>
  <si>
    <t>809/.93355</t>
  </si>
  <si>
    <t>https://ebookcentral.proquest.com/lib/istinye/detail.action?docID=6869058</t>
  </si>
  <si>
    <t>Digital Samaritans : Rhetorical Delivery and Engagement in the Digital Humanities</t>
  </si>
  <si>
    <t>Ridolfo, Jim</t>
  </si>
  <si>
    <t>BM910</t>
  </si>
  <si>
    <t>296.8/17072</t>
  </si>
  <si>
    <t>https://ebookcentral.proquest.com/lib/istinye/detail.action?docID=6869059</t>
  </si>
  <si>
    <t>A Player and a Gentleman : The Diary of Harry Watkins, Nineteenth-Century U. S. American Actor</t>
  </si>
  <si>
    <t>Hughes, Amy E.</t>
  </si>
  <si>
    <t>Surrender : How the Clinton Administration Completed the Reagan Revolution</t>
  </si>
  <si>
    <t>Meeropol, Michael Allen</t>
  </si>
  <si>
    <t>Signal Processing Aspects of Massive MIMO and IRS-Aided Communications</t>
  </si>
  <si>
    <t>Özdogan, Özgecan</t>
  </si>
  <si>
    <t>https://ebookcentral.proquest.com/lib/istinye/detail.action?docID=6869274</t>
  </si>
  <si>
    <t>Architecture and Development : Israeli Construction in Sub-Saharan Africa and the Settler Colonial Imagination, 1958-1973</t>
  </si>
  <si>
    <t>Levin, Ayala</t>
  </si>
  <si>
    <t>NA1591</t>
  </si>
  <si>
    <t>https://ebookcentral.proquest.com/lib/istinye/detail.action?docID=6870834</t>
  </si>
  <si>
    <t>China in the World : Culture, Politics, and World Vision</t>
  </si>
  <si>
    <t>Sinotheory Ser.</t>
  </si>
  <si>
    <t>Wang, Ban</t>
  </si>
  <si>
    <t>Scales of Captivity : Racial Capitalism and the Latinx Child</t>
  </si>
  <si>
    <t>Brady, Mary Pat</t>
  </si>
  <si>
    <t>https://ebookcentral.proquest.com/lib/istinye/detail.action?docID=6870836</t>
  </si>
  <si>
    <t>The Russian Revolutions Of 1917 : The Northern Impact and Beyond</t>
  </si>
  <si>
    <t>Myklebost, Kari Aga</t>
  </si>
  <si>
    <t>Film As Embodied Art : Bodily Meaning in the Cinema of Stanley Kubrick</t>
  </si>
  <si>
    <t>Coëgnarts, Maarten</t>
  </si>
  <si>
    <t>https://ebookcentral.proquest.com/lib/istinye/detail.action?docID=6871064</t>
  </si>
  <si>
    <t>Forms of List-Making: Epistemic, Literary, and Visual Enumeration</t>
  </si>
  <si>
    <t>Barton, Roman Alexander</t>
  </si>
  <si>
    <t>Before They Were Titans : Essays on the Early Works of Dostoevsky and Tolstoy</t>
  </si>
  <si>
    <t>Allen, Elizabeth Cheresh</t>
  </si>
  <si>
    <t>Relational Anthropology for Contemporary Economics : A Multidisciplinary Approach</t>
  </si>
  <si>
    <t>Ethical Economy Ser.</t>
  </si>
  <si>
    <t>van Nes, Jermo</t>
  </si>
  <si>
    <t>Cyber Security : 18th China Annual Conference, CNCERT 2021, Beijing, China, July 20-21, 2021, Revised Selected Papers</t>
  </si>
  <si>
    <t>Central Bank Policy Mix: Issues, Challenges, and Policy Responses : Handbook of Central Banking Studies</t>
  </si>
  <si>
    <t>Warjiyo, Perry</t>
  </si>
  <si>
    <t>The Plaston Concept : Plastic Deformation in Structural Materials</t>
  </si>
  <si>
    <t>Atlas of Global Change Risk of Population and Economic Systems</t>
  </si>
  <si>
    <t>IHDP/Future Earth-Integrated Risk Governance Project Ser.</t>
  </si>
  <si>
    <t>Shi, Peijun</t>
  </si>
  <si>
    <t>https://ebookcentral.proquest.com/lib/istinye/detail.action?docID=6874872</t>
  </si>
  <si>
    <t>The Sharing Economy in Europe : Developments, Practices, and Contradictions</t>
  </si>
  <si>
    <t>Česnuitytė, Vida</t>
  </si>
  <si>
    <t>Golden Years of Australian Radio Astronomy : An Illustrated History</t>
  </si>
  <si>
    <t>Orchiston, Wayne</t>
  </si>
  <si>
    <t>Green Infrastructure and Climate Change Adaptation : Function, Implementation and Governance</t>
  </si>
  <si>
    <t>Ecological Research Monographs</t>
  </si>
  <si>
    <t>Nakamura, Futoshi</t>
  </si>
  <si>
    <t>Interlocal Adaptations to Climate Change in East and Southeast Asia : Sharing Lessons of Agriculture, Disaster Risk Reduction, and Resource Management</t>
  </si>
  <si>
    <t>Ito, Tetsuji</t>
  </si>
  <si>
    <t>Biomarkers In Brain Tumors With Focus On Glioblastoma</t>
  </si>
  <si>
    <t>Lysiak, Malgorzata</t>
  </si>
  <si>
    <t>https://ebookcentral.proquest.com/lib/istinye/detail.action?docID=6876043</t>
  </si>
  <si>
    <t>The Nation Form in the Global Age : Ethnographic Perspectives</t>
  </si>
  <si>
    <t>Global Diversities Ser.</t>
  </si>
  <si>
    <t>Ahmad, Irfan</t>
  </si>
  <si>
    <t>Aviation Noise Impact Management : Technologies, Regulations, and Societal Well-Being in Europe</t>
  </si>
  <si>
    <t>Leylekian, Laurent</t>
  </si>
  <si>
    <t>Micro-Management of Irregular Migration : Internal Borders and Public Services in London and Barcelona</t>
  </si>
  <si>
    <t>Schweitzer, Reinhard</t>
  </si>
  <si>
    <t>https://ebookcentral.proquest.com/lib/istinye/detail.action?docID=6877730</t>
  </si>
  <si>
    <t>Climate Adaptation Modelling</t>
  </si>
  <si>
    <t>Kondrup, Claus</t>
  </si>
  <si>
    <t>Prevention and Treatment of Atherosclerosis : Improving State-Of-the-Art Management and Search for Novel Targets</t>
  </si>
  <si>
    <t>The Advisory Roles of Political Scientists in Europe : Comparing Engagements in Policy Advisory Systems</t>
  </si>
  <si>
    <t>Brans, Marleen</t>
  </si>
  <si>
    <t>Handbook of Digital Face Manipulation and Detection : From DeepFakes to Morphing Attacks</t>
  </si>
  <si>
    <t>Advances in Computer Vision and Pattern Recognition Ser.</t>
  </si>
  <si>
    <t>Rathgeb, Christian</t>
  </si>
  <si>
    <t>Unintended Lessons of Revolution : Student Teachers and Political Radicalism in Twentieth-Century Mexico</t>
  </si>
  <si>
    <t>Padilla, Tanalís</t>
  </si>
  <si>
    <t>LC5148</t>
  </si>
  <si>
    <t>https://ebookcentral.proquest.com/lib/istinye/detail.action?docID=6878119</t>
  </si>
  <si>
    <t>Interplay of Things : Religion, Art, and Presence Together</t>
  </si>
  <si>
    <t>Pinn, Anthony B.</t>
  </si>
  <si>
    <t>Experimenting with Ethnography : A Companion to Analysis</t>
  </si>
  <si>
    <t>At the Limits of Cure</t>
  </si>
  <si>
    <t>Venkat, Bharat Jayram</t>
  </si>
  <si>
    <t>Radiation Sounds : Marshallese Music and Nuclear Silences</t>
  </si>
  <si>
    <t>Schwartz, Jessica A.</t>
  </si>
  <si>
    <t>https://ebookcentral.proquest.com/lib/istinye/detail.action?docID=6878123</t>
  </si>
  <si>
    <t>Distributed Optimization for Control and Estimation</t>
  </si>
  <si>
    <t>Parvini Ahmadi, Shervin</t>
  </si>
  <si>
    <t>https://ebookcentral.proquest.com/lib/istinye/detail.action?docID=6881097</t>
  </si>
  <si>
    <t>Evolutionary Equations : Picard's Theorem for Partial Differential Equations, and Applications</t>
  </si>
  <si>
    <t>Operator Theory: Advances and Applications Ser.</t>
  </si>
  <si>
    <t>Seifert, Christian</t>
  </si>
  <si>
    <t>Feminist Methodologies : Experiments, Collaborations and Reflections</t>
  </si>
  <si>
    <t>Gender, Development and Social Change Ser.</t>
  </si>
  <si>
    <t>Harcourt, Wendy</t>
  </si>
  <si>
    <t>Vidding : A History</t>
  </si>
  <si>
    <t>Coppa, Francesca</t>
  </si>
  <si>
    <t>Regenerative Territories : Dimensions of Circularity for Healthy Metabolisms</t>
  </si>
  <si>
    <t>GeoJournal Library</t>
  </si>
  <si>
    <t>Amenta, Libera</t>
  </si>
  <si>
    <t>Contracting and Safety : Exploring Outsourcing Practices in High-Hazard Industries</t>
  </si>
  <si>
    <t>Hayes, Jan</t>
  </si>
  <si>
    <t>The EBMT/EHA CAR-T Cell Handbook</t>
  </si>
  <si>
    <t>Kröger, Nicolaus</t>
  </si>
  <si>
    <t>Education to Build Back Better : What Can We Learn from Education Reform for a Post-Pandemic World</t>
  </si>
  <si>
    <t>Modern Socio-Technical Perspectives on Privacy</t>
  </si>
  <si>
    <t>Knijnenburg, Bart P.</t>
  </si>
  <si>
    <t>The Neo-Aramaic Oral Heritage of the Jews of Zakho</t>
  </si>
  <si>
    <t>Aloni, Oz</t>
  </si>
  <si>
    <t>PJ5289</t>
  </si>
  <si>
    <t>492.2</t>
  </si>
  <si>
    <t xml:space="preserve">Aramaic literature. </t>
  </si>
  <si>
    <t>Replanteando la Acción Social Por la Música : La Búsqueda de la Convivencia y la Ciudadanía en la Red de Escuelas de Música de Medellín</t>
  </si>
  <si>
    <t>Democratising Participatory Research : Pathways to Social Justice from the South</t>
  </si>
  <si>
    <t>Martinez-Vargas, Carmen</t>
  </si>
  <si>
    <t>HM520</t>
  </si>
  <si>
    <t xml:space="preserve">Research--Methodology. </t>
  </si>
  <si>
    <t>Making Sense of Work Through Collaborative Storytelling : Building Narratives in Organisational Change</t>
  </si>
  <si>
    <t>Cleland Silva, Tricia</t>
  </si>
  <si>
    <t>Identifying Security Logics in the EU Policy Discourse : The Migration Crisis and the EU</t>
  </si>
  <si>
    <t>Stępka, Maciej</t>
  </si>
  <si>
    <t>https://ebookcentral.proquest.com/lib/istinye/detail.action?docID=6887015</t>
  </si>
  <si>
    <t>Learning to Diagnose with Simulations : Examples from Teacher Education and Medical Education</t>
  </si>
  <si>
    <t>Fischer, Frank</t>
  </si>
  <si>
    <t>Education for Sustaining Peace Through Historical Memory</t>
  </si>
  <si>
    <t>Memory Politics and Transitional Justice Ser.</t>
  </si>
  <si>
    <t>Schultze-Kraft, Markus</t>
  </si>
  <si>
    <t>Pattern-based Programming Abstractions for Heterogeneous Parallel Computing</t>
  </si>
  <si>
    <t>Ernstsson, August</t>
  </si>
  <si>
    <t>https://ebookcentral.proquest.com/lib/istinye/detail.action?docID=6887234</t>
  </si>
  <si>
    <t>Visual Odometryin Principle and Practice</t>
  </si>
  <si>
    <t>Persson, Mikael</t>
  </si>
  <si>
    <t>https://ebookcentral.proquest.com/lib/istinye/detail.action?docID=6887237</t>
  </si>
  <si>
    <t>Seeds for Diversity and Inclusion : Agroecology and Endogenous Development</t>
  </si>
  <si>
    <t>Nishikawa, Yoshiaki</t>
  </si>
  <si>
    <t>Anthropological Perspectives on Environmental Communication</t>
  </si>
  <si>
    <t>Palgrave Studies in Anthropology of Sustainability Ser.</t>
  </si>
  <si>
    <t>Sjölander-Lindqvist, Annelie</t>
  </si>
  <si>
    <t>The Legibility of Serif and Sans Serif Typefaces : Reading from Paper and Reading from Screens</t>
  </si>
  <si>
    <t>Richardson, John T. E.</t>
  </si>
  <si>
    <t>Researching Values : Methodological Approaches for Understanding Values Work in Organisations and Leadership</t>
  </si>
  <si>
    <t>Espedal, Gry</t>
  </si>
  <si>
    <t>From West to North Frisia : A Journey along the North Sea Coast. Frisian Studies in Honour of Jarich Hoekstra</t>
  </si>
  <si>
    <t>Walker, Alastair</t>
  </si>
  <si>
    <t>Intelligent Systems for Sustainable Person-Centered Healthcare</t>
  </si>
  <si>
    <t>Intelligent Systems Reference Library</t>
  </si>
  <si>
    <t>Kriksciuniene, Dalia</t>
  </si>
  <si>
    <t>Transition and Opportunity : Strategies from Business Leaders on Making the Most of China's Future</t>
  </si>
  <si>
    <t>Jia Zhangke on Jia Zhangke</t>
  </si>
  <si>
    <t>Berry, Michael</t>
  </si>
  <si>
    <t>PN1998</t>
  </si>
  <si>
    <t>https://ebookcentral.proquest.com/lib/istinye/detail.action?docID=6892138</t>
  </si>
  <si>
    <t>Subjektunabhängige, Analytische Unternehmensethik : Begründung und Relevanz Als Praktisch-Normative Betriebswirtschaftslehre</t>
  </si>
  <si>
    <t>Fuchs, Florian</t>
  </si>
  <si>
    <t>https://ebookcentral.proquest.com/lib/istinye/detail.action?docID=6892156</t>
  </si>
  <si>
    <t>A Co-Simulation Tool Applied to Hydraulic Percussion Units</t>
  </si>
  <si>
    <t>Andersson, Håkan</t>
  </si>
  <si>
    <t>https://ebookcentral.proquest.com/lib/istinye/detail.action?docID=6892166</t>
  </si>
  <si>
    <t>Guidebook to Carbon Neutrality in China : Macro and Industry Trends under New Constraints</t>
  </si>
  <si>
    <t>CICC Research, CICC Global Institute</t>
  </si>
  <si>
    <t>https://ebookcentral.proquest.com/lib/istinye/detail.action?docID=6892216</t>
  </si>
  <si>
    <t>Dumbing Down : The Crisis of Quality and Equity in a Once-Great School System--And How to Reverse the Trend</t>
  </si>
  <si>
    <t>Henrekson, Magnus</t>
  </si>
  <si>
    <t>The Greater Chaco Landscape : Ancestors, Scholarship, and Advocacy</t>
  </si>
  <si>
    <t>Van Dyke, Ruth M.</t>
  </si>
  <si>
    <t>Historicizing Fear : Ignorance, Vilification, and Othering</t>
  </si>
  <si>
    <t>Boyce, Travis D.</t>
  </si>
  <si>
    <t>Maya Gods of War</t>
  </si>
  <si>
    <t>Bassie-Sweet, Karen</t>
  </si>
  <si>
    <t>Metalearning : Applications to Automated Machine Learning and Data Mining</t>
  </si>
  <si>
    <t>Cognitive Technologies Ser.</t>
  </si>
  <si>
    <t>Brazdil, Pavel</t>
  </si>
  <si>
    <t>Das Erweiterte Museum : Medien, Technologien und Internet</t>
  </si>
  <si>
    <t>Museums-Bausteine Ser.</t>
  </si>
  <si>
    <t>Franken-Wendelstorf, Regina</t>
  </si>
  <si>
    <t>Equity Policies in Global Higher Education : Reducing Inequality and Increasing Participation and Attainment</t>
  </si>
  <si>
    <t>Issues in Higher Education Ser.</t>
  </si>
  <si>
    <t>Tavares, Orlanda</t>
  </si>
  <si>
    <t>Al-Haq : A Global History of the First Palestinian Human Rights Organization</t>
  </si>
  <si>
    <t>University of California Press</t>
  </si>
  <si>
    <t>New Directions in Palestinian Studies</t>
  </si>
  <si>
    <t>Welchman, Lynn</t>
  </si>
  <si>
    <t>https://ebookcentral.proquest.com/lib/istinye/detail.action?docID=6894681</t>
  </si>
  <si>
    <t>Societies in Transition in Early Greece : An Archaeological History</t>
  </si>
  <si>
    <t>Knodell, Alex R.</t>
  </si>
  <si>
    <t>938.01</t>
  </si>
  <si>
    <t>https://ebookcentral.proquest.com/lib/istinye/detail.action?docID=6894690</t>
  </si>
  <si>
    <t>A Proximate Remove : Queering Intimacy and Loss in the Tale of Genji</t>
  </si>
  <si>
    <t>New Interventions in Japanese Studies</t>
  </si>
  <si>
    <t>Jackson, Reginald</t>
  </si>
  <si>
    <t>https://ebookcentral.proquest.com/lib/istinye/detail.action?docID=6894710</t>
  </si>
  <si>
    <t>The Endurance of Palestinian Political Factions : An Everyday Perspective from Nahr el-Bared Camp</t>
  </si>
  <si>
    <t>Issa, Perla</t>
  </si>
  <si>
    <t>https://ebookcentral.proquest.com/lib/istinye/detail.action?docID=6894846</t>
  </si>
  <si>
    <t>Brought to Life by the Voice : Playback Singing and Cultural Politics in South India</t>
  </si>
  <si>
    <t>South Asia Across the Disciplines Ser.</t>
  </si>
  <si>
    <t>Weidman, Amanda</t>
  </si>
  <si>
    <t>https://ebookcentral.proquest.com/lib/istinye/detail.action?docID=6894889</t>
  </si>
  <si>
    <t>The Funeral of Mr. Wang : Life, Death, and Ghosts in Urbanizing China</t>
  </si>
  <si>
    <t>Kipnis, Andrew B.</t>
  </si>
  <si>
    <t>https://ebookcentral.proquest.com/lib/istinye/detail.action?docID=6895000</t>
  </si>
  <si>
    <t>Knowing about Genocide : Armenian Suffering and Epistemic Struggles</t>
  </si>
  <si>
    <t>Savelsberg, Joachim J.</t>
  </si>
  <si>
    <t>https://ebookcentral.proquest.com/lib/istinye/detail.action?docID=6895014</t>
  </si>
  <si>
    <t>Public Policies and Food Systems in Latin America</t>
  </si>
  <si>
    <t>Le Coq, Jean-François</t>
  </si>
  <si>
    <t>(Post-)colonial Archipelagos : Comparing the Legacies of Spanish Colonialism in Cuba, Puerto Rico, and the Philippines</t>
  </si>
  <si>
    <t>Burchardt, Hans-Jürgen</t>
  </si>
  <si>
    <t>Secretory Autoantibodies in Rheumatoid Arthritis</t>
  </si>
  <si>
    <t>Roos Ljungberg, Karin</t>
  </si>
  <si>
    <t>https://ebookcentral.proquest.com/lib/istinye/detail.action?docID=6896821</t>
  </si>
  <si>
    <t>The Pandemic of Argumentation</t>
  </si>
  <si>
    <t>Argumentation Library</t>
  </si>
  <si>
    <t>Oswald, Steve</t>
  </si>
  <si>
    <t>Mathematical Modeling of the Human Brain : From Magnetic Resonance Images to Finite Element Simulation</t>
  </si>
  <si>
    <t>Mardal, Kent-André</t>
  </si>
  <si>
    <t>The Vortex and the Jet : A Journey into the Beauty and Mystery of Flight</t>
  </si>
  <si>
    <t>Decher, Reiner</t>
  </si>
  <si>
    <t>Feminist IR in Europe : Knowledge Production in Academic Institutions</t>
  </si>
  <si>
    <t>Trends in European IR Theory Ser.</t>
  </si>
  <si>
    <t>Stern, Maria</t>
  </si>
  <si>
    <t>The Future of Financial Systems in the Digital Age : Perspectives from Europe and Japan</t>
  </si>
  <si>
    <t>Perspectives in Law, Business and Innovation Ser.</t>
  </si>
  <si>
    <t>Heckel, Markus</t>
  </si>
  <si>
    <t>Learning, Marginalization, and Improving the Quality of Education in Low-Income Countries</t>
  </si>
  <si>
    <t>Wagner, Daniel A.</t>
  </si>
  <si>
    <t>The Form of Ideology and the Ideology of Form : Cold War, Decolonization and Third World Print Cultures</t>
  </si>
  <si>
    <t>William Sharp and Fiona Macleod : A Life</t>
  </si>
  <si>
    <t>PR5357</t>
  </si>
  <si>
    <t>Sharp, William, 1855-1905--Criticism and interpretation.</t>
  </si>
  <si>
    <t>https://ebookcentral.proquest.com/lib/istinye/detail.action?docID=6898003</t>
  </si>
  <si>
    <t>Traces of War : Interpreting Ethics and Trauma in Twentieth-Century French Writing</t>
  </si>
  <si>
    <t>Contemporary French and Francophone Cultures Ser.</t>
  </si>
  <si>
    <t>Davis, Colin</t>
  </si>
  <si>
    <t>https://ebookcentral.proquest.com/lib/istinye/detail.action?docID=6898657</t>
  </si>
  <si>
    <t>Marie NDiaye : Blankness and Recognition</t>
  </si>
  <si>
    <t>Asibong, Andrew</t>
  </si>
  <si>
    <t>https://ebookcentral.proquest.com/lib/istinye/detail.action?docID=6898660</t>
  </si>
  <si>
    <t>French Cycling : A Social and Cultural History</t>
  </si>
  <si>
    <t>Dauncey, Hugh</t>
  </si>
  <si>
    <t>https://ebookcentral.proquest.com/lib/istinye/detail.action?docID=6898667</t>
  </si>
  <si>
    <t>Cultures of Anyone : Studies on Cultural Democratization in the Spanish Neoliberal Crisis</t>
  </si>
  <si>
    <t>Contemporary Hispanic and Lusophone Cultures Ser.</t>
  </si>
  <si>
    <t>Moreno-Caballud, Luis</t>
  </si>
  <si>
    <t>306.2/0946</t>
  </si>
  <si>
    <t>https://ebookcentral.proquest.com/lib/istinye/detail.action?docID=6898672</t>
  </si>
  <si>
    <t>Spanish Spaces : Landscape, Space and Place in Contemporary Spanish Culture</t>
  </si>
  <si>
    <t>Davies, Ann</t>
  </si>
  <si>
    <t>https://ebookcentral.proquest.com/lib/istinye/detail.action?docID=6898677</t>
  </si>
  <si>
    <t>The Most Dreadful Visitation : Male Madness in Victorian Fiction</t>
  </si>
  <si>
    <t>Liverpool English Texts and Studies</t>
  </si>
  <si>
    <t>Pedlar, Valerie</t>
  </si>
  <si>
    <t>https://ebookcentral.proquest.com/lib/istinye/detail.action?docID=6898681</t>
  </si>
  <si>
    <t>Haiti Unbound : A Spiralist Challenge to the Postcolonial Canon</t>
  </si>
  <si>
    <t>Glover, Kaiama L.</t>
  </si>
  <si>
    <t>https://ebookcentral.proquest.com/lib/istinye/detail.action?docID=6898682</t>
  </si>
  <si>
    <t>Borrowed Forms : The Music and Ethics of Transnational Fiction</t>
  </si>
  <si>
    <t>Lachman, Kathryn</t>
  </si>
  <si>
    <t>https://ebookcentral.proquest.com/lib/istinye/detail.action?docID=6898683</t>
  </si>
  <si>
    <t>Race on Display in 20th- and 21st Century France</t>
  </si>
  <si>
    <t>Knox, Katelyn E.</t>
  </si>
  <si>
    <t>https://ebookcentral.proquest.com/lib/istinye/detail.action?docID=6898684</t>
  </si>
  <si>
    <t>Creolizing Europe : Legacies and Transformations</t>
  </si>
  <si>
    <t>Migrations and Identities Ser.</t>
  </si>
  <si>
    <t>Gutiérrez Rodríguez, Encarnación</t>
  </si>
  <si>
    <t>Imperial Emotions : Cultural Responses to Myths of Empire in Fin-De-Siècle Spain</t>
  </si>
  <si>
    <t>Krauel, Javier</t>
  </si>
  <si>
    <t>https://ebookcentral.proquest.com/lib/istinye/detail.action?docID=6898701</t>
  </si>
  <si>
    <t>Contemporary Irish Women Poets : Memory and Estrangement</t>
  </si>
  <si>
    <t>Collins, Lucy</t>
  </si>
  <si>
    <t>https://ebookcentral.proquest.com/lib/istinye/detail.action?docID=6898703</t>
  </si>
  <si>
    <t>What Is Québécois Literature? : Reflections on the Literary History of Francophone Writing in Canada</t>
  </si>
  <si>
    <t>Chapman, Rosemary</t>
  </si>
  <si>
    <t>PS9071.C49 2013eb</t>
  </si>
  <si>
    <t>https://ebookcentral.proquest.com/lib/istinye/detail.action?docID=6898708</t>
  </si>
  <si>
    <t>Contagion and Enclaves : Tropical Medicine in Colonial India</t>
  </si>
  <si>
    <t>Postcolonialism Across the Disciplines Ser.</t>
  </si>
  <si>
    <t>Bhattacharya, Nandini</t>
  </si>
  <si>
    <t>Involuntary Associations : Postcolonial Studies and World Englishes</t>
  </si>
  <si>
    <t>Huddart, David</t>
  </si>
  <si>
    <t>427.91</t>
  </si>
  <si>
    <t>https://ebookcentral.proquest.com/lib/istinye/detail.action?docID=6898712</t>
  </si>
  <si>
    <t>Postgrowth Imaginaries : New Ecologies and Counterhegemonic Culture in Post-2008 Spain</t>
  </si>
  <si>
    <t>Prádanos, Luis I.</t>
  </si>
  <si>
    <t>https://ebookcentral.proquest.com/lib/istinye/detail.action?docID=6898723</t>
  </si>
  <si>
    <t>American Creoles : The Francophone Caribbean and the American South</t>
  </si>
  <si>
    <t>Francophone Postcolonial Studies</t>
  </si>
  <si>
    <t>Munro, Martin</t>
  </si>
  <si>
    <t>Disability Studies and Spanish Culture : Films, Novels, the Comic and the Public Exhibition</t>
  </si>
  <si>
    <t>Representations: Health, Disability, Culture and Society Ser.</t>
  </si>
  <si>
    <t>Fraser, Benjamin</t>
  </si>
  <si>
    <t>https://ebookcentral.proquest.com/lib/istinye/detail.action?docID=6898726</t>
  </si>
  <si>
    <t>Michel Houellebecq : Humanity and Its Aftermath</t>
  </si>
  <si>
    <t>Morrey, Douglas</t>
  </si>
  <si>
    <t>https://ebookcentral.proquest.com/lib/istinye/detail.action?docID=6898727</t>
  </si>
  <si>
    <t>Jamaica Making : The Theresa Roberts Art Collection</t>
  </si>
  <si>
    <t>Roberts, Emma</t>
  </si>
  <si>
    <t>https://ebookcentral.proquest.com/lib/istinye/detail.action?docID=6898728</t>
  </si>
  <si>
    <t>Knights Across the Atlantic : The Knights of Labor in Britain and Ireland</t>
  </si>
  <si>
    <t>Parfitt, Steven</t>
  </si>
  <si>
    <t>331.88/330941</t>
  </si>
  <si>
    <t>https://ebookcentral.proquest.com/lib/istinye/detail.action?docID=6898733</t>
  </si>
  <si>
    <t>Roland Barthes at the Collège de France</t>
  </si>
  <si>
    <t>O'Meara, Lucy</t>
  </si>
  <si>
    <t>https://ebookcentral.proquest.com/lib/istinye/detail.action?docID=6898737</t>
  </si>
  <si>
    <t>Middlebrow Matters : Women's Reading and the Literary Canon in France since the Belle Époque</t>
  </si>
  <si>
    <t>Holmes, Diana</t>
  </si>
  <si>
    <t>https://ebookcentral.proquest.com/lib/istinye/detail.action?docID=6898738</t>
  </si>
  <si>
    <t>Worker Voice : Employee Representation in the Workplace in Australia, Canada, Germany, the UK and the US 1914-1939</t>
  </si>
  <si>
    <t>Patmore, Greg</t>
  </si>
  <si>
    <t>https://ebookcentral.proquest.com/lib/istinye/detail.action?docID=6898741</t>
  </si>
  <si>
    <t>Beastly Journeys : Travel and Transformation at the Fin de Siècle</t>
  </si>
  <si>
    <t>Youngs, Tim</t>
  </si>
  <si>
    <t>https://ebookcentral.proquest.com/lib/istinye/detail.action?docID=6898750</t>
  </si>
  <si>
    <t>The Mauritian Novel : Fictions of Belonging</t>
  </si>
  <si>
    <t>Waters, Julia</t>
  </si>
  <si>
    <t>https://ebookcentral.proquest.com/lib/istinye/detail.action?docID=6898763</t>
  </si>
  <si>
    <t>Vital Subjects : Race and Biopolitics in Italy 1860-1920</t>
  </si>
  <si>
    <t>Transnational Italian Cultures Ser.</t>
  </si>
  <si>
    <t>Welch, Rhiannon Noel</t>
  </si>
  <si>
    <t>945/.08</t>
  </si>
  <si>
    <t>https://ebookcentral.proquest.com/lib/istinye/detail.action?docID=6898765</t>
  </si>
  <si>
    <t>Articulating Bodies : The Narrative Form of Disability and Illness in Victorian Fiction</t>
  </si>
  <si>
    <t>Hingston, Kylee-Anne</t>
  </si>
  <si>
    <t>https://ebookcentral.proquest.com/lib/istinye/detail.action?docID=6898768</t>
  </si>
  <si>
    <t>The Historical Jesus and the Literary Imagination 1860-1920</t>
  </si>
  <si>
    <t>English Association Monographs: English at the Interface Ser.</t>
  </si>
  <si>
    <t>Stevens, Jennifer</t>
  </si>
  <si>
    <t>https://ebookcentral.proquest.com/lib/istinye/detail.action?docID=6898772</t>
  </si>
  <si>
    <t>Rhetorics of Belonging : Nation, Narration, and Israel/Palestine</t>
  </si>
  <si>
    <t>PJ5012.I87</t>
  </si>
  <si>
    <t>https://ebookcentral.proquest.com/lib/istinye/detail.action?docID=6898773</t>
  </si>
  <si>
    <t>Literary Reimaginings of Argentina's Independence : History, Fiction, Politics</t>
  </si>
  <si>
    <t>Liverpool Latin American Studies</t>
  </si>
  <si>
    <t>McAllister, Catriona</t>
  </si>
  <si>
    <t>https://ebookcentral.proquest.com/lib/istinye/detail.action?docID=6898775</t>
  </si>
  <si>
    <t>Byron and the Forms of Thought</t>
  </si>
  <si>
    <t>Howe, Anthony</t>
  </si>
  <si>
    <t>PR4388.H69 2013eb</t>
  </si>
  <si>
    <t>821.7</t>
  </si>
  <si>
    <t>https://ebookcentral.proquest.com/lib/istinye/detail.action?docID=6898776</t>
  </si>
  <si>
    <t>The Sanitation Triangle : Socio-Culture, Health and Materials</t>
  </si>
  <si>
    <t>Global Environmental Studies</t>
  </si>
  <si>
    <t>Yamauchi, Taro</t>
  </si>
  <si>
    <t>International Impacts on Social Policy : Short Histories in Global Perspective</t>
  </si>
  <si>
    <t>Nullmeier, Frank</t>
  </si>
  <si>
    <t>Ernst Denert Award for Software Engineering 2020 : Practice Meets Foundations</t>
  </si>
  <si>
    <t>Digitale Medien und Nachhaltigkeit : Medienpraktiken Für ein Gutes Leben</t>
  </si>
  <si>
    <t>Medien * Kultur * Kommunikation Ser.</t>
  </si>
  <si>
    <t>Kannengießer, Sigrid</t>
  </si>
  <si>
    <t>https://ebookcentral.proquest.com/lib/istinye/detail.action?docID=6898809</t>
  </si>
  <si>
    <t>SDGs, Transformation, and Quality Growth : Insights from International Cooperation</t>
  </si>
  <si>
    <t>Hosono, Akio</t>
  </si>
  <si>
    <t>https://ebookcentral.proquest.com/lib/istinye/detail.action?docID=6898821</t>
  </si>
  <si>
    <t>Präventionsarbeit der Polizei Als Pädagogische Herausforderung : Empirische Rekonstruktionen Im Umgang Mit Kindern und Jugendlichen</t>
  </si>
  <si>
    <t>Kepura, Jürgen</t>
  </si>
  <si>
    <t>https://ebookcentral.proquest.com/lib/istinye/detail.action?docID=6898826</t>
  </si>
  <si>
    <t>Intercultural Approaches to Education : From Theory to Practice</t>
  </si>
  <si>
    <t>Die Bedeutung Von Flüchtling, Geflüchtete_r und Migrant_in : Eine Frame-Semantische Untersuchung Zum Diskurs Zur Sog. Flüchtlingskrise</t>
  </si>
  <si>
    <t>Theorie und Praxis der Diskursforschung Ser.</t>
  </si>
  <si>
    <t>Neumair, Phillip Alexander</t>
  </si>
  <si>
    <t>https://ebookcentral.proquest.com/lib/istinye/detail.action?docID=6899791</t>
  </si>
  <si>
    <t>Transformation Literacy : Pathways to Regenerative Civilizations</t>
  </si>
  <si>
    <t>Künkel, Petra</t>
  </si>
  <si>
    <t>Wicked Problems in Public Policy : Understanding and Responding to Complex Challenges</t>
  </si>
  <si>
    <t>Head, Brian W.</t>
  </si>
  <si>
    <t>https://ebookcentral.proquest.com/lib/istinye/detail.action?docID=6912963</t>
  </si>
  <si>
    <t>Academic Integrity in Canada : An Enduring and Essential Challenge</t>
  </si>
  <si>
    <t>Ethics and Integrity in Educational Contexts Ser.</t>
  </si>
  <si>
    <t>Eaton, Sarah Elaine</t>
  </si>
  <si>
    <t>Vzdělávání žáků s Aspergerovým syndromem v inkluzivní třídě : Metodická příručka</t>
  </si>
  <si>
    <t>Masaryk University</t>
  </si>
  <si>
    <t>Bazalová, Barbora</t>
  </si>
  <si>
    <t>Czech</t>
  </si>
  <si>
    <t>https://ebookcentral.proquest.com/lib/istinye/detail.action?docID=6913509</t>
  </si>
  <si>
    <t>65. studentská vědecká konference : Program a sborník abstraktů</t>
  </si>
  <si>
    <t>Jurajda, Michal</t>
  </si>
  <si>
    <t>https://ebookcentral.proquest.com/lib/istinye/detail.action?docID=6913510</t>
  </si>
  <si>
    <t>Metodika práce s třídním kolektivem v inkluzivní třídě se zaměřením na žáky se sluchovým postižením : Metodická příručka</t>
  </si>
  <si>
    <t>Bytešníková, Ilona</t>
  </si>
  <si>
    <t>Praxe studijního programu Učitelství pro mateřské školy: metodická příručka pro studenty</t>
  </si>
  <si>
    <t>Syslová, Zora</t>
  </si>
  <si>
    <t>Metodika dlouhodobého ukládání a archivace digitálních dokumentů</t>
  </si>
  <si>
    <t>Pichl, Marek</t>
  </si>
  <si>
    <t>Terminologia graeco-latina medica pro studijní obory fyzioterapie a všeobecná sestra</t>
  </si>
  <si>
    <t>Terminologia graeco-latina medica pro bakalářské obory Lékařské fakulty MU : Gramatická příručka</t>
  </si>
  <si>
    <t>Terminologia graeco-latina medica pro studijní obor porodní asistentka</t>
  </si>
  <si>
    <t>Já z hvězd svou moudrost nevyčet… : Studentský sborník intermediálních analýz</t>
  </si>
  <si>
    <t>Jedličková, Alice</t>
  </si>
  <si>
    <t>Terminologies, Lexical Hierarchies and other Configurations</t>
  </si>
  <si>
    <t>Foreign Languages: Linguistics and Literature Studies</t>
  </si>
  <si>
    <t>Vogel, Radek</t>
  </si>
  <si>
    <t>https://ebookcentral.proquest.com/lib/istinye/detail.action?docID=6913518</t>
  </si>
  <si>
    <t>Transdisciplinární didaktika: o učitelském sdílení znalostí a zvyšování kvality výuky napříč obory</t>
  </si>
  <si>
    <t>Syntézy výzkumu vzdělávání</t>
  </si>
  <si>
    <t>Slavík, Jan</t>
  </si>
  <si>
    <t>Smooth and F-smooth systems with applications to Covariant Quantum Mechanics</t>
  </si>
  <si>
    <t>Folia Facultatis Scientiarum Naturalium Universitatis Masarykianae Brunensis. Mathematica</t>
  </si>
  <si>
    <t>Janyška, Josef</t>
  </si>
  <si>
    <t>Foglar v nás: Záhada hlav a lomu</t>
  </si>
  <si>
    <t>Jirásek, Ivo</t>
  </si>
  <si>
    <t>Slovanský literární svět: kontexty a konfrontace III : Motiv domova ve slovanských literaturách</t>
  </si>
  <si>
    <t>Paučová, Lenka</t>
  </si>
  <si>
    <t>Proceedings of the 11th International Conference on Kinanthropology : 29. 11. – 1. 12. 2017</t>
  </si>
  <si>
    <t>Zvonař, Martin</t>
  </si>
  <si>
    <t>Momentum. Umění a kosmopolitní modernita</t>
  </si>
  <si>
    <t>Horáková, Jana</t>
  </si>
  <si>
    <t>Slovanský literární svět: kontexty a konfrontace IV</t>
  </si>
  <si>
    <t>Nedělní pedagogické krasořeči : O obratech a vyvažování ve výchově a vzdělávání</t>
  </si>
  <si>
    <t>Reflexe</t>
  </si>
  <si>
    <t>https://ebookcentral.proquest.com/lib/istinye/detail.action?docID=6913526</t>
  </si>
  <si>
    <t>Příležitosti k rozvíjení autonomie žáka v hodinách anglického jazyka</t>
  </si>
  <si>
    <t>Cizí jazyky a jejich didaktiky: teorie, empirie, praxe</t>
  </si>
  <si>
    <t>Chválová, Marie</t>
  </si>
  <si>
    <t>https://ebookcentral.proquest.com/lib/istinye/detail.action?docID=6913527</t>
  </si>
  <si>
    <t>Somatopedické simulační techniky a intervence : Metodické texty k projektu MUNI 4.0. Pedagogická fakulta, studijní program Logopedie (Bc.)</t>
  </si>
  <si>
    <t>Opatřilová, Dagmar</t>
  </si>
  <si>
    <t>https://ebookcentral.proquest.com/lib/istinye/detail.action?docID=6913528</t>
  </si>
  <si>
    <t>Speciálněpedagogická diagnostika somatopedická : Metodické texty k projektu MUNI 4.0. Pedagogická fakulta, studijní program Logopedie (Bc.)</t>
  </si>
  <si>
    <t>https://ebookcentral.proquest.com/lib/istinye/detail.action?docID=6913529</t>
  </si>
  <si>
    <t>Personální marketing v řízení lidských zdrojů</t>
  </si>
  <si>
    <t>Myslivcová, Světlana</t>
  </si>
  <si>
    <t>https://ebookcentral.proquest.com/lib/istinye/detail.action?docID=6913530</t>
  </si>
  <si>
    <t>Rozhodni se! aneb životním stylem ke zdraví : Metodický materiál k výuce prevence onkologických a dalších chronických neinfekčních chorob pro 2. stupeň ZŠ</t>
  </si>
  <si>
    <t>Smejkalová, Zdeňka</t>
  </si>
  <si>
    <t>Proč školství a jeho aktéři selhávají : Kognitivní krajiny a nacionalismus</t>
  </si>
  <si>
    <t>Šíp, Radim</t>
  </si>
  <si>
    <t>https://ebookcentral.proquest.com/lib/istinye/detail.action?docID=6913532</t>
  </si>
  <si>
    <t>Tradiční rodina v Číně</t>
  </si>
  <si>
    <t>Dosedlová, Aneta</t>
  </si>
  <si>
    <t>XI. studentská vědecká konference Katedry českého jazyka a literatury : 14. března 2019</t>
  </si>
  <si>
    <t>Sborník prací Pedagogické fakulty Masarykovy univerzity</t>
  </si>
  <si>
    <t>Nováková, Ester</t>
  </si>
  <si>
    <t>Variabilita sinic v elektronovém mikroskopu</t>
  </si>
  <si>
    <t>Šmarda, Jan</t>
  </si>
  <si>
    <t>https://ebookcentral.proquest.com/lib/istinye/detail.action?docID=6913535</t>
  </si>
  <si>
    <t>13. mezinárodní vědecká konference Didaktická konference 2019 : Sborník příspěvků</t>
  </si>
  <si>
    <t>Válek, Jan</t>
  </si>
  <si>
    <t>Focus on: INSIDE / OUTSIDE</t>
  </si>
  <si>
    <t>Stehlíková, Hana</t>
  </si>
  <si>
    <t>(Geo)Demografie nejen pro ekonomy</t>
  </si>
  <si>
    <t>Kunc, Josef</t>
  </si>
  <si>
    <t>EdTech KISK: Studijní profilace Technologie ve vzdělávání</t>
  </si>
  <si>
    <t>Černý, Michal</t>
  </si>
  <si>
    <t>Profesionální pomáhání : Rozhovory napříč pomáhajícími profesemi</t>
  </si>
  <si>
    <t>Švec, Vlastimil</t>
  </si>
  <si>
    <t>https://ebookcentral.proquest.com/lib/istinye/detail.action?docID=6913540</t>
  </si>
  <si>
    <t>Life in Health 2019: Research and Practice : Proceedings of the International Conference held on 5–6 September 2019</t>
  </si>
  <si>
    <t>Holinková, Markéta</t>
  </si>
  <si>
    <t>Muzejní profese a veřejnost 2 : Reflexe edukačního fenoménu v současné muzejní praxi</t>
  </si>
  <si>
    <t>Jagošová, Lucie</t>
  </si>
  <si>
    <t>Psychologie práce a organizace 2019</t>
  </si>
  <si>
    <t>Procházka, Jakub</t>
  </si>
  <si>
    <t>Exploring and explaining participation in local opposition: brown coal mining in Horní Jiřetín</t>
  </si>
  <si>
    <t>Černoch, Filip</t>
  </si>
  <si>
    <t>Outdoor Education in Geography: A Specific Educational Strategy</t>
  </si>
  <si>
    <t>https://ebookcentral.proquest.com/lib/istinye/detail.action?docID=6913545</t>
  </si>
  <si>
    <t>Podpora vedení studentů na praxi v mateřské škole</t>
  </si>
  <si>
    <t>Lidová píseň v hudební výchově na základních a středních školách v České republice</t>
  </si>
  <si>
    <t>Kučerová, Judita</t>
  </si>
  <si>
    <t>Česká problémová dramatika šedesátých let 20. století</t>
  </si>
  <si>
    <t>Kroča, David</t>
  </si>
  <si>
    <t>https://ebookcentral.proquest.com/lib/istinye/detail.action?docID=6913548</t>
  </si>
  <si>
    <t>Cytologický a embryologický atlas</t>
  </si>
  <si>
    <t>Vaňhara, Petr</t>
  </si>
  <si>
    <t>Výzkum v didaktice cizích jazyků II</t>
  </si>
  <si>
    <t>Janíková, Věra</t>
  </si>
  <si>
    <t>Repetitorium onemocnění sliznice ústní dutiny</t>
  </si>
  <si>
    <t>Izakovičová, Lydie</t>
  </si>
  <si>
    <t>Prostor a jeho obývání : Zobrazení prostoru v díle Marie Noëlové, Suzanne Renaudové, Christiane Singerové a Sylvie Germainové</t>
  </si>
  <si>
    <t>Cizí jazyky: jazykovědné a literárně vědné studie</t>
  </si>
  <si>
    <t>https://ebookcentral.proquest.com/lib/istinye/detail.action?docID=6913552</t>
  </si>
  <si>
    <t>The preschool teacher as a reflective practitioner</t>
  </si>
  <si>
    <t>https://ebookcentral.proquest.com/lib/istinye/detail.action?docID=6913553</t>
  </si>
  <si>
    <t>University textbook on oral mucosal diseases</t>
  </si>
  <si>
    <t>Směřování ke kvalitě 2016–2020 v pedagogicko-psychologické přípravě budoucích učitelů na PdF MU</t>
  </si>
  <si>
    <t>Kratochvílová, Jana</t>
  </si>
  <si>
    <t>Kleines derivationelles Valenzlexikon zu einigen zentralen Valenzträgern im Deutschen und Tschechischen : Versuch einer kategorienübergreifenden Erfassung der Valenzrealisierung</t>
  </si>
  <si>
    <t>Muzikant, Mojmír</t>
  </si>
  <si>
    <t>Nerovný vývoj světa a rozvojová teorie</t>
  </si>
  <si>
    <t>Navrátilová, Alice</t>
  </si>
  <si>
    <t>https://ebookcentral.proquest.com/lib/istinye/detail.action?docID=6913557</t>
  </si>
  <si>
    <t>Proces fúzí obchodních společností v právních, účetních a daňových souvislostech</t>
  </si>
  <si>
    <t>Sedláček, Jaroslav</t>
  </si>
  <si>
    <t>Standard kvality profesních kompetencí studenta učitelství</t>
  </si>
  <si>
    <t>Speciálněpedagogická diagnostika oftalmopedická : Metodické texty k projektu MUNI 4.0. Pedagogická fakulta, studijní program Logopedie (Bc.)</t>
  </si>
  <si>
    <t>Röderová, Petra</t>
  </si>
  <si>
    <t>https://ebookcentral.proquest.com/lib/istinye/detail.action?docID=6913560</t>
  </si>
  <si>
    <t>Leading Learning Networks in Education : Theoretical Framework and School Leaders’ Perspectives across Europe</t>
  </si>
  <si>
    <t>Simulační techniky oftalmopedické : Metodické texty k projektu MUNI 4.0. Pedagogická fakulta, studijní program Logopedie (Bc.)</t>
  </si>
  <si>
    <t>Vrubel, Martin</t>
  </si>
  <si>
    <t>https://ebookcentral.proquest.com/lib/istinye/detail.action?docID=6913562</t>
  </si>
  <si>
    <t>Venkovský cestovní ruch : Aktuální témata cestovního ruchu</t>
  </si>
  <si>
    <t>Šíp, Jiří</t>
  </si>
  <si>
    <t>Tourism/Hospitality</t>
  </si>
  <si>
    <t>https://ebookcentral.proquest.com/lib/istinye/detail.action?docID=6913563</t>
  </si>
  <si>
    <t>Možnosti zvyšování efektivnosti veřejného sektoru v podmínkách krize veřejných financí II</t>
  </si>
  <si>
    <t>Malý, Ivan</t>
  </si>
  <si>
    <t>Speciálněpedagogická diagnostika surdopedická : Metodické texty k projektu MUNI 4.0. Pedagogická fakulta, studijní program Logopedie (Bc.)</t>
  </si>
  <si>
    <t>Komunikační a simulační techniky logopedické : Metodické texty k projektu MUNI 4.0. Pedagogická fakulta, studijní program Logopedie (Bc.)</t>
  </si>
  <si>
    <t>Kopečný, Petr</t>
  </si>
  <si>
    <t>Sto tváří, sto příběhů : Vybrané osobnosti v dějinách Filozofické fakulty Masarykovy univerzity</t>
  </si>
  <si>
    <t>Fasora, Lukáš</t>
  </si>
  <si>
    <t>Tomáškovy dny 2020 : XXIX. konference mladých mikrobiologů</t>
  </si>
  <si>
    <t>Vacek, Lukáš</t>
  </si>
  <si>
    <t>https://ebookcentral.proquest.com/lib/istinye/detail.action?docID=6913568</t>
  </si>
  <si>
    <t>Komunikace osob s duálním smyslovým postižením : Metodické texty k projektu MUNI 4.0. Pedagogická fakulta, studijní program Logopedie (Bc.)</t>
  </si>
  <si>
    <t>Horáková, Radka</t>
  </si>
  <si>
    <t>https://ebookcentral.proquest.com/lib/istinye/detail.action?docID=6913569</t>
  </si>
  <si>
    <t>Diverzifikace předškolního vzdělávání v ČR</t>
  </si>
  <si>
    <t>Jarkovská, Lucie</t>
  </si>
  <si>
    <t>Proceedings of the 12th International Conference on Kinanthropology : Sport and Quality of Life. 7. – 9. 11. 2019</t>
  </si>
  <si>
    <t>Cacek, Jan</t>
  </si>
  <si>
    <t>Otázky neolitu a eneolitu. 39. ročník. Brno, 9.–11. 9. 2020 : Sborník abstraktů</t>
  </si>
  <si>
    <t>Malíšková, Johana</t>
  </si>
  <si>
    <t>Moravský kras a okolí / Moravian Karst and its Environs : Atlas pro terénní výuku a outdoorové aktivity / Atlas for field work and outdoor activities</t>
  </si>
  <si>
    <t>Balák, Ivan</t>
  </si>
  <si>
    <t>Proměny Brněnského varhanního festivalu</t>
  </si>
  <si>
    <t>We’re Not Afraid of Cancer or Prevention as a Doorway to Health : Oncological Prevention Methology for Lower Secondary Schools</t>
  </si>
  <si>
    <t>Slaná, Jitka</t>
  </si>
  <si>
    <t>Speciálněpedagogická diagnostika logopedická : Metodické texty k projektu MUNI 4.0. Pedagogická fakulta, studijní program Logopedie (Bc.)</t>
  </si>
  <si>
    <t>Chleboradová, Barbora</t>
  </si>
  <si>
    <t>Výkonnost podniku v kontextu spokojenosti zákazníka, zpětných toků, kvality, inovací a znalostí</t>
  </si>
  <si>
    <t>Klapalová, Alena</t>
  </si>
  <si>
    <t>Řízení třídy: studenti učitelství a jejich provázející učitelé</t>
  </si>
  <si>
    <t>Vlčková, Kateřina</t>
  </si>
  <si>
    <t>Guide to General Histology and Microscopic Anatomy</t>
  </si>
  <si>
    <t>Alternativní a augmentativní komunikace : Metodické texty k projektu MUNI 4.0. Pedagogická fakulta, studijní program Logopedie (Bc.)</t>
  </si>
  <si>
    <t>https://ebookcentral.proquest.com/lib/istinye/detail.action?docID=6913580</t>
  </si>
  <si>
    <t>Speciálněpedagogická diagnostika a intervence u žáků se specifickými poruchami učení : Metodické texty k projektu MUNI 4.0. Pedagogická fakulta, studijní program Logopedie (Bc.)</t>
  </si>
  <si>
    <t>Bartoňová, Miroslava</t>
  </si>
  <si>
    <t>https://ebookcentral.proquest.com/lib/istinye/detail.action?docID=6913581</t>
  </si>
  <si>
    <t>Komunikační a simulační techniky surdopedické : Metodické texty k projektu MUNI 4.0. Pedagogická fakulta, studijní program Logopedie (Bc.)</t>
  </si>
  <si>
    <t>100 let R. U. R. : Sborník z konference na Pedagogické fakultě Masarykovy univerzity v Brně, 11. září 2019</t>
  </si>
  <si>
    <t>Jemelka, Petr</t>
  </si>
  <si>
    <t>XII. studentská vědecká konference Katedry českého jazyka a literatury : 8. října 2020</t>
  </si>
  <si>
    <t>Kariérová adaptabilita : Její podoby, proměny, souvislosti a role v životě mladých dospělých procházejících středním odborným vzděláváním</t>
  </si>
  <si>
    <t>Hlaďo, Petr</t>
  </si>
  <si>
    <t>(Teaching) Regional Geography : Proceedings of 27th Central European Conference. 17th October 2019, Brno</t>
  </si>
  <si>
    <t>Mísařová, Darina</t>
  </si>
  <si>
    <t>Mladá slavistika V : Slavistická badatelská dílna</t>
  </si>
  <si>
    <t>Michálek, Zbyněk</t>
  </si>
  <si>
    <t>Cesty horním Kurveleshem v čase a prostoru</t>
  </si>
  <si>
    <t>Klontza-Jaklová, Věra</t>
  </si>
  <si>
    <t>Nástroje pro přechod na oběhové hospodářství : Informační, motivační a dobrovolné nástroje pro obce a občany</t>
  </si>
  <si>
    <t>Tóthová, Dominika</t>
  </si>
  <si>
    <t>Kontrahovanie služieb vo verejnom sektore – skúsenosti v Slovenskej a Českej republike</t>
  </si>
  <si>
    <t>Mikušová, Beáta</t>
  </si>
  <si>
    <t>https://ebookcentral.proquest.com/lib/istinye/detail.action?docID=6913590</t>
  </si>
  <si>
    <t>Freedom in the Mirror of University History : Commemorating the 100th anniversary of the founding of Masaryk University and dedicated to all the authors in its history who were silenced</t>
  </si>
  <si>
    <t>Masaryk University Miscellania</t>
  </si>
  <si>
    <t>Mizerová, Alena</t>
  </si>
  <si>
    <t>Uměním tě proměním : Výtvarné činnosti a jejich přínos preprimárnímu vzdělávání</t>
  </si>
  <si>
    <t>Mýty – omyly – nepravdy : O „chibách“ ve vzdělávání a pedagogice</t>
  </si>
  <si>
    <t>Real World Learning in Outdoor Environmental Education Programs : The Practice from the Perspective of Educational Research</t>
  </si>
  <si>
    <t>Typo Poster : Traditional Medium of Communication in Epoch of Advanced Digital Technologies</t>
  </si>
  <si>
    <t>Noga, Pavel</t>
  </si>
  <si>
    <t>https://ebookcentral.proquest.com/lib/istinye/detail.action?docID=6913595</t>
  </si>
  <si>
    <t>Idea univerzity z české perspektivy : Rozhovory s Jiřím Hanušem</t>
  </si>
  <si>
    <t>Masaryk University Conversations</t>
  </si>
  <si>
    <t>Functional Plurality of Language in Contextualised Discourse : Eighth Brno Conference on Linguistics Studies in English. Conference Proceedings. Brno, 12–13 September 2019</t>
  </si>
  <si>
    <t>Headlandová, Irena</t>
  </si>
  <si>
    <t>Úvod do ekologické problematiky</t>
  </si>
  <si>
    <t>https://ebookcentral.proquest.com/lib/istinye/detail.action?docID=6913598</t>
  </si>
  <si>
    <t>Current issues of the Russian language teaching XIV</t>
  </si>
  <si>
    <t>Koryčánková, Simona</t>
  </si>
  <si>
    <t>Pohybová aktivita jako účinný prostředek nefarmakologické péče v onkologii</t>
  </si>
  <si>
    <t>Kapounková, Kateřina</t>
  </si>
  <si>
    <t>64. studentská vědecká konference : Program a sborník abstraktů</t>
  </si>
  <si>
    <t>https://ebookcentral.proquest.com/lib/istinye/detail.action?docID=6913601</t>
  </si>
  <si>
    <t>Análisis de errores en la interlengua de aprendices de ELE universitarios checos y eslovacos</t>
  </si>
  <si>
    <t>Pontes Philologici</t>
  </si>
  <si>
    <t>Rodríguez, Cristina</t>
  </si>
  <si>
    <t>The Attitudes of Elementary School Teachers to Eating Disorders</t>
  </si>
  <si>
    <t>Tělesná výchova a výchova ke zdraví</t>
  </si>
  <si>
    <t>https://ebookcentral.proquest.com/lib/istinye/detail.action?docID=6913603</t>
  </si>
  <si>
    <t>Subjektivní teorie a jednání učitelů: vícečetná případová studie v kontextu profesního rozvoje učitelů</t>
  </si>
  <si>
    <t>Pedagogický výzkum v teorii a praxi</t>
  </si>
  <si>
    <t>Koubek, Petr</t>
  </si>
  <si>
    <t>https://ebookcentral.proquest.com/lib/istinye/detail.action?docID=6913604</t>
  </si>
  <si>
    <t>Konstrukční úlohy : Učební text pro studenty učitelství matematiky 2. stupně základní školy</t>
  </si>
  <si>
    <t>Budínová, Irena</t>
  </si>
  <si>
    <t>Výzkum v didaktice cizích jazyků III</t>
  </si>
  <si>
    <t>Efektivní vyučování v heterogenní třídě se zřetelem na metody a učební strategie</t>
  </si>
  <si>
    <t>Inkluzivní didaktika v praxi základní školy : Teorie, výzkum a praxe</t>
  </si>
  <si>
    <t>Edukace žáků se speciálními vzdělávacími potřebami v českém jazyce a literatuře – zaměření na žáky s SPU a zdravotním znevýhodněním : Metodická příručka</t>
  </si>
  <si>
    <t>Klímová, Květoslava</t>
  </si>
  <si>
    <t>Logbook pro doktorský studijní program Speciální pedagogika</t>
  </si>
  <si>
    <t>Logbook for Special Edication doctoral program</t>
  </si>
  <si>
    <t>Metodika práce s třídním kolektivem v inkluzivní třídě se zaměřením na žáky s narušenou komunikační schopností : Metodická příručka</t>
  </si>
  <si>
    <t>Metodika práce s třídním kolektivem v inkluzivní třídě se zaměřením na žáky se zrakovým postižením : Metodická příručka</t>
  </si>
  <si>
    <t>Metodika práce s třídním kolektivem v inkluzivní třídě se zaměřením na žáky s epilepsií : Metodická příručka</t>
  </si>
  <si>
    <t>Fialová, Ilona</t>
  </si>
  <si>
    <t>https://ebookcentral.proquest.com/lib/istinye/detail.action?docID=6913614</t>
  </si>
  <si>
    <t>Dobrodružství historické interpretace</t>
  </si>
  <si>
    <t>Masaryk University Contributions to History</t>
  </si>
  <si>
    <t>Student Scientific Conference MUNI Pharm 2021 : The Book of Abstracts</t>
  </si>
  <si>
    <t>Bobáľ, Pavel</t>
  </si>
  <si>
    <t>Tomáškovy dny 2021 : XXX. konference mladých mikrobiologů</t>
  </si>
  <si>
    <t>XXIV. mezinárodní kolokvium o regionálních vědách : Sborník příspěvků</t>
  </si>
  <si>
    <t>Klímová, Viktorie</t>
  </si>
  <si>
    <t>Building University Schools in Teacher Education Programmes : Guidelines and Suggestions</t>
  </si>
  <si>
    <t>Výslovnost ve výuce německého jazyka na ZŠ</t>
  </si>
  <si>
    <t>Čeřovská, Martina</t>
  </si>
  <si>
    <t>https://ebookcentral.proquest.com/lib/istinye/detail.action?docID=6913620</t>
  </si>
  <si>
    <t>Jak měřit metakognici (nejen) u nadaných dětí</t>
  </si>
  <si>
    <t>Straka, Ondřej</t>
  </si>
  <si>
    <t>https://ebookcentral.proquest.com/lib/istinye/detail.action?docID=6913621</t>
  </si>
  <si>
    <t>Geografie bariér : Příklady dobrých bezbariérových realizací</t>
  </si>
  <si>
    <t>Osman, Robert</t>
  </si>
  <si>
    <t>Predikce potenciálních míst k výstavbě retenčních nádrží v krajině na základě využití reliktů zaniklých vodohospodářských staveb : Certifikovaná metodika</t>
  </si>
  <si>
    <t>Mazáčková, Jana</t>
  </si>
  <si>
    <t>Studují spolu : Vzájemné učení mezi vysokoškolskými studenty kombinovaných studií a možnosti jeho podpory</t>
  </si>
  <si>
    <t>https://ebookcentral.proquest.com/lib/istinye/detail.action?docID=6913626</t>
  </si>
  <si>
    <t>Zdroje a šíření vybraných komodit keramické produkce vrcholného a pozdního středověku</t>
  </si>
  <si>
    <t>Loskotová, Irena</t>
  </si>
  <si>
    <t>XIII. studentská vědecká konference Katedry českého jazyka a literatury : 18. března 2021</t>
  </si>
  <si>
    <t>Vzdělávání žáků se specifickými poruchami učení – matematika : Metodická příručka</t>
  </si>
  <si>
    <t>Blažková, Růžena</t>
  </si>
  <si>
    <t>https://ebookcentral.proquest.com/lib/istinye/detail.action?docID=6913629</t>
  </si>
  <si>
    <t>Metody kauzální analýzy pro měření efektivity podpory prodeje</t>
  </si>
  <si>
    <t>Králová, Maria</t>
  </si>
  <si>
    <t>https://ebookcentral.proquest.com/lib/istinye/detail.action?docID=6913630</t>
  </si>
  <si>
    <t>Postupy a nástroje pedagogické evaluace pro (budoucí) učitele</t>
  </si>
  <si>
    <t>Netradiční studenti pedagogických oborů na českých vysokých školách</t>
  </si>
  <si>
    <t>Novotný, Petr</t>
  </si>
  <si>
    <t>Inquiry in University Mathematics Teaching and Learning : The Platinum Project</t>
  </si>
  <si>
    <t>Jaworski, Barbara</t>
  </si>
  <si>
    <t>The Faithful and the Reasonable : Chapters on ecological Foolishness</t>
  </si>
  <si>
    <t>Librová, Hana</t>
  </si>
  <si>
    <t>Vyjmenovaná slova s Radkou a Kájou a pejskem Ottou</t>
  </si>
  <si>
    <t>Nováková, Andrea</t>
  </si>
  <si>
    <t>https://ebookcentral.proquest.com/lib/istinye/detail.action?docID=6913635</t>
  </si>
  <si>
    <t>The Figurativeness of the Language of Mystical Experience : Particularities and Interpretations</t>
  </si>
  <si>
    <t>Vázquez, Antonio</t>
  </si>
  <si>
    <t>14. mezinárodní vědecká konference Didaktická konference 2021 : Sborník příspěvků</t>
  </si>
  <si>
    <t>China and the World in a Changing Context : Perspectives from Ambassadors to China</t>
  </si>
  <si>
    <t>Plans de Gestion de la Sécurité Sanitaire de l'eau Résilients Au Climat: Gestion des Risques de Santé Liés à la Variabilité et Aux Changements Climatiques</t>
  </si>
  <si>
    <t>World Health Organisation (WHO)</t>
  </si>
  <si>
    <t>Water-Wise Cities and Sustainable Water Systems : Concepts, Technologies, and Applications</t>
  </si>
  <si>
    <t>Wang, Xiaochang C.</t>
  </si>
  <si>
    <t>Intangible Capital and Growth : Essays on Labor Productivity, Monetary Economics, and Political Economy, Vol. 1</t>
  </si>
  <si>
    <t>Roth, Felix</t>
  </si>
  <si>
    <t>HB74.P65</t>
  </si>
  <si>
    <t>https://ebookcentral.proquest.com/lib/istinye/detail.action?docID=6914946</t>
  </si>
  <si>
    <t>Gender and Migration : IMISCOE Short Reader</t>
  </si>
  <si>
    <t>Christou, Anastasia</t>
  </si>
  <si>
    <t>Zéro Pesticide : Un Nouveau Paradigme de Recherche Pour une Agriculture Durable</t>
  </si>
  <si>
    <t>Jacquet, Florence</t>
  </si>
  <si>
    <t>Public Support for the Euro : Essays on Labor Productivity, Monetary Economics, and Political Economy, Vol. 2</t>
  </si>
  <si>
    <t>https://ebookcentral.proquest.com/lib/istinye/detail.action?docID=6915747</t>
  </si>
  <si>
    <t>Wissenschaft Kommuniziert : Eine Wissenssoziologische Gattungsanalyse des Akademischen Group-Talks Am Beispiel der Computational Neuroscience</t>
  </si>
  <si>
    <t>Wilke, René</t>
  </si>
  <si>
    <t>https://ebookcentral.proquest.com/lib/istinye/detail.action?docID=6915748</t>
  </si>
  <si>
    <t>A Pathway to Excellence : The First 100 Years of Pathology and Laboratory Medicine at the University of Rochester School of Medicine and Dentistry, 1921-2020</t>
  </si>
  <si>
    <t>University of Rochester Press</t>
  </si>
  <si>
    <t>Meliora Press Ser.</t>
  </si>
  <si>
    <t>Smoller, Bruce R.</t>
  </si>
  <si>
    <t>https://ebookcentral.proquest.com/lib/istinye/detail.action?docID=6916284</t>
  </si>
  <si>
    <t>A Jewel in the Crown II : Essays in Honor of the 90th Anniversary of the Institute of Optics University of Rochester</t>
  </si>
  <si>
    <t>Stroud, Carlos R.</t>
  </si>
  <si>
    <t>Modes of Esports Engagement in Overwatch</t>
  </si>
  <si>
    <t>Ruotsalainen, Maria</t>
  </si>
  <si>
    <t>Women, Migration and Gendered Experiences : The Case of Post-1991 Albanian Migration</t>
  </si>
  <si>
    <t>Danaj, Ermira</t>
  </si>
  <si>
    <t>https://ebookcentral.proquest.com/lib/istinye/detail.action?docID=6916353</t>
  </si>
  <si>
    <t>Revisualising Intersectionality</t>
  </si>
  <si>
    <t>Die österreichische Gesellschaft Während der Corona-Pandemie : Ergebnisse Aus Sozialwissenschaftlichen Umfragen</t>
  </si>
  <si>
    <t>Aschauer, Wolfgang</t>
  </si>
  <si>
    <t>Opportunity cost in healthcare priority setting</t>
  </si>
  <si>
    <t>Siverskog, Jonathan</t>
  </si>
  <si>
    <t>https://ebookcentral.proquest.com/lib/istinye/detail.action?docID=6921808</t>
  </si>
  <si>
    <t>Higher Education in Romania: Overcoming Challenges and Embracing Opportunities</t>
  </si>
  <si>
    <t>Decarbonizing Freight Transport : Acceptance and Policy Implications</t>
  </si>
  <si>
    <t>Pfoser, Sarah</t>
  </si>
  <si>
    <t>HD38.5</t>
  </si>
  <si>
    <t>https://ebookcentral.proquest.com/lib/istinye/detail.action?docID=6925883</t>
  </si>
  <si>
    <t>Indian Agriculture Towards 2030 : Pathways for Enhancing Farmers' Income, Nutritional Security and Sustainable Food and Farm Systems</t>
  </si>
  <si>
    <t>Chand, Ramesh</t>
  </si>
  <si>
    <t>The Governance of Insurance Undertakings : Corporate Law and Insurance Regulation</t>
  </si>
  <si>
    <t>Queer Korea</t>
  </si>
  <si>
    <t>Henry, Todd A.</t>
  </si>
  <si>
    <t>HQ75</t>
  </si>
  <si>
    <t>306.76/6095195</t>
  </si>
  <si>
    <t>164.92</t>
  </si>
  <si>
    <t>109.95</t>
  </si>
  <si>
    <t>https://ebookcentral.proquest.com/lib/istinye/detail.action?docID=6926681</t>
  </si>
  <si>
    <t>Histories of Experience in the World of Lived Religion</t>
  </si>
  <si>
    <t>Katajala-Peltomaa, Sari</t>
  </si>
  <si>
    <t>Monetary Authorities : Capitalism and Decolonization in the American Colonial Philippines</t>
  </si>
  <si>
    <t>Lumba, Allan E. S.</t>
  </si>
  <si>
    <t>Cancer in the Arab World</t>
  </si>
  <si>
    <t>Al-Shamsi, Humaid O.</t>
  </si>
  <si>
    <t>Revisiting Migrant Networks : Migrants and Their Descendants in Labour Markets</t>
  </si>
  <si>
    <t>Keskiner, Elif</t>
  </si>
  <si>
    <t>Das Formular</t>
  </si>
  <si>
    <t>AdminiStudies. Formen und Medien der Verwaltung Ser.</t>
  </si>
  <si>
    <t>Plener, Peter</t>
  </si>
  <si>
    <t>R&amp;d Management Practices and Innovation: Evidence from a Firm Survey</t>
  </si>
  <si>
    <t>Haneda, Shoko</t>
  </si>
  <si>
    <t>The effects of deleterious mutations on ageing</t>
  </si>
  <si>
    <t>Iinatti Brengdahl, Martin</t>
  </si>
  <si>
    <t>https://ebookcentral.proquest.com/lib/istinye/detail.action?docID=6931077</t>
  </si>
  <si>
    <t>A Short History of Transport in Japan from Ancient Times to the Present</t>
  </si>
  <si>
    <t>Black, John Andrew</t>
  </si>
  <si>
    <t>HE277.A2</t>
  </si>
  <si>
    <t>https://ebookcentral.proquest.com/lib/istinye/detail.action?docID=6935182</t>
  </si>
  <si>
    <t>Koordination und Kompromiss in Föderalen Bildungssystemen : Umkämpfte Institutionalisierung Eines Neuen Zugangswegs in Die Lehrpersonenbildung</t>
  </si>
  <si>
    <t>Soziologie der Konventionen Ser.</t>
  </si>
  <si>
    <t>Hafner, Sandra</t>
  </si>
  <si>
    <t>LC189-214.53</t>
  </si>
  <si>
    <t>https://ebookcentral.proquest.com/lib/istinye/detail.action?docID=6935556</t>
  </si>
  <si>
    <t>Process Mining Workshops : ICPM 2021 International Workshops, Eindhoven, the Netherlands, October 31 - November 4, 2021, Revised Selected Papers</t>
  </si>
  <si>
    <t>Munoz-Gama, Jorge</t>
  </si>
  <si>
    <t>Value Sets for EQ-5D-5L : A Compendium, Comparative Review and User Guide</t>
  </si>
  <si>
    <t>Devlin, Nancy</t>
  </si>
  <si>
    <t>Energy Transition and Energy Democracy in East Asia</t>
  </si>
  <si>
    <t>Asuka, Jusen</t>
  </si>
  <si>
    <t>Adaptive Mediation and Conflict Resolution : Peace-Making in Colombia, Mozambique, the Philippines, and Syria</t>
  </si>
  <si>
    <t>de Coning, Cedric</t>
  </si>
  <si>
    <t>Thanks for Watching : An Anthropological Study of Video Sharing on YouTube</t>
  </si>
  <si>
    <t>Lange, Patricia G.</t>
  </si>
  <si>
    <t>Emerging Trends in and Strategies for Industry 4. 0 During and Beyond Covid-19</t>
  </si>
  <si>
    <t>Akkaya, Bülent</t>
  </si>
  <si>
    <t>Soziale Netzwerke und Politische Partizipation : Eine Empirische Untersuchung Mit Sozialräumlicher Perspektive</t>
  </si>
  <si>
    <t>Lütters, Stefanie</t>
  </si>
  <si>
    <t>JA76</t>
  </si>
  <si>
    <t>https://ebookcentral.proquest.com/lib/istinye/detail.action?docID=6940021</t>
  </si>
  <si>
    <t>Synthesis of Safety-Critical Real-Time Systems</t>
  </si>
  <si>
    <t>Zhou, Yuanbin</t>
  </si>
  <si>
    <t>https://ebookcentral.proquest.com/lib/istinye/detail.action?docID=6940041</t>
  </si>
  <si>
    <t>Development and Application of Computational Models for Peptide-Protein Complexes</t>
  </si>
  <si>
    <t>Johansson-Åkhe, Isak</t>
  </si>
  <si>
    <t>https://ebookcentral.proquest.com/lib/istinye/detail.action?docID=6940043</t>
  </si>
  <si>
    <t>Der Zusammenhang Zwischen Meritokratie und Beruflicher Bildung : Idealtypische Rekonstruktion Als Deutungsrahmen Für das Wertschätzungsproblem der Berufsbildung in der Ukraine</t>
  </si>
  <si>
    <t>Internationale Berufsbildungsforschung Ser.</t>
  </si>
  <si>
    <t>Braun, Vera</t>
  </si>
  <si>
    <t>LC65-67.68</t>
  </si>
  <si>
    <t>https://ebookcentral.proquest.com/lib/istinye/detail.action?docID=6940133</t>
  </si>
  <si>
    <t>Archive of Jewish History : Volume 12</t>
  </si>
  <si>
    <t>Budnitskii, Oleg</t>
  </si>
  <si>
    <t>Museum Digitisations and Emerging Curatorial Agencies Online : Vikings in the Digital Age</t>
  </si>
  <si>
    <t>Axelsson, Bodil</t>
  </si>
  <si>
    <t>The White Indians of Mexican Cinema : Racial Masquerade Throughout the Golden Age</t>
  </si>
  <si>
    <t>SUNY Series in Latin American Cinema Ser.</t>
  </si>
  <si>
    <t>García Blizzard, Mónica</t>
  </si>
  <si>
    <t>https://ebookcentral.proquest.com/lib/istinye/detail.action?docID=6940978</t>
  </si>
  <si>
    <t>Fundamental Approaches to Software Engineering : 25th International Conference, FASE 2022, Held As Part of the European Joint Conferences on Theory and Practice of Software, ETAPS 2022, Munich, Germany, April 2-7, 2022, Proceedings</t>
  </si>
  <si>
    <t>Johnsen, Einar Broch</t>
  </si>
  <si>
    <t>Programming Languages and Systems : 31st European Symposium on Programming, ESOP 2022, Held As Part of the European Joint Conferences on Theory and Practice of Software, ETAPS 2022, Munich, Germany, April 2-7, 2022, Proceedings</t>
  </si>
  <si>
    <t>Sergey, Ilya</t>
  </si>
  <si>
    <t>https://ebookcentral.proquest.com/lib/istinye/detail.action?docID=6941372</t>
  </si>
  <si>
    <t>Foundations of Software Science and Computation Structures : 25th International Conference, FOSSACS 2022, Held As Part of the European Joint Conferences on Theory and Practice of Software, ETAPS 2022, Munich, Germany, April 2-7, 2022, Proceedings</t>
  </si>
  <si>
    <t>Bouyer, Patricia</t>
  </si>
  <si>
    <t>Tools and Algorithms for the Construction and Analysis of Systems : 28th International Conference, TACAS 2022, Held As Part of the European Joint Conferences on Theory and Practice of Software, ETAPS 2022, Munich, Germany, April 2-7, 2022, Proceedings, Part I</t>
  </si>
  <si>
    <t>Fisman, Dana</t>
  </si>
  <si>
    <t>Precision Oncology and Cancer Biomarkers : Issues at Stake and Matters of Concern</t>
  </si>
  <si>
    <t>Human Perspectives in Health Sciences and Technology Ser.</t>
  </si>
  <si>
    <t>Bremer, Anne</t>
  </si>
  <si>
    <t>Tools and Algorithms for the Construction and Analysis of Systems : 28th International Conference, TACAS 2022, Held As Part of the European Joint Conferences on Theory and Practice of Software, ETAPS 2022, Munich, Germany, April 2-7, 2022, Proceedings, Part II</t>
  </si>
  <si>
    <t>From Digital Twins to Digital Selves and Beyond : Engineering and Social Models for a Trans-Humanist World</t>
  </si>
  <si>
    <t>Barachini, Franz</t>
  </si>
  <si>
    <t>Evidence and Expertise in Nordic Education Policy : A Comparative Network Analysis</t>
  </si>
  <si>
    <t>Karseth, Berit</t>
  </si>
  <si>
    <t>Bullying Im Klassenverband - Doch Nicht Nur in der Schule : Eine Charakterisierung der Rollen Bei Schul- und Cyberbullying</t>
  </si>
  <si>
    <t>Knauf, Rhea-Katharina</t>
  </si>
  <si>
    <t>HM1001-1281</t>
  </si>
  <si>
    <t>https://ebookcentral.proquest.com/lib/istinye/detail.action?docID=6944375</t>
  </si>
  <si>
    <t>Organizational, Motivational, and Cultural Contexts of Volunteering : The European View</t>
  </si>
  <si>
    <t>SpringerBriefs in Psychology Ser.</t>
  </si>
  <si>
    <t>Güntert, Stefan T.</t>
  </si>
  <si>
    <t>Diskurs und Materialität : Eine Dispositivanalyse des Drogentestens</t>
  </si>
  <si>
    <t>Egbert, Simon</t>
  </si>
  <si>
    <t>https://ebookcentral.proquest.com/lib/istinye/detail.action?docID=6944412</t>
  </si>
  <si>
    <t>Infrastructure Investment in Indonesia : A Focus on Ports</t>
  </si>
  <si>
    <t>Duffield, Colin</t>
  </si>
  <si>
    <t>Russian in The 1740s</t>
  </si>
  <si>
    <t>Rosén, Thomas</t>
  </si>
  <si>
    <t>https://ebookcentral.proquest.com/lib/istinye/detail.action?docID=6944864</t>
  </si>
  <si>
    <t>The Twilight of the Avant-Garde : Spanish Poetry 1980-2000</t>
  </si>
  <si>
    <t>Mayhew, Jonathan</t>
  </si>
  <si>
    <t>https://ebookcentral.proquest.com/lib/istinye/detail.action?docID=6944886</t>
  </si>
  <si>
    <t>Ciaran Carson : Space, Place, Writing</t>
  </si>
  <si>
    <t>Alexander, Neal</t>
  </si>
  <si>
    <t>https://ebookcentral.proquest.com/lib/istinye/detail.action?docID=6944888</t>
  </si>
  <si>
    <t>Essentials of Financial Management</t>
  </si>
  <si>
    <t>Laws, Jason</t>
  </si>
  <si>
    <t>https://ebookcentral.proquest.com/lib/istinye/detail.action?docID=6944889</t>
  </si>
  <si>
    <t>The Letters of Elizabeth Rigby, Lady Eastlake</t>
  </si>
  <si>
    <t>Sheldon, Julie</t>
  </si>
  <si>
    <t>https://ebookcentral.proquest.com/lib/istinye/detail.action?docID=6944890</t>
  </si>
  <si>
    <t>Diasporic Hallyu : The Korean Wave in Korean Canadian Youth Culture</t>
  </si>
  <si>
    <t>East Asian Popular Culture Ser.</t>
  </si>
  <si>
    <t>Yoon, Kyong</t>
  </si>
  <si>
    <t>GN625-635</t>
  </si>
  <si>
    <t>https://ebookcentral.proquest.com/lib/istinye/detail.action?docID=6944931</t>
  </si>
  <si>
    <t>Multimedia Forensics</t>
  </si>
  <si>
    <t>Sencar, Husrev Taha</t>
  </si>
  <si>
    <t>Automatic Adaptation of Swedish Text for Increased Inclusion</t>
  </si>
  <si>
    <t>Rennes, Evelina</t>
  </si>
  <si>
    <t>https://ebookcentral.proquest.com/lib/istinye/detail.action?docID=6944978</t>
  </si>
  <si>
    <t>Legitimacy and comprehensibility of work-related assessments and official decisions within the sickness insurance system</t>
  </si>
  <si>
    <t>Karlsson, Elin</t>
  </si>
  <si>
    <t>https://ebookcentral.proquest.com/lib/istinye/detail.action?docID=6944979</t>
  </si>
  <si>
    <t>Police Code of Silence in Times of Change</t>
  </si>
  <si>
    <t>Kutnjak Ivković, Sanja</t>
  </si>
  <si>
    <t>Krankenhaus-Report 2022 : Patientenversorgung Während der Pandemie</t>
  </si>
  <si>
    <t>Selbstbestimmung, Privatheit und Datenschutz : Gestaltungsoptionen Für Einen Europäischen Weg</t>
  </si>
  <si>
    <t>DuD-Fachbeiträge Ser.</t>
  </si>
  <si>
    <t>Friedewald, Michael</t>
  </si>
  <si>
    <t>Assessment of Cancer Screening : A Primer</t>
  </si>
  <si>
    <t>Marcus, Pamela M.</t>
  </si>
  <si>
    <t>RC254-282</t>
  </si>
  <si>
    <t>https://ebookcentral.proquest.com/lib/istinye/detail.action?docID=6947060</t>
  </si>
  <si>
    <t>Cybersecurity of Digital Service Chains : Challenges, Methodologies, and Tools</t>
  </si>
  <si>
    <t>Kołodziej, Joanna</t>
  </si>
  <si>
    <t>Feeling Political : Emotions and Institutions Since 1789</t>
  </si>
  <si>
    <t>Palgrave Studies in the History of Emotions Ser.</t>
  </si>
  <si>
    <t>Frevert, Ute</t>
  </si>
  <si>
    <t>Recent Advances in Industrial and Applied Mathematics</t>
  </si>
  <si>
    <t>SEMA SIMAI Springer Ser.</t>
  </si>
  <si>
    <t>Chacón Rebollo, Tomás</t>
  </si>
  <si>
    <t>Root, Tuber and Banana Food System Innovations : Value Creation for Inclusive Outcomes</t>
  </si>
  <si>
    <t>Thiele, Graham</t>
  </si>
  <si>
    <t>Politische Bildung Für Die Digitale Öffentlichkeit : Umgang Mit Politischer Information und Kommunikation in Digitalen Räumen</t>
  </si>
  <si>
    <t>Hubacher, Manuel S.</t>
  </si>
  <si>
    <t>The Reflector</t>
  </si>
  <si>
    <t>Battaglia, Jennifer</t>
  </si>
  <si>
    <t>Across the Copperbelt : Urban and Social Change in Central Africa's Borderland Communities</t>
  </si>
  <si>
    <t>Boydell &amp; Brewer, Limited</t>
  </si>
  <si>
    <t>James Currey</t>
  </si>
  <si>
    <t>Larmer, Miles</t>
  </si>
  <si>
    <t>Berlioz in Time : From Early Recognition to Lasting Renown</t>
  </si>
  <si>
    <t>Eastman Studies in Music Ser.</t>
  </si>
  <si>
    <t>Bloom, Peter</t>
  </si>
  <si>
    <t>https://ebookcentral.proquest.com/lib/istinye/detail.action?docID=6950015</t>
  </si>
  <si>
    <t>https://ebookcentral.proquest.com/lib/istinye/detail.action?docID=6950016</t>
  </si>
  <si>
    <t>Health and Zionism : The Israeli Health Care System, 1948-1960</t>
  </si>
  <si>
    <t>Rochester Studies in Medical History Ser.</t>
  </si>
  <si>
    <t>Shvarts, Shifra</t>
  </si>
  <si>
    <t>Electricity in Africa : The Politics of Transformation in Uganda</t>
  </si>
  <si>
    <t>African Issues Ser.</t>
  </si>
  <si>
    <t>Gore, Christopher</t>
  </si>
  <si>
    <t>Coming Out</t>
  </si>
  <si>
    <t>Boydell &amp; Brewer, Incorporated</t>
  </si>
  <si>
    <t>Camden House</t>
  </si>
  <si>
    <t>Camden House German Film Classics Ser.</t>
  </si>
  <si>
    <t>Frackman, Kyle</t>
  </si>
  <si>
    <t>https://ebookcentral.proquest.com/lib/istinye/detail.action?docID=6950019</t>
  </si>
  <si>
    <t>The Consistory and Social Discipline in Calvin's Geneva</t>
  </si>
  <si>
    <t>Changing Perspectives on Early Modern Europe Ser.</t>
  </si>
  <si>
    <t>Watt, Jeffrey R.</t>
  </si>
  <si>
    <t>The Workers' Health Fund in Eretz Israel : Kupat Holim, 1911-1937</t>
  </si>
  <si>
    <t>R644.P3S54 2002</t>
  </si>
  <si>
    <t>610/.95694</t>
  </si>
  <si>
    <t>https://ebookcentral.proquest.com/lib/istinye/detail.action?docID=6950021</t>
  </si>
  <si>
    <t>Capital and Corporal Punishment in Anglo-Saxon England</t>
  </si>
  <si>
    <t>Anglo-Saxon Studies</t>
  </si>
  <si>
    <t>Gates, Jay Paul</t>
  </si>
  <si>
    <t>West African Masking Traditions and Diaspora Masquerade Carnivals : History, Memory, and Transnationalism</t>
  </si>
  <si>
    <t>Rochester Studies in African History and the Diaspora Ser.</t>
  </si>
  <si>
    <t>Njoku, Raphael Chijioke</t>
  </si>
  <si>
    <t>Causes and Consequences of Impulsivity in Red Junglefowl</t>
  </si>
  <si>
    <t>Garnham, Laura</t>
  </si>
  <si>
    <t>https://ebookcentral.proquest.com/lib/istinye/detail.action?docID=6950304</t>
  </si>
  <si>
    <t>High-Performance Nickel-based Superalloys for Additive Manufacturing</t>
  </si>
  <si>
    <t>Xu, Jinghao</t>
  </si>
  <si>
    <t>https://ebookcentral.proquest.com/lib/istinye/detail.action?docID=6950306</t>
  </si>
  <si>
    <t>Dealing with damaged lysosomes : Impact of lysosomal membrane stability in health and disease</t>
  </si>
  <si>
    <t>Eriksson, Ida</t>
  </si>
  <si>
    <t>https://ebookcentral.proquest.com/lib/istinye/detail.action?docID=6950307</t>
  </si>
  <si>
    <t>Health Dimensions of COVID-19 in India and Beyond</t>
  </si>
  <si>
    <t>Data Science-Based Full-Lifespan Management of Lithium-Ion Battery : Manufacturing, Operation and Reutilization</t>
  </si>
  <si>
    <t>Liu, Kailong</t>
  </si>
  <si>
    <t>Logischer Empirismus, Lebensreform und Die Deutsche Jugendbewegung : Logical Empiricism, Life Reform, and the German Youth Movement</t>
  </si>
  <si>
    <t>Narrative Ethics in Public Health: the Value of Stories</t>
  </si>
  <si>
    <t>Barrett, Drue H.</t>
  </si>
  <si>
    <t>A Prodigy of Universal Genius: Robert Leslie Ellis, 1817-1859</t>
  </si>
  <si>
    <t>Studies in History and Philosophy of Science Ser.</t>
  </si>
  <si>
    <t>Verburgt, Lukas M.</t>
  </si>
  <si>
    <t>B1-5802</t>
  </si>
  <si>
    <t>https://ebookcentral.proquest.com/lib/istinye/detail.action?docID=6951944</t>
  </si>
  <si>
    <t>Proceedings of the 8th International Conference on Civil Engineering</t>
  </si>
  <si>
    <t>Lecture Notes in Civil Engineering Ser.</t>
  </si>
  <si>
    <t>Feng, Guangliang</t>
  </si>
  <si>
    <t>Von Verteidigern und Entdeckern : Ein Neuer Identitätskonflikt in Europa</t>
  </si>
  <si>
    <t>Back, Mitja</t>
  </si>
  <si>
    <t>Quantifying Quality of Life : Incorporating Daily Life into Medicine</t>
  </si>
  <si>
    <t>Wac, Katarzyna</t>
  </si>
  <si>
    <t>Torture, Humiliate, Kill : Inside the Bosnian Serb Camp System</t>
  </si>
  <si>
    <t>Ethnic Conflict: Studies in Nationality, Race, and Culture Ser.</t>
  </si>
  <si>
    <t>Karcic, Hikmet</t>
  </si>
  <si>
    <t>365/.450949742</t>
  </si>
  <si>
    <t>https://ebookcentral.proquest.com/lib/istinye/detail.action?docID=6953650</t>
  </si>
  <si>
    <t>Effects of Commercial Hatchery Processing on Behaviour and Welfare of Laying Hens</t>
  </si>
  <si>
    <t>Hedlund, Louise</t>
  </si>
  <si>
    <t>https://ebookcentral.proquest.com/lib/istinye/detail.action?docID=6954108</t>
  </si>
  <si>
    <t>Ontology-Driven Data Access and Data Integration with an Application in the Materials Design Domain</t>
  </si>
  <si>
    <t>Li, Huanyu</t>
  </si>
  <si>
    <t>https://ebookcentral.proquest.com/lib/istinye/detail.action?docID=6954109</t>
  </si>
  <si>
    <t>Optimisation Models for Train Timetabling and Marshalling Yard Planning</t>
  </si>
  <si>
    <t>Gestrelius, Sara</t>
  </si>
  <si>
    <t>https://ebookcentral.proquest.com/lib/istinye/detail.action?docID=6954110</t>
  </si>
  <si>
    <t>Clinical and Biological Factors Related to Survival in Patients with Rectal Cancer</t>
  </si>
  <si>
    <t>Kotti, Angeliki</t>
  </si>
  <si>
    <t>https://ebookcentral.proquest.com/lib/istinye/detail.action?docID=6954111</t>
  </si>
  <si>
    <t>Decolonisations of Literature : Critical Practice in Africa and Brazil After 1945</t>
  </si>
  <si>
    <t>Helgesson, Stefan</t>
  </si>
  <si>
    <t>https://ebookcentral.proquest.com/lib/istinye/detail.action?docID=6954138</t>
  </si>
  <si>
    <t>Modern Cryptography Volume 1 : A Classical Introduction to Informational and Mathematical Principle</t>
  </si>
  <si>
    <t>Financial Mathematics and Fintech Ser.</t>
  </si>
  <si>
    <t>Zheng, Zhiyong</t>
  </si>
  <si>
    <t>HG176.7</t>
  </si>
  <si>
    <t>https://ebookcentral.proquest.com/lib/istinye/detail.action?docID=6954145</t>
  </si>
  <si>
    <t>Modern Introduction To Particle Physics, A (3rd Edition)</t>
  </si>
  <si>
    <t>Fayyazuddin, .</t>
  </si>
  <si>
    <t>XxAI - Beyond Explainable AI : International Workshop, Held in Conjunction with ICML 2020, July 18, 2020, Vienna, Austria, Revised and Extended Papers</t>
  </si>
  <si>
    <t>Holzinger, Andreas</t>
  </si>
  <si>
    <t>Motivationale Aspekte Mathematischer Lernprozesse : Eine Untersuchung Zu Professionellen Kompetenzen der Motivationsförderung Im Mathematikunterricht</t>
  </si>
  <si>
    <t>Hettmann, Maximilian</t>
  </si>
  <si>
    <t>https://ebookcentral.proquest.com/lib/istinye/detail.action?docID=6954915</t>
  </si>
  <si>
    <t>Bienen an der Hochschule : Ein Interdisziplinäres Nachhaltigkeitsprojekt</t>
  </si>
  <si>
    <t>Being Human During COVID</t>
  </si>
  <si>
    <t>Hass, Kristin</t>
  </si>
  <si>
    <t>Hizmet in Transitions : European Developments of a Turkish Muslim-Inspired Movement</t>
  </si>
  <si>
    <t>Weller, Paul</t>
  </si>
  <si>
    <t>BP166-166.94</t>
  </si>
  <si>
    <t>297.8</t>
  </si>
  <si>
    <t>https://ebookcentral.proquest.com/lib/istinye/detail.action?docID=6957420</t>
  </si>
  <si>
    <t>Socio-Technical Innovation Bundles for Agri-Food Systems Transformation</t>
  </si>
  <si>
    <t>Barrett, Christopher B.</t>
  </si>
  <si>
    <t>Data Assimilation Fundamentals : A Unified Formulation of the State and Parameter Estimation Problem</t>
  </si>
  <si>
    <t>Springer Textbooks in Earth Sciences, Geography and Environment Ser.</t>
  </si>
  <si>
    <t>Evensen, Geir</t>
  </si>
  <si>
    <t>Covid-19 and Capitalism : Success and Failure of the Legal Methods for Dealing with a Pandemic</t>
  </si>
  <si>
    <t>Economic and Financial Law and Policy - Shifting Insights and Values Ser.</t>
  </si>
  <si>
    <t>Byttebier, Koen</t>
  </si>
  <si>
    <t>https://ebookcentral.proquest.com/lib/istinye/detail.action?docID=6961413</t>
  </si>
  <si>
    <t>Contemporary Housing Struggles : A Structural Field of Contention Approach</t>
  </si>
  <si>
    <t>Florea, Ioana</t>
  </si>
  <si>
    <t>Condition Monitoring in Mobile Mining Machinery</t>
  </si>
  <si>
    <t>Jakobsson, Erik</t>
  </si>
  <si>
    <t>https://ebookcentral.proquest.com/lib/istinye/detail.action?docID=6961497</t>
  </si>
  <si>
    <t>Multispectral Imaging of Hemoglobin Oxygen Saturation in Skin Microcirculation</t>
  </si>
  <si>
    <t>Ewerlöf, Maria</t>
  </si>
  <si>
    <t>https://ebookcentral.proquest.com/lib/istinye/detail.action?docID=6961501</t>
  </si>
  <si>
    <t>Control Problems for Conservation Laws with Traffic Applications : Modeling, Analysis, and Numerical Methods</t>
  </si>
  <si>
    <t>Progress in Nonlinear Differential Equations and Their Applications Ser.</t>
  </si>
  <si>
    <t>Bayen, Alexandre</t>
  </si>
  <si>
    <t>Questioning the Entrepreneurial State : Status-Quo, Pitfalls, and the Need for Credible Innovation Policy</t>
  </si>
  <si>
    <t>International Studies in Entrepreneurship Ser.</t>
  </si>
  <si>
    <t>Wennberg, Karl</t>
  </si>
  <si>
    <t>Publishing Sacrobosco's de Sphaera in Early Modern Europe : Modes of Material and Scientific Exchange</t>
  </si>
  <si>
    <t>Valleriani, Matteo</t>
  </si>
  <si>
    <t>Lives in Peace Research : The Oslo Stories</t>
  </si>
  <si>
    <t>Evidence-Based Approaches to Peace and Conflict Studies</t>
  </si>
  <si>
    <t>Tønnesson, Stein</t>
  </si>
  <si>
    <t>https://ebookcentral.proquest.com/lib/istinye/detail.action?docID=6962848</t>
  </si>
  <si>
    <t>Energy-Efficient and Semi-Automated Truck Platooning : Research and Evaluation</t>
  </si>
  <si>
    <t>Lecture Notes in Intelligent Transportation and Infrastructure Ser.</t>
  </si>
  <si>
    <t>Schirrer, Alexander</t>
  </si>
  <si>
    <t>Crisis Response in Higher Education : How the Pandemic Challenged University Operations and Organisation</t>
  </si>
  <si>
    <t>Benner, Mats</t>
  </si>
  <si>
    <t>Assessment of Energy-Efficient Building Details for Seismic Regions</t>
  </si>
  <si>
    <t>Azinović, Boris</t>
  </si>
  <si>
    <t>Schützende Bewältigung : Eine Grounded Theory Zu Diskriminierungserfahrungen Von Fachkräften in der Sozialen Arbeit</t>
  </si>
  <si>
    <t>Islam in der Gesellschaft Ser.</t>
  </si>
  <si>
    <t>Logeswaran, Araththy</t>
  </si>
  <si>
    <t>HT1501-1595.22</t>
  </si>
  <si>
    <t>https://ebookcentral.proquest.com/lib/istinye/detail.action?docID=6965025</t>
  </si>
  <si>
    <t>Die Beharrliche Mitte - Wenn Investive Statusarbeit Funktioniert</t>
  </si>
  <si>
    <t>Kumkar, Nils C.</t>
  </si>
  <si>
    <t>The Political Economy of Non-Western Migration Regimes : Central Asian Migrant Workers in Russia and Turkey</t>
  </si>
  <si>
    <t>International Political Economy Ser.</t>
  </si>
  <si>
    <t>Urinboyev, Rustamjon</t>
  </si>
  <si>
    <t>Technologies and Applications for Big Data Value</t>
  </si>
  <si>
    <t>Perioperative Strategies to Prevent Surgical Site Infection after Shoulder Surgery</t>
  </si>
  <si>
    <t>Scheer, Vendela</t>
  </si>
  <si>
    <t>https://ebookcentral.proquest.com/lib/istinye/detail.action?docID=6966380</t>
  </si>
  <si>
    <t>Refractory High-Entropy Alloy and Nitride Thin Films</t>
  </si>
  <si>
    <t>Shu, Rui</t>
  </si>
  <si>
    <t>https://ebookcentral.proquest.com/lib/istinye/detail.action?docID=6966381</t>
  </si>
  <si>
    <t>Computational Modelling of Organic Bioelectronic Devices and Materials</t>
  </si>
  <si>
    <t>Delavari, Najmeh</t>
  </si>
  <si>
    <t>https://ebookcentral.proquest.com/lib/istinye/detail.action?docID=6966382</t>
  </si>
  <si>
    <t>Producing Food, Security, and the Geopolitical Subject</t>
  </si>
  <si>
    <t>Zhou, Jiayi</t>
  </si>
  <si>
    <t>https://ebookcentral.proquest.com/lib/istinye/detail.action?docID=6966385</t>
  </si>
  <si>
    <t>Development of Functionalized Protein Materials</t>
  </si>
  <si>
    <t>Yuan, Yusheng</t>
  </si>
  <si>
    <t>https://ebookcentral.proquest.com/lib/istinye/detail.action?docID=6966386</t>
  </si>
  <si>
    <t>Big Data and Artificial Intelligence in Digital Finance : Increasing Personalization and Trust in Digital Finance Using Big Data and AI</t>
  </si>
  <si>
    <t>Soldatos, John</t>
  </si>
  <si>
    <t>Romani Liberation : A Northern Perspective on Emancipatory Struggles and Progress</t>
  </si>
  <si>
    <t>Selling, Jan</t>
  </si>
  <si>
    <t>The Teleological and Kalam Cosmological Arguments Revisited</t>
  </si>
  <si>
    <t>Palgrave Frontiers in Philosophy of Religion Ser.</t>
  </si>
  <si>
    <t>Loke, Andrew</t>
  </si>
  <si>
    <t>BL51</t>
  </si>
  <si>
    <t>212.1</t>
  </si>
  <si>
    <t>https://ebookcentral.proquest.com/lib/istinye/detail.action?docID=6970721</t>
  </si>
  <si>
    <t>Popularität und Relevanz in der Suche : Ein Experiment Zur Erforschung Von Relevanzkriterien in Akademischen Suchsystemen</t>
  </si>
  <si>
    <t>Behnert, Christiane</t>
  </si>
  <si>
    <t>https://ebookcentral.proquest.com/lib/istinye/detail.action?docID=6975979</t>
  </si>
  <si>
    <t>Putting PIRLS to Use in Classrooms Across the Globe : Evidence-Based Contributions for Teaching Reading Comprehension in a Multilingual Context</t>
  </si>
  <si>
    <t>IEA Research for Educators Ser.</t>
  </si>
  <si>
    <t>Bruggink, Marian</t>
  </si>
  <si>
    <t>Stressbewältigung Durch Pflegekräfte : Konzeptionelle und Empirische Analysen Vor Dem Hintergrund des Copings und der Resilienz</t>
  </si>
  <si>
    <t>Klingenberg, Ingo</t>
  </si>
  <si>
    <t>https://ebookcentral.proquest.com/lib/istinye/detail.action?docID=6976014</t>
  </si>
  <si>
    <t>Female Genital Mutilation/Cutting in Children and Adolescents : Illustrated Guide to Diagnose, Assess, Inform and Report</t>
  </si>
  <si>
    <t>Abdulcadir, Jasmine</t>
  </si>
  <si>
    <t>Mobile Forensics - the File Format Handbook : Common File Formats and File Systems Used in Mobile Devices</t>
  </si>
  <si>
    <t>Hummert, Christian</t>
  </si>
  <si>
    <t>Care Poverty : When Older People's Needs Remain Unmet</t>
  </si>
  <si>
    <t>Kröger, Teppo</t>
  </si>
  <si>
    <t>HV70-72</t>
  </si>
  <si>
    <t>362.6</t>
  </si>
  <si>
    <t>https://ebookcentral.proquest.com/lib/istinye/detail.action?docID=6976068</t>
  </si>
  <si>
    <t>Zur Soziologie der Software : Die Rolle Digitaler Technik Bei der Kontrolle Von Unsicherheiten</t>
  </si>
  <si>
    <t>Ametowobla, Dzifa</t>
  </si>
  <si>
    <t>https://ebookcentral.proquest.com/lib/istinye/detail.action?docID=6976072</t>
  </si>
  <si>
    <t>Product Development Within Artificial Intelligence, Ethics and Legal Risk : Exemplary for Safe Autonomous Vehicles</t>
  </si>
  <si>
    <t>Winkle, Thomas</t>
  </si>
  <si>
    <t>Water-Filtered Infrared a (wIRA) Irradiation : From Research to Clinical Settings</t>
  </si>
  <si>
    <t>Vaupel, Peter</t>
  </si>
  <si>
    <t>https://ebookcentral.proquest.com/lib/istinye/detail.action?docID=6976277</t>
  </si>
  <si>
    <t>Transnational Modern Languages : A Handbook</t>
  </si>
  <si>
    <t>Transnational Modern Languages Ser.</t>
  </si>
  <si>
    <t>Burns, Jennifer</t>
  </si>
  <si>
    <t>Proust and America : The Influence of American Art, Culture, and Literature on a la Recherché du Temps Perdu</t>
  </si>
  <si>
    <t>Murphy, Michael</t>
  </si>
  <si>
    <t>PQ2631.R63Z789288 20</t>
  </si>
  <si>
    <t>https://ebookcentral.proquest.com/lib/istinye/detail.action?docID=6977218</t>
  </si>
  <si>
    <t>Remaking the Voyage : New Essays on Malcolm Lowry and 'in Ballast to the White Sea'</t>
  </si>
  <si>
    <t>Tookey, Helen</t>
  </si>
  <si>
    <t>Optimierung der Tragfähigkeit Von Zahnwellenverbindungen</t>
  </si>
  <si>
    <t>Wild, Jochen</t>
  </si>
  <si>
    <t>Jesuit and English Experiences at the Mughal Court, C. 1580-1615</t>
  </si>
  <si>
    <t>Melo, João Vicente</t>
  </si>
  <si>
    <t>Sustainable Energy Access for Communities : Rethinking the Energy Agenda for Cities</t>
  </si>
  <si>
    <t>Fall, Aminata</t>
  </si>
  <si>
    <t>Learning, Philosophy, and African Citizenship</t>
  </si>
  <si>
    <t>Holma, Katariina</t>
  </si>
  <si>
    <t>Fethullah Gülen's Teaching and Practice : Inheritance, Context, and Interactive Development</t>
  </si>
  <si>
    <t>https://ebookcentral.proquest.com/lib/istinye/detail.action?docID=6977385</t>
  </si>
  <si>
    <t>Demographic and Family Transition in Southeast Asia</t>
  </si>
  <si>
    <t>Yeung, Wei-Jun Jean</t>
  </si>
  <si>
    <t>Anisotropic Mechanical Behaviours and Thin-Wall Effects of Additively Manufactured Austenitic Alloys</t>
  </si>
  <si>
    <t>Yu, Cheng-Han</t>
  </si>
  <si>
    <t>https://ebookcentral.proquest.com/lib/istinye/detail.action?docID=6977534</t>
  </si>
  <si>
    <t>Crack Growth in Single Crystal Gas Turbine Blade Alloys under Service-Like Conditions</t>
  </si>
  <si>
    <t>Palmert, Frans</t>
  </si>
  <si>
    <t>https://ebookcentral.proquest.com/lib/istinye/detail.action?docID=6977535</t>
  </si>
  <si>
    <t>Hybrid Materials for Wearable Electronics and Electrochemical Systems</t>
  </si>
  <si>
    <t>Say, Mehmet Girayhan</t>
  </si>
  <si>
    <t>https://ebookcentral.proquest.com/lib/istinye/detail.action?docID=6977539</t>
  </si>
  <si>
    <t>Piezoelectric Electromechanical Transducers for Underwater Sound, Part II</t>
  </si>
  <si>
    <t>S. Aronov, Boris</t>
  </si>
  <si>
    <t>Piezoelectric Electromechanical Transducers for Underwater Sound, Part I</t>
  </si>
  <si>
    <t>Ausbildungsqualitäten - Andersartig, Aber Gleichwertig? : Ein Vergleich Konkurrierender Gesundheitsausbildungen in der Schweiz</t>
  </si>
  <si>
    <t>Esposito, Raffaella Simona</t>
  </si>
  <si>
    <t>https://ebookcentral.proquest.com/lib/istinye/detail.action?docID=6977947</t>
  </si>
  <si>
    <t>Improvising Reconciliation : Confession after the Truth Commission</t>
  </si>
  <si>
    <t>Charlton, Ed</t>
  </si>
  <si>
    <t>323.49</t>
  </si>
  <si>
    <t>https://ebookcentral.proquest.com/lib/istinye/detail.action?docID=6977965</t>
  </si>
  <si>
    <t>The Unfinished Revolution : Haiti, Black Sovereignty and Power in the Nineteenth-Century Atlantic World</t>
  </si>
  <si>
    <t>Salt, Karen</t>
  </si>
  <si>
    <t>https://ebookcentral.proquest.com/lib/istinye/detail.action?docID=6977971</t>
  </si>
  <si>
    <t>Computational Physiology : Simula Summer School 2021  Student Reports</t>
  </si>
  <si>
    <t>McCabe, Kimberly J.</t>
  </si>
  <si>
    <t>QA71-90</t>
  </si>
  <si>
    <t>https://ebookcentral.proquest.com/lib/istinye/detail.action?docID=6978014</t>
  </si>
  <si>
    <t>Anthropology, Film Industries, Modularity</t>
  </si>
  <si>
    <t>Rossoukh, Ramyar D.</t>
  </si>
  <si>
    <t>Methods for Faecal Sludge Analysis</t>
  </si>
  <si>
    <t>Velkushanova, Konstantina</t>
  </si>
  <si>
    <t>Métodos Experimentales para el Tratamiento de Aguas Residuales</t>
  </si>
  <si>
    <t>van Loosdrecht, Mark C. M.</t>
  </si>
  <si>
    <t>Environmental Technologies to Treat Sulfur Pollution : Principles and Engineering</t>
  </si>
  <si>
    <t>363.7/3</t>
  </si>
  <si>
    <t>https://ebookcentral.proquest.com/lib/istinye/detail.action?docID=6978139</t>
  </si>
  <si>
    <t>Environmental Technologies to Treat Selenium Pollution : Principles and Engineering</t>
  </si>
  <si>
    <t>Microbial Desalination Cells for Low Energy Drinking Water</t>
  </si>
  <si>
    <t>G. Salinas-Rodriguez, Sergio</t>
  </si>
  <si>
    <t>Implementing the Water-Energy-Food- Ecosystems Nexus and Achieving the Sustainable Development Goals</t>
  </si>
  <si>
    <t>Carmona-Moreno, Cesar</t>
  </si>
  <si>
    <t>Indicadores de Desempeño para Servicios de Saneamiento: Manual de Buenas Prácticas</t>
  </si>
  <si>
    <t>Matos, R.</t>
  </si>
  <si>
    <t>Melbourne 2030 : Planning Rhetoric Versus Urban Reality</t>
  </si>
  <si>
    <t>Birrell, Bob</t>
  </si>
  <si>
    <t>Fault Lines Exposed : Advantage and Disadvantage Across Australia's Settlement System</t>
  </si>
  <si>
    <t>Baum, Scott</t>
  </si>
  <si>
    <t>Orb and Sceptre : Studies in British Imperialism and Its Legacies, in Honour of Norman Etherington</t>
  </si>
  <si>
    <t>Limb, Peter</t>
  </si>
  <si>
    <t>DA16.O73 2008</t>
  </si>
  <si>
    <t>https://ebookcentral.proquest.com/lib/istinye/detail.action?docID=6978163</t>
  </si>
  <si>
    <t>Australians in Italy : Contemporary Lives and Impressions</t>
  </si>
  <si>
    <t>Monash Studies in Australian Society Ser.</t>
  </si>
  <si>
    <t>Kent, Bill</t>
  </si>
  <si>
    <t>Seize the Day: Exhibitions : Exhibitions, Australia and the World</t>
  </si>
  <si>
    <t>Darian-Smith, Kate</t>
  </si>
  <si>
    <t>Writing Histories : Imagination and Narration</t>
  </si>
  <si>
    <t>Curthoys, Ann</t>
  </si>
  <si>
    <t>Drawing the Line : Using Cartoons As Historical Evidence</t>
  </si>
  <si>
    <t>Australians in Britain : The Twentieth-Century Experience</t>
  </si>
  <si>
    <t>Bridge, Carl</t>
  </si>
  <si>
    <t>Complicated Currents : Media Flows, Soft Power and East Asia</t>
  </si>
  <si>
    <t>Black, Daniel</t>
  </si>
  <si>
    <t>From Ferranti to Faculty : Information Technology at Monash University, 1960 To 1990</t>
  </si>
  <si>
    <t>Monash University Custom Publishing Services</t>
  </si>
  <si>
    <t>Rood, Sarah</t>
  </si>
  <si>
    <t>Still Learning : A 50 Year History of Monash University Peninsula Campus</t>
  </si>
  <si>
    <t>Woodhouse, Fay</t>
  </si>
  <si>
    <t>Jean Primrose Whyte : A Professional Biography</t>
  </si>
  <si>
    <t>Jenkin, Coralie Elsenore Janis</t>
  </si>
  <si>
    <t>A Pedagogy of Place : Outdoor Education for a Changing World</t>
  </si>
  <si>
    <t>Education Ser.</t>
  </si>
  <si>
    <t>Brown, Mike</t>
  </si>
  <si>
    <t>The Sexual Abuse of Children : Recognition and Redress</t>
  </si>
  <si>
    <t>Finnane, Mark</t>
  </si>
  <si>
    <t>First Blood : A Cultural Study of Menarche</t>
  </si>
  <si>
    <t>Cultural Studies</t>
  </si>
  <si>
    <t>Dammery, Sally</t>
  </si>
  <si>
    <t>The Project As a Social System : Asia-Pacific Perspectives on Project Management</t>
  </si>
  <si>
    <t>Project Management Ser.</t>
  </si>
  <si>
    <t>Linger, Henry</t>
  </si>
  <si>
    <t>Verge 2011 : The Unknowable</t>
  </si>
  <si>
    <t>Verge Creative Writing Ser.</t>
  </si>
  <si>
    <t>Macdonald, Anna</t>
  </si>
  <si>
    <t>A Home Away from Home? : International Students in Australian and South African Higher Education</t>
  </si>
  <si>
    <t>Nieuwenhuysen, John</t>
  </si>
  <si>
    <t>Old Myths and New Approaches : Interpreting Ancient Religious Sites in Southeast Asia</t>
  </si>
  <si>
    <t>Monash Asia Ser.</t>
  </si>
  <si>
    <t>Haendel, Alexandra</t>
  </si>
  <si>
    <t>https://ebookcentral.proquest.com/lib/istinye/detail.action?docID=6978180</t>
  </si>
  <si>
    <t>Reading Robinson : Companion Essays to George Augustus Robinson's Friendly Mission</t>
  </si>
  <si>
    <t>Johnston, Anna</t>
  </si>
  <si>
    <t>Wanderings in India : Australian Perceptions</t>
  </si>
  <si>
    <t>Hosking, Rick</t>
  </si>
  <si>
    <t>Knowing Indonesia : Intersections of Self, Discipline and Nation</t>
  </si>
  <si>
    <t>Purdey, Jemma</t>
  </si>
  <si>
    <t>959.8</t>
  </si>
  <si>
    <t>https://ebookcentral.proquest.com/lib/istinye/detail.action?docID=6978183</t>
  </si>
  <si>
    <t>Verge 2012 : Inverse</t>
  </si>
  <si>
    <t>Clifford, Samantha</t>
  </si>
  <si>
    <t>Theories, Practices and Examples for Community and Social Informatics</t>
  </si>
  <si>
    <t>Social Informatics Ser.</t>
  </si>
  <si>
    <t>Denison, Tom</t>
  </si>
  <si>
    <t>The Market in Babies : Stories of Australian Adoption</t>
  </si>
  <si>
    <t>Australian History Ser.</t>
  </si>
  <si>
    <t>Cuthbert, Denise</t>
  </si>
  <si>
    <t>From a Broom Cupboard : 20 Years of Rural Health at Monash University</t>
  </si>
  <si>
    <t>Clough, Robert</t>
  </si>
  <si>
    <t>Kartini : The Complete Writings, 1898-1904</t>
  </si>
  <si>
    <t>Coté, Joost</t>
  </si>
  <si>
    <t>Breaking the Silence : Survivors Speak about 1965-66 Violence in Indonesia</t>
  </si>
  <si>
    <t>Herb Feith Translation Ser.</t>
  </si>
  <si>
    <t>Lindsay, Jennifer</t>
  </si>
  <si>
    <t>Verge 2013 : Becoming</t>
  </si>
  <si>
    <t>Dawncy, Peter</t>
  </si>
  <si>
    <t>Witch-Hunt and Conspiracy : The 'Ninja Case' in East Java</t>
  </si>
  <si>
    <t>Herriman, Nicholas</t>
  </si>
  <si>
    <t>Digital Divas : Putting the Wow into Computing for Girls</t>
  </si>
  <si>
    <t>Craig, Annemieke</t>
  </si>
  <si>
    <t>Women, War and Islamic Radicalisation in Maryam Mahboob's Afghanistan</t>
  </si>
  <si>
    <t>Bezhan, Faridullah</t>
  </si>
  <si>
    <t>https://ebookcentral.proquest.com/lib/istinye/detail.action?docID=6978194</t>
  </si>
  <si>
    <t>Small Screens : Essays on Contemporary Australian Television</t>
  </si>
  <si>
    <t>Arrow, Michelle</t>
  </si>
  <si>
    <t>Writing for Raksmey : A Story of Cambodia</t>
  </si>
  <si>
    <t>Investigating Power Ser.</t>
  </si>
  <si>
    <t>Healy, Joan</t>
  </si>
  <si>
    <t>959.6</t>
  </si>
  <si>
    <t>https://ebookcentral.proquest.com/lib/istinye/detail.action?docID=6978196</t>
  </si>
  <si>
    <t>How to Vote Progressive in Australia : Labor or Green?</t>
  </si>
  <si>
    <t>Politics Ser.</t>
  </si>
  <si>
    <t>Altman, Dennis</t>
  </si>
  <si>
    <t>Making a Difference : Fifty Years of Indigenous Programs at Monash University, 1964-2014</t>
  </si>
  <si>
    <t>Indigenous Studies</t>
  </si>
  <si>
    <t>Kerin, Rani</t>
  </si>
  <si>
    <t>https://ebookcentral.proquest.com/lib/istinye/detail.action?docID=6978198</t>
  </si>
  <si>
    <t>Beyond Gallipoli : New Perspectives on Anzac</t>
  </si>
  <si>
    <t>Frances, Raelene</t>
  </si>
  <si>
    <t>The Return of Print? : Contemporary Australian Publishing</t>
  </si>
  <si>
    <t>Monash Publishing Ser.</t>
  </si>
  <si>
    <t>Australia's Northern Shield? : Papua New Guinea and the Defence of Australia Since 1880</t>
  </si>
  <si>
    <t>Hunt, Bruce</t>
  </si>
  <si>
    <t>https://ebookcentral.proquest.com/lib/istinye/detail.action?docID=6978202</t>
  </si>
  <si>
    <t>Required Reading : Literature in Australian Schools Since 1945</t>
  </si>
  <si>
    <t>Literary Studies</t>
  </si>
  <si>
    <t>Dolin, Tim</t>
  </si>
  <si>
    <t>From Roadside to Recovery : The Story of the Victorian State Trauma System</t>
  </si>
  <si>
    <t>Bragge, Peter</t>
  </si>
  <si>
    <t>Recordkeeping Informatics for a Networked Age</t>
  </si>
  <si>
    <t>Evans, Joanne</t>
  </si>
  <si>
    <t>Jackson's Track Revisited : History, Remembrance and Reconciliation</t>
  </si>
  <si>
    <t>Landon, Carolyn</t>
  </si>
  <si>
    <t>GN667.V6L36 2006</t>
  </si>
  <si>
    <t>https://ebookcentral.proquest.com/lib/istinye/detail.action?docID=6978207</t>
  </si>
  <si>
    <t>Learning Discourses and the Discourses of Learning</t>
  </si>
  <si>
    <t>Marriott, Helen</t>
  </si>
  <si>
    <t>No Way to Go : Transport and Social Disadvantage in Australian Communities</t>
  </si>
  <si>
    <t>Currie, Graham</t>
  </si>
  <si>
    <t>Publishing Means Business : Australian Perspectives</t>
  </si>
  <si>
    <t>Day, Katherine</t>
  </si>
  <si>
    <t>What Matters? : Talking Value in Australian Culture</t>
  </si>
  <si>
    <t>Meyrick, Julian</t>
  </si>
  <si>
    <t>Leveraging Data Science for Global Health</t>
  </si>
  <si>
    <t>Celi, Leo Anthony</t>
  </si>
  <si>
    <t>Keeping the World's Environment under Review : An Intellectual History of the Global Environment Outlook</t>
  </si>
  <si>
    <t>Bakkes, Jan</t>
  </si>
  <si>
    <t>Growing in the Shadow of Antifascism : Remembering the Holocaust in State-Socialist Eastern Europe</t>
  </si>
  <si>
    <t>Bohus, Kata</t>
  </si>
  <si>
    <t>Free-Market Socialists : European Émigrés Who Made Capitalist Culture in America, 1918-1968</t>
  </si>
  <si>
    <t>Malherek, Joseph</t>
  </si>
  <si>
    <t>Under the Radar : Tracking Western Radio Listeners in the Soviet Union</t>
  </si>
  <si>
    <t>Parta, R. Eugene</t>
  </si>
  <si>
    <t>Policemen of the Tsar : Local Police in an Age of Upheaval</t>
  </si>
  <si>
    <t>Abbott, Robert J.</t>
  </si>
  <si>
    <t>https://ebookcentral.proquest.com/lib/istinye/detail.action?docID=6978221</t>
  </si>
  <si>
    <t>The Triumph of Uncertainty : Science and Self in the Postmodern Age</t>
  </si>
  <si>
    <t>Tauber, Alfred I.</t>
  </si>
  <si>
    <t>507.22</t>
  </si>
  <si>
    <t>https://ebookcentral.proquest.com/lib/istinye/detail.action?docID=6978222</t>
  </si>
  <si>
    <t>La Vache Globale : La Génétique Dans l'industrialisation du Vivant</t>
  </si>
  <si>
    <t>Chavinskaia, Lidia</t>
  </si>
  <si>
    <t>https://ebookcentral.proquest.com/lib/istinye/detail.action?docID=6978224</t>
  </si>
  <si>
    <t>Le Bien-être des Animaux D'élevage : Améliorer le Bien-être Animal</t>
  </si>
  <si>
    <t>https://ebookcentral.proquest.com/lib/istinye/detail.action?docID=6978226</t>
  </si>
  <si>
    <t>Les Communs : Un Autre Récit Pour la Coopération Territoriale</t>
  </si>
  <si>
    <t>Aubert, Sigrid</t>
  </si>
  <si>
    <t>L'élevage des Grands Camélidés</t>
  </si>
  <si>
    <t>Faye, Bernard</t>
  </si>
  <si>
    <t>Concept and Design Developments in School Improvement Research : Longitudinal, Multilevel and Mixed Methods and Their Relevance for Educational Accountability</t>
  </si>
  <si>
    <t>Accountability and Educational Improvement Ser.</t>
  </si>
  <si>
    <t>Oude Groote Beverborg, Arnoud</t>
  </si>
  <si>
    <t>New Business Models for the Reuse of Secondary Resources from WEEEs : The FENIX Project</t>
  </si>
  <si>
    <t>Rosa, Paolo</t>
  </si>
  <si>
    <t>Migration Between Mexico and the United States : IMISCOE Regional Reader</t>
  </si>
  <si>
    <t>Escobar Latapí, Agustín</t>
  </si>
  <si>
    <t>Microsimulation Population Projections with SAS : A Reference Guide</t>
  </si>
  <si>
    <t>Marois, Guillaume</t>
  </si>
  <si>
    <t>Land Tenure Security and Sustainable Development</t>
  </si>
  <si>
    <t>Holland, Margaret B.</t>
  </si>
  <si>
    <t>Making Ammonia : Fritz Haber, Walther Nernst, and the Nature of Scientific Discovery</t>
  </si>
  <si>
    <t>Johnson, Benjamin</t>
  </si>
  <si>
    <t>https://ebookcentral.proquest.com/lib/istinye/detail.action?docID=6978253</t>
  </si>
  <si>
    <t>The Palgrave Handbook of International Energy Economics</t>
  </si>
  <si>
    <t>Wildland Fire Smoke in the United States : A Scientific Assessment</t>
  </si>
  <si>
    <t>Peterson, David L.</t>
  </si>
  <si>
    <t>Wheat Improvement : Food Security in a Changing Climate</t>
  </si>
  <si>
    <t>Reynolds, Matthew P.</t>
  </si>
  <si>
    <t>Land Use Cover Datasets and Validation Tools : Validation Practices with QGIS</t>
  </si>
  <si>
    <t>García-Álvarez, David</t>
  </si>
  <si>
    <t>Causal Mechanisms in the Global Development of Social Policies</t>
  </si>
  <si>
    <t>Kuhlmann, Johanna</t>
  </si>
  <si>
    <t>From Decoding Turbulence to Unveiling the Fingerprint of Climate Change : Klaus Hasselmann--Nobel Prize Winner in Physics 2021</t>
  </si>
  <si>
    <t>Migration in Southern Africa : IMISCOE Regional Reader</t>
  </si>
  <si>
    <t>Rugunanan, Pragna</t>
  </si>
  <si>
    <t>Stable Isotopes in Tree Rings : Inferring Physiological, Climatic and Environmental Responses</t>
  </si>
  <si>
    <t>Tree Physiology Ser.</t>
  </si>
  <si>
    <t>Siegwolf, Rolf T. W.</t>
  </si>
  <si>
    <t>Designing Data Spaces : The Ecosystem Approach to Competitive Advantage</t>
  </si>
  <si>
    <t>Perspectives on Public Policy in Societal-Environmental Crises : What the Future Needs from History</t>
  </si>
  <si>
    <t>Risk, Systems and Decisions Ser.</t>
  </si>
  <si>
    <t>Izdebski, Adam</t>
  </si>
  <si>
    <t>Age-Inclusive ICT Innovation for Service Delivery in South Africa : A Developing Country Perspective</t>
  </si>
  <si>
    <t>Roos, Vera</t>
  </si>
  <si>
    <t>The Diversity of Worldviews among Young Adults : Contemporary (Non)Religiosity and Spirituality Through the Lens of an International Mixed Method Study</t>
  </si>
  <si>
    <t>Nynäs, Peter</t>
  </si>
  <si>
    <t>Emotions in Korean Philosophy and Religion : Confucian, Comparative, and Contemporary Perspectives</t>
  </si>
  <si>
    <t>Palgrave Studies in Comparative East-West Philosophy Ser.</t>
  </si>
  <si>
    <t>Chung, Edward Y. J.</t>
  </si>
  <si>
    <t>Gesundheit - Konventionen - Digitalisierung : Eine Politische Ökonomie der (digitalen) Transformationsprozesse Von und Um Gesundheit</t>
  </si>
  <si>
    <t>Cappel, Valeska</t>
  </si>
  <si>
    <t>Wohnen und Gesundheit Im Alter</t>
  </si>
  <si>
    <t>Vechtaer Beiträge Zur Gerontologie Ser.</t>
  </si>
  <si>
    <t>Teti, Andrea</t>
  </si>
  <si>
    <t>Die Zukunft Von Privatheit und Selbstbestimmung : Analysen und Empfehlungen Zum Schutz der Grundrechte in der Digitalen Welt</t>
  </si>
  <si>
    <t>Roßnagel, Alexander</t>
  </si>
  <si>
    <t>Diversity Nutzen und Annehmen : Praxisimplikationen Für das Diversity Management</t>
  </si>
  <si>
    <t>Genkova, Petia</t>
  </si>
  <si>
    <t>Variable Pitot-Triebwerkseinlässe Für Kommerzielle Überschallflugzeuge : Konzeptstudie Mittels Eines Entwicklungsansatzes Für Sichere Produkte</t>
  </si>
  <si>
    <t>Kazula, Stefan</t>
  </si>
  <si>
    <t>Wohlbefinden und Gesundheit Im Jugendalter : Theoretische Perspektiven, Empirische Befunde und Praxisansätze</t>
  </si>
  <si>
    <t>Heinen, Andreas</t>
  </si>
  <si>
    <t>Resilienz Durch Organisationsentwicklung : Forschung und Praxis</t>
  </si>
  <si>
    <t>,,Beyond the Wall : Game of Thrones Aus Interdisziplinärer Perspektive</t>
  </si>
  <si>
    <t>Gamper, Anna</t>
  </si>
  <si>
    <t>Standardisierte Inhaltsanalyse in der Kommunikationswissenschaft - Standardized Content Analysis in Communication Research : Ein Handbuch - a Handbook</t>
  </si>
  <si>
    <t>Oehmer-Pedrazzi, Franziska</t>
  </si>
  <si>
    <t>Alpine Landgesellschaften Zwischen Urbanisierung und Globalisierung</t>
  </si>
  <si>
    <t>Larcher, Manuela</t>
  </si>
  <si>
    <t>Religionstrends in der Schweiz : Religion, Spiritualität und Säkularität Im Gesellschaftlichen Wandel</t>
  </si>
  <si>
    <t>Stolz, Jörg</t>
  </si>
  <si>
    <t>Altern Als Zukunft - eine Studie der VolkswagenStiftung</t>
  </si>
  <si>
    <t>Lang, Frieder R.</t>
  </si>
  <si>
    <t>Ressourceneffizienz und Nachhaltigkeit : Sechs Planspiele Für Die Betriebliche Weiterbildung</t>
  </si>
  <si>
    <t>Anstätt, Kerstin</t>
  </si>
  <si>
    <t>Kommunikation und Bildverarbeitung in der Automation : Ausgewählte Beiträge der Jahreskolloquien KommA und BVAu 2020</t>
  </si>
  <si>
    <t>Nachhaltiges Personalmanagement Als Schlüsselfaktor Für Erfolgreiches Wirtschaften : Eine Linguistische Diskursanalyse Ausgewählter Unternehmenstexte und Printmedien</t>
  </si>
  <si>
    <t>Sprache und Wirtschaft Ser.</t>
  </si>
  <si>
    <t>Geursen, Elisabeth</t>
  </si>
  <si>
    <t>https://ebookcentral.proquest.com/lib/istinye/detail.action?docID=6978296</t>
  </si>
  <si>
    <t>Locating Legal Certainty in Patent Licensing</t>
  </si>
  <si>
    <t>Forest Radioecology in Fukushima : Radiocesium Dynamics, Impact, and Future</t>
  </si>
  <si>
    <t>Hashimoto, Shoji</t>
  </si>
  <si>
    <t>Liberalism and Transformation : The Global Politics of Violence and Intervention</t>
  </si>
  <si>
    <t>Tatum, Dillon S.</t>
  </si>
  <si>
    <t>JC574</t>
  </si>
  <si>
    <t>https://ebookcentral.proquest.com/lib/istinye/detail.action?docID=6978300</t>
  </si>
  <si>
    <t>Authorship and Text-Making in Early China</t>
  </si>
  <si>
    <t>Zhang, Hanmo</t>
  </si>
  <si>
    <t>https://ebookcentral.proquest.com/lib/istinye/detail.action?docID=6978301</t>
  </si>
  <si>
    <t>The Poetry of Cao Zhi</t>
  </si>
  <si>
    <t>Cutter, Robert Joe</t>
  </si>
  <si>
    <t>Public History and School : International Perspectives</t>
  </si>
  <si>
    <t>MLCM 2021/45406 (L)</t>
  </si>
  <si>
    <t>907.1</t>
  </si>
  <si>
    <t>https://ebookcentral.proquest.com/lib/istinye/detail.action?docID=6978372</t>
  </si>
  <si>
    <t>Stealing the Club from Hercules : On Imitation in Latin Poetry</t>
  </si>
  <si>
    <t>Conte, Gian Biagio</t>
  </si>
  <si>
    <t>https://ebookcentral.proquest.com/lib/istinye/detail.action?docID=6978373</t>
  </si>
  <si>
    <t>Physics and Literature : Concepts - Transfer - Aestheticization</t>
  </si>
  <si>
    <t>Golda Meir : A Political Biography</t>
  </si>
  <si>
    <t>Summa Theologica Halensis: de Legibus et Praeceptis : Lateinischer Text Mit Übersetzung und Kommentar</t>
  </si>
  <si>
    <t>Halesius, Alexander</t>
  </si>
  <si>
    <t>Grundfragen der Lyrikologie 1 : Lyrisches Ich, Textsubjekt, Sprecher?</t>
  </si>
  <si>
    <t>Hillebrandt, Claudia</t>
  </si>
  <si>
    <t>Ikonen der Nationen : Heldendarstellungen Im Post-Sozialistischen Kroatien und Serbien</t>
  </si>
  <si>
    <t>Sabo, Klaudija</t>
  </si>
  <si>
    <t>305.89/18</t>
  </si>
  <si>
    <t>https://ebookcentral.proquest.com/lib/istinye/detail.action?docID=6978379</t>
  </si>
  <si>
    <t>Quantitative Ansätze in Den Literatur- und Geisteswissenschaften : Systematische und Historische Perspektiven</t>
  </si>
  <si>
    <t>Converts of Conviction : Faith and Scepticism in Nineteenth Century European Jewish Society</t>
  </si>
  <si>
    <t>Ruderman, David B.</t>
  </si>
  <si>
    <t>248.2/466009224</t>
  </si>
  <si>
    <t>https://ebookcentral.proquest.com/lib/istinye/detail.action?docID=6978381</t>
  </si>
  <si>
    <t>Indic Manuscript Cultures Through the Ages : Material, Textual, and Historical Investigations</t>
  </si>
  <si>
    <t>Vergiani, Vincenzo</t>
  </si>
  <si>
    <t>Hermann Kurz und Die 'Poesie der Wirklichkeit' : Studien Zum Frühwerk, Texte Aus Dem Nachlass</t>
  </si>
  <si>
    <t>Untersuchungen Zur Deutschen Literaturgeschichte Ser.</t>
  </si>
  <si>
    <t>Slunitschek, Matthias</t>
  </si>
  <si>
    <t>https://ebookcentral.proquest.com/lib/istinye/detail.action?docID=6978384</t>
  </si>
  <si>
    <t>Medizinische Gutachten des 17. und 18. Jahrhunderts : Sprachhistorische Untersuchungen Zu Einer Textsortenklasse</t>
  </si>
  <si>
    <t>Lindner, Bettina</t>
  </si>
  <si>
    <t>R118.6.L56 2018</t>
  </si>
  <si>
    <t>610.1/4</t>
  </si>
  <si>
    <t>https://ebookcentral.proquest.com/lib/istinye/detail.action?docID=6978385</t>
  </si>
  <si>
    <t>Discursive Renovatio in Lope de Vega and Calderón : Studies on Spanish Baroque Drama</t>
  </si>
  <si>
    <t>https://ebookcentral.proquest.com/lib/istinye/detail.action?docID=6978386</t>
  </si>
  <si>
    <t>Framing Intellectual and Lived Spaces in Early South Asia : Sources and Boundaries</t>
  </si>
  <si>
    <t>den Boer, Lucas</t>
  </si>
  <si>
    <t>Verschmelzung Von Präposition und Artikel : Eine Kontrastive Analyse Zum Deutschen und Italienischen</t>
  </si>
  <si>
    <t>Augustin, Hagen</t>
  </si>
  <si>
    <t>https://ebookcentral.proquest.com/lib/istinye/detail.action?docID=6978388</t>
  </si>
  <si>
    <t>Yearbook of the Maimonides Centre for Advanced Studies. 2018</t>
  </si>
  <si>
    <t>https://ebookcentral.proquest.com/lib/istinye/detail.action?docID=6978389</t>
  </si>
  <si>
    <t>The Civilising Offensive : Social and Educational Reform in 19th-Century Belgium</t>
  </si>
  <si>
    <t>New Perspectives on the History of Liberalism and Freethought Ser.</t>
  </si>
  <si>
    <t>De Spiegeleer, Christoph</t>
  </si>
  <si>
    <t>303.409493/09034</t>
  </si>
  <si>
    <t>https://ebookcentral.proquest.com/lib/istinye/detail.action?docID=6978390</t>
  </si>
  <si>
    <t>Europäer in der Levante - Zwischen Politik, Wissenschaft und Religion (19. -20. Jahrhundert) : Des Européens Au Levant - Entre Politique, Science et Religion (XIXe-XXe Siècles)</t>
  </si>
  <si>
    <t>Trimbur, Dominique</t>
  </si>
  <si>
    <t>https://ebookcentral.proquest.com/lib/istinye/detail.action?docID=6978420</t>
  </si>
  <si>
    <t>Language, Nation, Race : Linguistic Reform in Meiji Japan (1868-1912)</t>
  </si>
  <si>
    <t>Ueda, Atsuko</t>
  </si>
  <si>
    <t>https://ebookcentral.proquest.com/lib/istinye/detail.action?docID=6983584</t>
  </si>
  <si>
    <t>Multiculturalism in the British Commonwealth : Comparative Perspectives on Theory and Practice</t>
  </si>
  <si>
    <t>Ashcroft, Richard T.</t>
  </si>
  <si>
    <t>Renaissance Futurities : Science, Art, Invention</t>
  </si>
  <si>
    <t>Black, Charlene Villaseñor</t>
  </si>
  <si>
    <t>The Divo and the Duce : Promoting Film Stardom and Political Leadership in 1920s America</t>
  </si>
  <si>
    <t>Cinema Cultures in Contact Ser.</t>
  </si>
  <si>
    <t>Bertellini, Giorgio</t>
  </si>
  <si>
    <t>305.5/2</t>
  </si>
  <si>
    <t>https://ebookcentral.proquest.com/lib/istinye/detail.action?docID=6983801</t>
  </si>
  <si>
    <t>The Emergence of Modern Hinduism : Religion on the Margins of Colonialism</t>
  </si>
  <si>
    <t>Weiss, Richard S.</t>
  </si>
  <si>
    <t>https://ebookcentral.proquest.com/lib/istinye/detail.action?docID=6983899</t>
  </si>
  <si>
    <t>Where Truth Lies : Digital Culture and Documentary Media After 9/11</t>
  </si>
  <si>
    <t>Fallon, Kris</t>
  </si>
  <si>
    <t>https://ebookcentral.proquest.com/lib/istinye/detail.action?docID=6983941</t>
  </si>
  <si>
    <t>The Clarion of Syria : A Patriot's Call Against the Civil War Of 1860</t>
  </si>
  <si>
    <t>al-Bustani, Butrus</t>
  </si>
  <si>
    <t>https://ebookcentral.proquest.com/lib/istinye/detail.action?docID=6983961</t>
  </si>
  <si>
    <t>Frame by Frame : A Materialist Aesthetics of Animated Cartoons</t>
  </si>
  <si>
    <t>Frank, Hannah</t>
  </si>
  <si>
    <t>https://ebookcentral.proquest.com/lib/istinye/detail.action?docID=6984006</t>
  </si>
  <si>
    <t>What Is a Family? : Answers from Early Modern Japan</t>
  </si>
  <si>
    <t>Berry, Mary Elizabeth</t>
  </si>
  <si>
    <t>Music of a Thousand Years : A New History of Persian Musical Traditions</t>
  </si>
  <si>
    <t>Lucas, Ann E.</t>
  </si>
  <si>
    <t>https://ebookcentral.proquest.com/lib/istinye/detail.action?docID=6984146</t>
  </si>
  <si>
    <t>Creating the Intellectual : Chinese Communism and the Rise of a Classification</t>
  </si>
  <si>
    <t>U, Eddy</t>
  </si>
  <si>
    <t>https://ebookcentral.proquest.com/lib/istinye/detail.action?docID=6984221</t>
  </si>
  <si>
    <t>The Saburo Hasegawa Reader</t>
  </si>
  <si>
    <t>Johnson, Mark Dean</t>
  </si>
  <si>
    <t>Impersonations : The Artifice of Brahmin Masculinity in South Indian Dance</t>
  </si>
  <si>
    <t>Kamath, Harshita Mruthinti</t>
  </si>
  <si>
    <t>https://ebookcentral.proquest.com/lib/istinye/detail.action?docID=6984274</t>
  </si>
  <si>
    <t>Witness to Marvels : Sufism and Literary Imagination</t>
  </si>
  <si>
    <t>Islamic Humanities Ser.</t>
  </si>
  <si>
    <t>Stewart, Tony K.</t>
  </si>
  <si>
    <t>https://ebookcentral.proquest.com/lib/istinye/detail.action?docID=6984280</t>
  </si>
  <si>
    <t>The Social Question in the Twenty-First Century : A Global View</t>
  </si>
  <si>
    <t>The Persianate World : The Frontiers of a Eurasian Lingua Franca</t>
  </si>
  <si>
    <t>Green, Nile</t>
  </si>
  <si>
    <t>491/.5509</t>
  </si>
  <si>
    <t>https://ebookcentral.proquest.com/lib/istinye/detail.action?docID=6984340</t>
  </si>
  <si>
    <t>The Prison of Democracy : Race, Leavenworth, and the Culture of Law</t>
  </si>
  <si>
    <t>Benson, Sara M.</t>
  </si>
  <si>
    <t>365/.978138</t>
  </si>
  <si>
    <t>https://ebookcentral.proquest.com/lib/istinye/detail.action?docID=6984343</t>
  </si>
  <si>
    <t>Louder and Faster : Pain, Joy, and the Body Politic in Asian American Taiko</t>
  </si>
  <si>
    <t>American Crossroads Ser.</t>
  </si>
  <si>
    <t>Wong, Deborah</t>
  </si>
  <si>
    <t>786.9089/956073</t>
  </si>
  <si>
    <t>https://ebookcentral.proquest.com/lib/istinye/detail.action?docID=6984390</t>
  </si>
  <si>
    <t>Public Goods Provision in the Early Modern Economy : Comparative Perspectives from Japan, China, and Europe</t>
  </si>
  <si>
    <t>Tanimoto, Masayuki</t>
  </si>
  <si>
    <t>Chinese Poetry and Translation : Rights and Wrongs</t>
  </si>
  <si>
    <t>Crevel, Maghiel</t>
  </si>
  <si>
    <t>Marginal People in Deviant Places : Ethnography, Difference, and the Challenge to Scientific Racism</t>
  </si>
  <si>
    <t>Irvine, Janice M.</t>
  </si>
  <si>
    <t>HN90</t>
  </si>
  <si>
    <t>https://ebookcentral.proquest.com/lib/istinye/detail.action?docID=6986180</t>
  </si>
  <si>
    <t>How Megaprojects Are Damaging Nigeria and How to Fix It : A Practical Guide to Mastering Very Large Government Projects</t>
  </si>
  <si>
    <t>Ibrahim, Jimoh</t>
  </si>
  <si>
    <t>Cultural Representations of Gender Vulnerability and Resistance : A Mediterranean Approach to the Anglosphere</t>
  </si>
  <si>
    <t>Romero-Ruiz, Maria Isabel</t>
  </si>
  <si>
    <t>Regularized System Identification : Learning Dynamic Models from Data</t>
  </si>
  <si>
    <t>Communications and Control Engineering Ser.</t>
  </si>
  <si>
    <t>Pillonetto, Gianluigi</t>
  </si>
  <si>
    <t>A Comprehensive Dynamic Model of the Adipocyte</t>
  </si>
  <si>
    <t>Lövfors, William</t>
  </si>
  <si>
    <t>https://ebookcentral.proquest.com/lib/istinye/detail.action?docID=6986658</t>
  </si>
  <si>
    <t>Bifurcations and Exchange of Stability with Density Dependence in a Coinfection Model and an Age-Structured Population Model</t>
  </si>
  <si>
    <t>Andersson, Jonathan</t>
  </si>
  <si>
    <t>https://ebookcentral.proquest.com/lib/istinye/detail.action?docID=6986660</t>
  </si>
  <si>
    <t>A Vehicle for Change : Popular Representations of the Automobile in 20th-Century France</t>
  </si>
  <si>
    <t>Studies in Modern and Contemporary France Ser.</t>
  </si>
  <si>
    <t>Ó Cofaigh, Éamon</t>
  </si>
  <si>
    <t>Civil and Environmental Engineering for the Sustainable Development Goals : Emerging Issues</t>
  </si>
  <si>
    <t>Antonelli, Manuela</t>
  </si>
  <si>
    <t>Handbook of Research on the Global View of Open Access and Scholarly Communications</t>
  </si>
  <si>
    <t>IGI Global</t>
  </si>
  <si>
    <t>Information Science Reference</t>
  </si>
  <si>
    <t>Alemneh, Daniel Gelaw</t>
  </si>
  <si>
    <t>Z286.O63 G58</t>
  </si>
  <si>
    <t>https://ebookcentral.proquest.com/lib/istinye/detail.action?docID=6987625</t>
  </si>
  <si>
    <t>Journeys Towards Intercultural Capability in Language Classrooms : Voices from Students, Teachers and Researchers</t>
  </si>
  <si>
    <t>Intercultural Communication and Language Education Ser.</t>
  </si>
  <si>
    <t>East, Martin</t>
  </si>
  <si>
    <t>Organization Management - Dynamic Creative Team Coordination</t>
  </si>
  <si>
    <t>Edition Digital Science Ser.</t>
  </si>
  <si>
    <t>Georgiades, Stavros</t>
  </si>
  <si>
    <t>https://ebookcentral.proquest.com/lib/istinye/detail.action?docID=6995049</t>
  </si>
  <si>
    <t>Diaspora As Translation and Decolonisation</t>
  </si>
  <si>
    <t>Theory for a Global Age Ser.</t>
  </si>
  <si>
    <t>Demir, Ipek</t>
  </si>
  <si>
    <t>304.8</t>
  </si>
  <si>
    <t>https://ebookcentral.proquest.com/lib/istinye/detail.action?docID=6995127</t>
  </si>
  <si>
    <t>Haptics: Science, Technology, Applications : 13th International Conference on Human Haptic Sensing and Touch Enabled Computer Applications, EuroHaptics 2022, Hamburg, Germany, May 22-25, 2022, Proceedings</t>
  </si>
  <si>
    <t>Seifi, Hasti</t>
  </si>
  <si>
    <t>Flexible Inorganic and Hybrid Thermoelectric Thin Films Based on Layered Calcium Cobaltate</t>
  </si>
  <si>
    <t>Xin, Binbin</t>
  </si>
  <si>
    <t>https://ebookcentral.proquest.com/lib/istinye/detail.action?docID=6995669</t>
  </si>
  <si>
    <t>New Perspectives in Critical Data Studies : The Ambivalences of Data Power</t>
  </si>
  <si>
    <t>Transforming Communications - Studies in Cross-Media Research Ser.</t>
  </si>
  <si>
    <t>Hepp, Andreas</t>
  </si>
  <si>
    <t>Citizen Participation in the Information Society : Comparing Participatory Channels in Urban Development</t>
  </si>
  <si>
    <t>Hovik, Sissel</t>
  </si>
  <si>
    <t>Ecocene Politics</t>
  </si>
  <si>
    <t>Tănăsescu, Mihnea</t>
  </si>
  <si>
    <t>https://ebookcentral.proquest.com/lib/istinye/detail.action?docID=6997309</t>
  </si>
  <si>
    <t>A Common Good Approach to Development : Collective Dynamics of Development Processes</t>
  </si>
  <si>
    <t>Nebel, Mathias</t>
  </si>
  <si>
    <t>A Philosophy of Cover Songs</t>
  </si>
  <si>
    <t>Magnus, P. D.</t>
  </si>
  <si>
    <t>The Voice of the Century : The Culture of Italian Bel Canto in Luisa Tetrazzini's Recorded Interpretations</t>
  </si>
  <si>
    <t>https://ebookcentral.proquest.com/lib/istinye/detail.action?docID=6997312</t>
  </si>
  <si>
    <t>Neuroökonomie : Eine Wissenschaftstheoretische Analyse</t>
  </si>
  <si>
    <t>Dreher, Lena</t>
  </si>
  <si>
    <t>https://ebookcentral.proquest.com/lib/istinye/detail.action?docID=6997687</t>
  </si>
  <si>
    <t>Landscapes of Lifelong Learning Policies Across Europe : Comparative Case Studies</t>
  </si>
  <si>
    <t>Palgrave Studies in Adult Education and Lifelong Learning Ser.</t>
  </si>
  <si>
    <t>Benasso, Sebastiano</t>
  </si>
  <si>
    <t>The Socially Responsible Organization : Lessons from COVID</t>
  </si>
  <si>
    <t>SpringerBriefs in Business Ser.</t>
  </si>
  <si>
    <t>HD30.28</t>
  </si>
  <si>
    <t>https://ebookcentral.proquest.com/lib/istinye/detail.action?docID=6998218</t>
  </si>
  <si>
    <t>Health Crises and Media Discourses in Sub-Saharan Africa</t>
  </si>
  <si>
    <t>Dralega, Carol Azungi</t>
  </si>
  <si>
    <t>Exploring Islamic Social Work : Between Community and the Common Good</t>
  </si>
  <si>
    <t>Muslims in Global Societies Ser.</t>
  </si>
  <si>
    <t>Schmid, Hansjörg</t>
  </si>
  <si>
    <t>Digital Platform Regulation : Global Perspectives on Internet Governance</t>
  </si>
  <si>
    <t>Palgrave Global Media Policy and Business Ser.</t>
  </si>
  <si>
    <t>Flew, Terry</t>
  </si>
  <si>
    <t>Molecules in Superfluid Helium Nanodroplets : Spectroscopy, Structure, and Dynamics</t>
  </si>
  <si>
    <t>Topics in Applied Physics Ser.</t>
  </si>
  <si>
    <t>Slenczka, Alkwin</t>
  </si>
  <si>
    <t>Smart Cities in Asia : Regulations, Problems, and Development</t>
  </si>
  <si>
    <t>SpringerBriefs in Geography Ser.</t>
  </si>
  <si>
    <t>Phan, Thanh</t>
  </si>
  <si>
    <t>The Pathway to Publishing: a Guide to Quantitative Writing in the Health Sciences</t>
  </si>
  <si>
    <t>Luby, Stephen</t>
  </si>
  <si>
    <t>Who Saved the Parthenon? : A New History of the Acropolis Before, During and after the Greek Revolution</t>
  </si>
  <si>
    <t>Performing Deception : Learning, Skill and the Art of Conjuring</t>
  </si>
  <si>
    <t>Rappert, Brian</t>
  </si>
  <si>
    <t>Socio-Spatial Theory in Nordic Geography : Intellectual Histories and Critical Interventions</t>
  </si>
  <si>
    <t>Jakobsen, Peter</t>
  </si>
  <si>
    <t>Integrating Science and Politics for Public Health</t>
  </si>
  <si>
    <t>Palgrave Studies in Public Health Policy Research Ser.</t>
  </si>
  <si>
    <t>Fafard, Patrick</t>
  </si>
  <si>
    <t>Educational Theory in the 21st Century : Science, Technology, Society and Education</t>
  </si>
  <si>
    <t>Maarif Global Education Ser.</t>
  </si>
  <si>
    <t>Alpaydın, Yusuf</t>
  </si>
  <si>
    <t>Education Policies in the 21st Century : Comparative Perspectives</t>
  </si>
  <si>
    <t>Akgün, Birol</t>
  </si>
  <si>
    <t>Printing and Prophecy : Prognostication and Media Change 1450-1550</t>
  </si>
  <si>
    <t>Cultures of Knowledge in the Early Modern World Ser.</t>
  </si>
  <si>
    <t>Green, Jonathan</t>
  </si>
  <si>
    <t>261.5/1309409024</t>
  </si>
  <si>
    <t>https://ebookcentral.proquest.com/lib/istinye/detail.action?docID=7007849</t>
  </si>
  <si>
    <t>Poems of the Five Mountains : An Introduction to the Literature of the Zen Monasteries</t>
  </si>
  <si>
    <t>Ury, Marian</t>
  </si>
  <si>
    <t>PL3054</t>
  </si>
  <si>
    <t>https://ebookcentral.proquest.com/lib/istinye/detail.action?docID=7007850</t>
  </si>
  <si>
    <t>Daily Life and Demographics in Ancient Japan</t>
  </si>
  <si>
    <t>Farris, William Wayne</t>
  </si>
  <si>
    <t>Economic Exchange and Social Interaction in Southeast Asia : Perspectives from Prehistory, History, and Ethnography</t>
  </si>
  <si>
    <t>Hutterer, Karl</t>
  </si>
  <si>
    <t>https://ebookcentral.proquest.com/lib/istinye/detail.action?docID=7007852</t>
  </si>
  <si>
    <t>Law, Liberty, and the Pursuit of Terrorism</t>
  </si>
  <si>
    <t>Douglas, Roger</t>
  </si>
  <si>
    <t>Paninian Studies : Professor S. D. Joshi Felicitation Volume</t>
  </si>
  <si>
    <t>Deshpande, Madhav</t>
  </si>
  <si>
    <t>The Mertiyo Rathors of Merto, Rajasthan : Select Translations Bearing on the History of a Rajput Family, 1462-1660, Volumes 1-2</t>
  </si>
  <si>
    <t>Saran, Richard</t>
  </si>
  <si>
    <t>Double Jeopardy : A Critique of Seven yüan Courtroom Dramas</t>
  </si>
  <si>
    <t>Perng, Ching-hsi</t>
  </si>
  <si>
    <t>Guns, Democracy, and the Insurrectionist Idea</t>
  </si>
  <si>
    <t>Horwitz, Joshua</t>
  </si>
  <si>
    <t>A Tanizaki Feast : The International Symposium in Venice</t>
  </si>
  <si>
    <t>Boscaro, Adriana</t>
  </si>
  <si>
    <t>Skate Life : Re-Imagining White Masculinity</t>
  </si>
  <si>
    <t>Technologies of the Imagination: New Media in Everyday Life Ser.</t>
  </si>
  <si>
    <t>Yochim, Emily Chivers</t>
  </si>
  <si>
    <t>Swallows and Settlers : The Great Migration from North China to Manchuria</t>
  </si>
  <si>
    <t>Gottschang, Thomas</t>
  </si>
  <si>
    <t>Chinese Communist Materials at the Bureau of Investigation Archives, Taiwan</t>
  </si>
  <si>
    <t>Donovan, Peter</t>
  </si>
  <si>
    <t>Christian Converts and Social Protests in Meiji Japan</t>
  </si>
  <si>
    <t>Michigan Classics in Japanese Studies</t>
  </si>
  <si>
    <t>Scheiner, Irwin</t>
  </si>
  <si>
    <t>BV2628</t>
  </si>
  <si>
    <t>https://ebookcentral.proquest.com/lib/istinye/detail.action?docID=7007868</t>
  </si>
  <si>
    <t>Two Twelfth-Century Texts on Chinese Painting</t>
  </si>
  <si>
    <t>Maeda, Robert</t>
  </si>
  <si>
    <t>ND1043</t>
  </si>
  <si>
    <t>https://ebookcentral.proquest.com/lib/istinye/detail.action?docID=7007873</t>
  </si>
  <si>
    <t>An Index to Reproductions of Paintings by Twentieth-Century Chinese Artists</t>
  </si>
  <si>
    <t>Laing, Ellen</t>
  </si>
  <si>
    <t>ND1045</t>
  </si>
  <si>
    <t>https://ebookcentral.proquest.com/lib/istinye/detail.action?docID=7007874</t>
  </si>
  <si>
    <t>This Gaming Life : Travels in Three Cities</t>
  </si>
  <si>
    <t>Rossignol, Jim</t>
  </si>
  <si>
    <t>Law and Kingship in Thailand During the Reign of King Chulalongkorn</t>
  </si>
  <si>
    <t>Engel, David</t>
  </si>
  <si>
    <t>KPT120</t>
  </si>
  <si>
    <t>https://ebookcentral.proquest.com/lib/istinye/detail.action?docID=7007878</t>
  </si>
  <si>
    <t>Anatomizing Civil War : Studies in Lucan's Epic Technique</t>
  </si>
  <si>
    <t>Dinter, Martin</t>
  </si>
  <si>
    <t>PA6480</t>
  </si>
  <si>
    <t>873.01</t>
  </si>
  <si>
    <t>https://ebookcentral.proquest.com/lib/istinye/detail.action?docID=7007879</t>
  </si>
  <si>
    <t>Punishment and Political Order</t>
  </si>
  <si>
    <t>Law, Meaning, and Violence Ser.</t>
  </si>
  <si>
    <t>McBride, Keally</t>
  </si>
  <si>
    <t>HV7419</t>
  </si>
  <si>
    <t>https://ebookcentral.proquest.com/lib/istinye/detail.action?docID=7007880</t>
  </si>
  <si>
    <t>Ethnic Diversity and the Control of Natural Resources in Southeast Asia</t>
  </si>
  <si>
    <t>Rambo, A. Terry</t>
  </si>
  <si>
    <t>DS523</t>
  </si>
  <si>
    <t>https://ebookcentral.proquest.com/lib/istinye/detail.action?docID=7007882</t>
  </si>
  <si>
    <t>China's Allocation of Fixed Capital Investment, 1952-1957</t>
  </si>
  <si>
    <t>HC430</t>
  </si>
  <si>
    <t>https://ebookcentral.proquest.com/lib/istinye/detail.action?docID=7007883</t>
  </si>
  <si>
    <t>Pearl from the Dragon's Mouth : Evocation of Scene and Feeling in Chinese Poetry</t>
  </si>
  <si>
    <t>Sun, Cecile</t>
  </si>
  <si>
    <t>PL2308</t>
  </si>
  <si>
    <t>https://ebookcentral.proquest.com/lib/istinye/detail.action?docID=7007884</t>
  </si>
  <si>
    <t>The Tale of Matsura : Fujiwara Teika's Experiment in Fiction</t>
  </si>
  <si>
    <t>Lammers, Wayne</t>
  </si>
  <si>
    <t>PL790</t>
  </si>
  <si>
    <t>https://ebookcentral.proquest.com/lib/istinye/detail.action?docID=7007886</t>
  </si>
  <si>
    <t>The Sian Incident : A Pivotal Point in Modern Chinese History</t>
  </si>
  <si>
    <t>Wu, Tien-wei</t>
  </si>
  <si>
    <t>DS777</t>
  </si>
  <si>
    <t>https://ebookcentral.proquest.com/lib/istinye/detail.action?docID=7007887</t>
  </si>
  <si>
    <t>Boundaries of the Text : Epic Performances in South and Southeast Asia</t>
  </si>
  <si>
    <t>Flueckiger, Joyce</t>
  </si>
  <si>
    <t>Partisan Gerrymandering and the Construction of American Democracy</t>
  </si>
  <si>
    <t>Legislative Politics and Policy Making Ser.</t>
  </si>
  <si>
    <t>Engstrom, Erik J.</t>
  </si>
  <si>
    <t>JK1341</t>
  </si>
  <si>
    <t>https://ebookcentral.proquest.com/lib/istinye/detail.action?docID=7007889</t>
  </si>
  <si>
    <t>The Black Arts Enterprise and the Production of African American Poetry</t>
  </si>
  <si>
    <t>Rambsy, Howard</t>
  </si>
  <si>
    <t>PS310</t>
  </si>
  <si>
    <t>811/.509896073</t>
  </si>
  <si>
    <t>https://ebookcentral.proquest.com/lib/istinye/detail.action?docID=7007890</t>
  </si>
  <si>
    <t>The Japanese Automotive Industry : Model and Challenge for the Future?</t>
  </si>
  <si>
    <t>https://ebookcentral.proquest.com/lib/istinye/detail.action?docID=7007891</t>
  </si>
  <si>
    <t>Publishing Blackness : Textual Constructions of Race Since 1850</t>
  </si>
  <si>
    <t>Editorial Theory and Literary Criticism Ser.</t>
  </si>
  <si>
    <t>Hutchinson, George</t>
  </si>
  <si>
    <t>The Black Musician and the White City : Race and Music in Chicago, 1900-1967</t>
  </si>
  <si>
    <t>Absher, Amy</t>
  </si>
  <si>
    <t>ML3479</t>
  </si>
  <si>
    <t>780.89/96073077311</t>
  </si>
  <si>
    <t>https://ebookcentral.proquest.com/lib/istinye/detail.action?docID=7007893</t>
  </si>
  <si>
    <t>Industry at the Crossroads</t>
  </si>
  <si>
    <t>Explorations in Early Southeast Asian History : The Origins of Southeast Asian Statecraft</t>
  </si>
  <si>
    <t>Hall, Kenneth</t>
  </si>
  <si>
    <t>Social Organization in South China, 1911-1949 : The Case of Kuan Lineage in K'ai-P'ing County</t>
  </si>
  <si>
    <t>Woon, Yuen-fong</t>
  </si>
  <si>
    <t>HN740</t>
  </si>
  <si>
    <t>https://ebookcentral.proquest.com/lib/istinye/detail.action?docID=7007897</t>
  </si>
  <si>
    <t>Japan in the World, the World in Japan : Fifty Years of Japanese Studies at Michigan</t>
  </si>
  <si>
    <t>Studies, Center for Japanese</t>
  </si>
  <si>
    <t>DS834</t>
  </si>
  <si>
    <t>https://ebookcentral.proquest.com/lib/istinye/detail.action?docID=7007898</t>
  </si>
  <si>
    <t>Greening China : The Benefits of Trade and Foreign Direct Investment</t>
  </si>
  <si>
    <t>Michigan Studies in International Political Economy Ser.</t>
  </si>
  <si>
    <t>Zeng, Ka</t>
  </si>
  <si>
    <t>The Kagero Diary : A Woman's Autobiographical Text from Tenth-Century Japan</t>
  </si>
  <si>
    <t>Arntzen, Sonja</t>
  </si>
  <si>
    <t>895.6/813 B</t>
  </si>
  <si>
    <t>https://ebookcentral.proquest.com/lib/istinye/detail.action?docID=7007903</t>
  </si>
  <si>
    <t>Veto Power : Institutional Design in the European Union</t>
  </si>
  <si>
    <t>New Comparative Politics Ser.</t>
  </si>
  <si>
    <t>Slapin, Jonathan</t>
  </si>
  <si>
    <t>KJE5307</t>
  </si>
  <si>
    <t>https://ebookcentral.proquest.com/lib/istinye/detail.action?docID=7007905</t>
  </si>
  <si>
    <t>Global Digital Cultures : Perspectives from South Asia</t>
  </si>
  <si>
    <t>Punathambekar, Aswin</t>
  </si>
  <si>
    <t>Salt and State : An Annotated Translation of the Songshi Salt Monopoly Treatise</t>
  </si>
  <si>
    <t>Chien, Cecilia</t>
  </si>
  <si>
    <t>Mammographies : The Cultural Discourses of Breast Cancer Narratives</t>
  </si>
  <si>
    <t>DeShazer, Mary K.</t>
  </si>
  <si>
    <t>RG493</t>
  </si>
  <si>
    <t>https://ebookcentral.proquest.com/lib/istinye/detail.action?docID=7007911</t>
  </si>
  <si>
    <t>Sukeroku's Double Identity : The Dramatic Structure of Edo Kabuki</t>
  </si>
  <si>
    <t>Thornbury, Barbara</t>
  </si>
  <si>
    <t>PN2924</t>
  </si>
  <si>
    <t>https://ebookcentral.proquest.com/lib/istinye/detail.action?docID=7007912</t>
  </si>
  <si>
    <t>Introduction to Old Javanese Language and Literature : A Kawi Prose Anthology</t>
  </si>
  <si>
    <t>Michigan Series in South and Southeast Asian Languages and Linguistics Ser.</t>
  </si>
  <si>
    <t>Zurbuchen, Mary S.</t>
  </si>
  <si>
    <t>PL5158</t>
  </si>
  <si>
    <t>https://ebookcentral.proquest.com/lib/istinye/detail.action?docID=7007913</t>
  </si>
  <si>
    <t>A Bibliography of Chinese Language Materials on the People's Communes</t>
  </si>
  <si>
    <t>Ma, Wei-Yi</t>
  </si>
  <si>
    <t>Z3108</t>
  </si>
  <si>
    <t>https://ebookcentral.proquest.com/lib/istinye/detail.action?docID=7007914</t>
  </si>
  <si>
    <t>Towards Gender Equality in Law : An Analysis of State Failures from a Global Perspective</t>
  </si>
  <si>
    <t>Guney, Gizem</t>
  </si>
  <si>
    <t>Struggle Country : The Rural Ideal in Twentieth Century Australia</t>
  </si>
  <si>
    <t>Brodie, Mark</t>
  </si>
  <si>
    <t>The Spirit of Secular Art : A History of the Sacramental Roots of Contemporary Artistic Values</t>
  </si>
  <si>
    <t>Nelson, Robert</t>
  </si>
  <si>
    <t>N8248.S77N45 2007</t>
  </si>
  <si>
    <t>https://ebookcentral.proquest.com/lib/istinye/detail.action?docID=7009592</t>
  </si>
  <si>
    <t>Alpine Industrial Landscapes : Towards a New Approach for Brownfield Redevelopment in Mountain Regions</t>
  </si>
  <si>
    <t>RaumFragen: Stadt - Region - Landschaft Ser.</t>
  </si>
  <si>
    <t>Modica, Marcello</t>
  </si>
  <si>
    <t>HT101-395</t>
  </si>
  <si>
    <t>https://ebookcentral.proquest.com/lib/istinye/detail.action?docID=7013142</t>
  </si>
  <si>
    <t>How to Build a Modern Tontine : Algorithms, Scripts and Tips</t>
  </si>
  <si>
    <t>Milevsky, Moshe Arye</t>
  </si>
  <si>
    <t>QA276-280</t>
  </si>
  <si>
    <t>https://ebookcentral.proquest.com/lib/istinye/detail.action?docID=7013146</t>
  </si>
  <si>
    <t>Resourceful Civil Society : Navigating the Changing Landscapes of Civil Society Organizations</t>
  </si>
  <si>
    <t>Palgrave Studies in Third Sector Research Ser.</t>
  </si>
  <si>
    <t>Kravchenko, Zhanna</t>
  </si>
  <si>
    <t>Women in STEM in Higher Education : Good Practices of Attraction, Access and Retainment in Higher Education</t>
  </si>
  <si>
    <t>Lecture Notes in Educational Technology Ser.</t>
  </si>
  <si>
    <t>García-Peñalvo, Francisco José</t>
  </si>
  <si>
    <t>Learning Analytics: a Metacognitive Tool to Engage Students : Research Study</t>
  </si>
  <si>
    <t>Volungevičienė, Airina</t>
  </si>
  <si>
    <t>Handwerk in Europa : Vom Spätmittelalter Bis Zur Frühen Neuzeit</t>
  </si>
  <si>
    <t>Schulz, Knut</t>
  </si>
  <si>
    <t>https://ebookcentral.proquest.com/lib/istinye/detail.action?docID=7014806</t>
  </si>
  <si>
    <t>Die Indirekte Kommunikation in Frankreich : Reflexionen über Die Kunst des Impliziten in der Französischen Literatur</t>
  </si>
  <si>
    <t>Bernsen, Michael</t>
  </si>
  <si>
    <t>Renaissance- und Humanistenhandschriften</t>
  </si>
  <si>
    <t>Autenrieth, Johanne</t>
  </si>
  <si>
    <t>Die Predigt Im 19. Jahrhundert : Kritische Bemerkungen und Praktische Winke</t>
  </si>
  <si>
    <t>Vorträge der Theologischen Konferenz Zu Giessen Ser.</t>
  </si>
  <si>
    <t>Drews, Paul</t>
  </si>
  <si>
    <t>https://ebookcentral.proquest.com/lib/istinye/detail.action?docID=7014809</t>
  </si>
  <si>
    <t>Ostasienwissenschaften : Meyer-Struckmann-Preis 2016: Florian Coulmas</t>
  </si>
  <si>
    <t>Reden Zur Verleihung des Meyer-Struckmann-Preises Durch Die Philosophische Fakultät der Heinrich-Heine-Universität Düsseldorf Ser.</t>
  </si>
  <si>
    <t>Rosar, Ulrich</t>
  </si>
  <si>
    <t>https://ebookcentral.proquest.com/lib/istinye/detail.action?docID=7014810</t>
  </si>
  <si>
    <t>Klassische Archäologie : Meyer-Struckmann-Preis 2014: Alain Schnapp</t>
  </si>
  <si>
    <t>Bleckmann, Bruno</t>
  </si>
  <si>
    <t>https://ebookcentral.proquest.com/lib/istinye/detail.action?docID=7014812</t>
  </si>
  <si>
    <t>Bronze Age Lives</t>
  </si>
  <si>
    <t>Harding, Anthony</t>
  </si>
  <si>
    <t>https://ebookcentral.proquest.com/lib/istinye/detail.action?docID=7014813</t>
  </si>
  <si>
    <t>Romantik Zwischen Zwei Welten : Potsdamer Vorlesungen Zu Den Hauptwerken der Romanischen Literaturen des 19. Jahrhunderts</t>
  </si>
  <si>
    <t>https://ebookcentral.proquest.com/lib/istinye/detail.action?docID=7014814</t>
  </si>
  <si>
    <t>Family Instructions for the Yan Clan and Other Works by Yan Zhitui (531-590s)</t>
  </si>
  <si>
    <t>Tian, Xiaofei</t>
  </si>
  <si>
    <t>Neues Aus Wissenschaft und Lehre der Heinrich-Heine-Universität Düsseldorf 2010</t>
  </si>
  <si>
    <t>Piper, H. Michael</t>
  </si>
  <si>
    <t>https://ebookcentral.proquest.com/lib/istinye/detail.action?docID=7014816</t>
  </si>
  <si>
    <t>Planning in Cold War Europe : Competition, Cooperation, Circulations (1950s-1970s)</t>
  </si>
  <si>
    <t>Rethinking the Cold War Ser.</t>
  </si>
  <si>
    <t>Christian, Michel</t>
  </si>
  <si>
    <t>Sterben dürfen Im Krankenhaus : Paradoxien Eines ärztlichen Postulats in der Behandlung Schwerstkranker</t>
  </si>
  <si>
    <t>Behzadi, Asita</t>
  </si>
  <si>
    <t>https://ebookcentral.proquest.com/lib/istinye/detail.action?docID=7014818</t>
  </si>
  <si>
    <t>Differential Object Marking in Romance : The Third Wave</t>
  </si>
  <si>
    <t>Kabatek, Johannes</t>
  </si>
  <si>
    <t>Conceptual Joining : Wood Structures from Detail to Utopia / Holzstrukturen Im Experiment</t>
  </si>
  <si>
    <t>Poetic Critique : Encounters with Art and Literature</t>
  </si>
  <si>
    <t>WeltLiteraturen / World Literatures Ser.</t>
  </si>
  <si>
    <t>Chaouli, Michel</t>
  </si>
  <si>
    <t>Word Knowledge and Word Usage : A Cross-Disciplinary Guide to the Mental Lexicon</t>
  </si>
  <si>
    <t>Trends in Linguistics. Studies and Monographs [TiLSM] Ser.</t>
  </si>
  <si>
    <t>Pirrelli, Vito</t>
  </si>
  <si>
    <t>Frames Interdisziplinär: Modelle, Anwendungsfelder, Methoden</t>
  </si>
  <si>
    <t>Proceedings in Language and Cognition Ser.</t>
  </si>
  <si>
    <t>Ziem, Alexander</t>
  </si>
  <si>
    <t>Prolegomena Zu Einer Geschichte des Begriffes Nachfolge Christi</t>
  </si>
  <si>
    <t>1895-04-01</t>
  </si>
  <si>
    <t>Bosse, Friedrich</t>
  </si>
  <si>
    <t>https://ebookcentral.proquest.com/lib/istinye/detail.action?docID=7014824</t>
  </si>
  <si>
    <t>Erinnerungen an Rainer Maria Rilke</t>
  </si>
  <si>
    <t>Schriften der Corona Ser.</t>
  </si>
  <si>
    <t>Thurn und Taxis-Hohenlohe, Marie</t>
  </si>
  <si>
    <t>https://ebookcentral.proquest.com/lib/istinye/detail.action?docID=7014825</t>
  </si>
  <si>
    <t>Medienwissenschaften : Meyer-Struckmann-Preis 2015: Winfried Schulz</t>
  </si>
  <si>
    <t>https://ebookcentral.proquest.com/lib/istinye/detail.action?docID=7014826</t>
  </si>
  <si>
    <t>Digital Roots : Historicizing Media and Communication Concepts of the Digital Age</t>
  </si>
  <si>
    <t>Studies in Digital History and Hermeneutics Ser.</t>
  </si>
  <si>
    <t>Balbi, Gabriele</t>
  </si>
  <si>
    <t>Opfernarrative in Transnationalen Kontexten</t>
  </si>
  <si>
    <t>Medien und Kulturelle Erinnerung Ser.</t>
  </si>
  <si>
    <t>Binder, Eva</t>
  </si>
  <si>
    <t>Dialektik und Rhetorik Im Frühen und Hohen Mittelalter : Rezeption, Überlieferung und Gesellschaftliche Wirkung Antiker Gelehrsamkeit Vornehmlich Im 9. und 12. Jahrhundert</t>
  </si>
  <si>
    <t>Fried, Johannes</t>
  </si>
  <si>
    <t>https://ebookcentral.proquest.com/lib/istinye/detail.action?docID=7014829</t>
  </si>
  <si>
    <t>Poetry and Truth</t>
  </si>
  <si>
    <t>De Proprietatibus Litterarum. Series Minor Ser.</t>
  </si>
  <si>
    <t>Rasmussen, Dennis</t>
  </si>
  <si>
    <t>Regions in International Trade</t>
  </si>
  <si>
    <t>Umiński, Stanisław</t>
  </si>
  <si>
    <t>Shared Margins : An Ethnography with Writers in Alexandria after the Revolution</t>
  </si>
  <si>
    <t>ZMO-Studien Ser.</t>
  </si>
  <si>
    <t>Schielke, Samuli</t>
  </si>
  <si>
    <t>Apprendre la Langue Rwanda</t>
  </si>
  <si>
    <t>Janua Linguarum. Series Didactica Ser.</t>
  </si>
  <si>
    <t>Overdulve, C. M.</t>
  </si>
  <si>
    <t>World Editors : Dynamics of Global Publishing and the Latin American Case Between the Archive and the Digital Age</t>
  </si>
  <si>
    <t>Perspectives and Research on Play for Children with Disabilities : Collected Papers</t>
  </si>
  <si>
    <t>371.9</t>
  </si>
  <si>
    <t>https://ebookcentral.proquest.com/lib/istinye/detail.action?docID=7014835</t>
  </si>
  <si>
    <t>Olympische Statuten</t>
  </si>
  <si>
    <t>Aktuelle Dokumente Ser.</t>
  </si>
  <si>
    <t>Rauball, Reinhard</t>
  </si>
  <si>
    <t>Education Materialised : Reconstructing Teaching and Learning Contexts Through Manuscripts</t>
  </si>
  <si>
    <t>Brinkmann, Stefanie</t>
  </si>
  <si>
    <t>Black Boxes - Versiegelungskontexte Und Öffnungsversuche : Interdisziplinäre Perspektiven</t>
  </si>
  <si>
    <t>Geitz, Eckhard</t>
  </si>
  <si>
    <t>Das Sutta Nipâta : Eine Sammlung Von Gesprächen Welche Zu Den Kanonischen Büchern der Buddhisten Gehört</t>
  </si>
  <si>
    <t>1889-04-01</t>
  </si>
  <si>
    <t>Pfungst, Arthur</t>
  </si>
  <si>
    <t>Laien, Wissen, Sprache : Theoretische, Methodische und Domänenspezifische Perspektiven</t>
  </si>
  <si>
    <t>Sprache und Wissen (SuW) Ser.</t>
  </si>
  <si>
    <t>Hoffmeister, Toke</t>
  </si>
  <si>
    <t>Krieg und Geist : Das Mißtrauen in Den Geist Als Ursache Unseres Miltärischen Versagens Zu Beginn des Weltkrieges</t>
  </si>
  <si>
    <t>Wachter, Karl von</t>
  </si>
  <si>
    <t>https://ebookcentral.proquest.com/lib/istinye/detail.action?docID=7014841</t>
  </si>
  <si>
    <t>Stories That Make History : The Experience and Memories of the Japanese Military Comfort Girls-Women</t>
  </si>
  <si>
    <t>The Research Team of the War, The Research</t>
  </si>
  <si>
    <t>Genealogy, Archive, Image : Interpreting Dynastic History in Western India, C. 1090-2016</t>
  </si>
  <si>
    <t>Jhala, Jayasinhji</t>
  </si>
  <si>
    <t>Ausstellungskommunikation : Eine Linguistische Untersuchung Multimodaler Wissenskommunikation Im Raum</t>
  </si>
  <si>
    <t>Kesselheim, Wolfgang</t>
  </si>
  <si>
    <t>https://ebookcentral.proquest.com/lib/istinye/detail.action?docID=7014844</t>
  </si>
  <si>
    <t>Confronting Antisemitism from Perspectives of Philosophy and Social Sciences</t>
  </si>
  <si>
    <t>Not at Your Service : Manifestos for Design</t>
  </si>
  <si>
    <t>Franke, Bjö</t>
  </si>
  <si>
    <t>Kirchenbild und Kircheneinheit : Der Dominikanische Tractatus Contra Graecos (1252) in Seinem Theologischen und Historischen Kontext</t>
  </si>
  <si>
    <t>Riedl, Andrea</t>
  </si>
  <si>
    <t>Vernakuläre Wissenschaftskommunikation : Beiträge Zur Entstehung und Frühgeschichte der Modernen Deutschen Wissenschaftssprachen</t>
  </si>
  <si>
    <t>Prinz, Michael</t>
  </si>
  <si>
    <t>Kritische Edition der Sahidischen Version des Johannesevangeliums : Text und Dokumentation</t>
  </si>
  <si>
    <t>Arbeiten Zur Neutestamentlichen Textforschung Ser.</t>
  </si>
  <si>
    <t>Förster, Hans</t>
  </si>
  <si>
    <t>Diaspora and Disaster : Japanese Outside Japan and the Triple Catastrophy of March 2011</t>
  </si>
  <si>
    <t>Kultur- und Sozialwissenschaftliche Japanforschung Ser.</t>
  </si>
  <si>
    <t>Niehaus, Andreas</t>
  </si>
  <si>
    <t>Aus Büchern Bücher Machen : Zur Produktion und Multiplikation Von Wissen in Frühneuzeitlichen Kompilationen</t>
  </si>
  <si>
    <t>Cultures and Practices of Knowledge in History Ser.</t>
  </si>
  <si>
    <t>Zweifel, Simone</t>
  </si>
  <si>
    <t>https://ebookcentral.proquest.com/lib/istinye/detail.action?docID=7014851</t>
  </si>
  <si>
    <t>La Identidad Mexicana en Libros Escolares y Narrativas : Un Enfoque Crítico y Sociocognitivo</t>
  </si>
  <si>
    <t>García Agüero, Alba Nalleli</t>
  </si>
  <si>
    <t>Parlamentarismus in Europa : Deutschland, England und Frankreich Im Vergleich</t>
  </si>
  <si>
    <t>Recker, Marie-Luise</t>
  </si>
  <si>
    <t>Emma Goldman and the Russian Revolution : From Admiration to Frustration</t>
  </si>
  <si>
    <t>Bildungspraktiken der Aufklärung / Education Practices of the Enlightenment</t>
  </si>
  <si>
    <t>Journal Für Kultur und Geschichte der Deutschen Im östlichen Europa (JKGE) / Journal for Culture and History of the Germans in Eastern Europe Ser.</t>
  </si>
  <si>
    <t>Pasewalck, Silke</t>
  </si>
  <si>
    <t>Theoretische Mechanik Starrer Systeme</t>
  </si>
  <si>
    <t>Ball, Robert Stawell</t>
  </si>
  <si>
    <t>Die Baader-Meinhof-Gruppe</t>
  </si>
  <si>
    <t>https://ebookcentral.proquest.com/lib/istinye/detail.action?docID=7014857</t>
  </si>
  <si>
    <t>Essays on the Arts and Sciences</t>
  </si>
  <si>
    <t>Rechcigl, Miloslav</t>
  </si>
  <si>
    <t>https://ebookcentral.proquest.com/lib/istinye/detail.action?docID=7014859</t>
  </si>
  <si>
    <t>Funktionsprüfungen in der Herz-Kreislaufdiagnostik</t>
  </si>
  <si>
    <t>Neumann, Helmut</t>
  </si>
  <si>
    <t>Die Chronica Pontificum Leodiensium : Eine Verlorene Quellenschrift des XIII. Jahrhunderts. Nebst Einer Probe der Wiederherstellung</t>
  </si>
  <si>
    <t>Franz, Friedrich</t>
  </si>
  <si>
    <t>https://ebookcentral.proquest.com/lib/istinye/detail.action?docID=7014861</t>
  </si>
  <si>
    <t>Die Gewaltkriminalität in Den USA</t>
  </si>
  <si>
    <t>Middendorff, Wolf</t>
  </si>
  <si>
    <t>https://ebookcentral.proquest.com/lib/istinye/detail.action?docID=7014862</t>
  </si>
  <si>
    <t>Die Kriminalpolitik Preußens Unter Friedrich Wilhelm I. und Friedrich II</t>
  </si>
  <si>
    <t>Abhandlungen des Kriminalistischen Instituts an der Universität Berlin Ser.</t>
  </si>
  <si>
    <t>Schmidt, Eberhard</t>
  </si>
  <si>
    <t>https://ebookcentral.proquest.com/lib/istinye/detail.action?docID=7014863</t>
  </si>
  <si>
    <t>Paracelsus : Historisch-Kritische Ausgabe</t>
  </si>
  <si>
    <t>Reading Cicero's Final Years : Receptions of the Post-Caesarian Works up to the Sixteenth Century - with Two Epilogues</t>
  </si>
  <si>
    <t>Pieper, Christoph</t>
  </si>
  <si>
    <t>Wütende Texte : Die Sprache Heißen Zorns in der Deutschen Literatur des 20. Jahrhunderts</t>
  </si>
  <si>
    <t>Hermaea. Neue Folge Ser.</t>
  </si>
  <si>
    <t>Stumm, Alfred</t>
  </si>
  <si>
    <t>Herakleios, der Schwitzende Kaiser : Die Oströmische Monarchie in der Ausgehenden Spätantike</t>
  </si>
  <si>
    <t>Viermann, Nadine</t>
  </si>
  <si>
    <t>https://ebookcentral.proquest.com/lib/istinye/detail.action?docID=7014867</t>
  </si>
  <si>
    <t>Elemente der Funktionentheorie</t>
  </si>
  <si>
    <t>Sammlung Göschen Ser.</t>
  </si>
  <si>
    <t>Knopp, Konrad</t>
  </si>
  <si>
    <t>https://ebookcentral.proquest.com/lib/istinye/detail.action?docID=7014868</t>
  </si>
  <si>
    <t>Borderlines: Essays on Mapping and the Logic of Place</t>
  </si>
  <si>
    <t>Abeliovich, Ruthie</t>
  </si>
  <si>
    <t>Meaning and Grammar of Nouns and Verbs</t>
  </si>
  <si>
    <t>Studies in Language and Cognition Ser.</t>
  </si>
  <si>
    <t>Humanidades Digitales : Miradas Hacia la Edad Media</t>
  </si>
  <si>
    <t>González, Déborah</t>
  </si>
  <si>
    <t>Das 20. Jahrhundert : Sprachgeschichte - Zeitgeschichte</t>
  </si>
  <si>
    <t>Jahrbuch des Instituts Für Deutsche Sprache Ser.</t>
  </si>
  <si>
    <t>Kämper, Heidrun</t>
  </si>
  <si>
    <t>Zwischen Nationalen und Transnationalen Erinnerungsnarrativen in Zentraleuropa</t>
  </si>
  <si>
    <t>Dorn, Lena</t>
  </si>
  <si>
    <t>Constructions in Use</t>
  </si>
  <si>
    <t>Dissertations in Language and Cognition Ser.</t>
  </si>
  <si>
    <t>Straße, Alexander auf der</t>
  </si>
  <si>
    <t>https://ebookcentral.proquest.com/lib/istinye/detail.action?docID=7014874</t>
  </si>
  <si>
    <t>In Integrum Restitutio und Vindicatio Utilis Bei Eigentumsübertragungen Im Klassischen Römischen Recht</t>
  </si>
  <si>
    <t>Münsterische Beiträge Zur Rechts- und Staatswissenschaft Ser.</t>
  </si>
  <si>
    <t>Kupisch, Berthold</t>
  </si>
  <si>
    <t>https://ebookcentral.proquest.com/lib/istinye/detail.action?docID=7014875</t>
  </si>
  <si>
    <t>The Maghrib in the Mashriq : Knowledge, Travel and Identity</t>
  </si>
  <si>
    <t>Fierro, Maribel</t>
  </si>
  <si>
    <t>Powers of Protection : The Buddhist Tradition of Spells in the Dhāraṇīsaṃgraha Collections</t>
  </si>
  <si>
    <t>Bridging Formal and Conceptual Semantics : Selected Papers of BRIDGE-14</t>
  </si>
  <si>
    <t>Balogh, Kata</t>
  </si>
  <si>
    <t>Paul on the Human Vocation : Reason Language in Romans and Ancient Philosophical Tradition</t>
  </si>
  <si>
    <t>Dürr, Simon</t>
  </si>
  <si>
    <t>https://ebookcentral.proquest.com/lib/istinye/detail.action?docID=7014879</t>
  </si>
  <si>
    <t>Das Materielle Erbe des Steinkohlenbergbaus in Deutschland : Eine Handreichung Zur Dokumentation und Digitalisierung in Kleinen Sammlungen</t>
  </si>
  <si>
    <t>Veröffentlichungen Aus Dem Deutschen Bergbau-Museum Bochum Ser.</t>
  </si>
  <si>
    <t>Siemer, Stefan</t>
  </si>
  <si>
    <t>https://ebookcentral.proquest.com/lib/istinye/detail.action?docID=7014880</t>
  </si>
  <si>
    <t>Toscana Bilingue (1260 Ca. -1430 Ca. ) : Per una Storia Sociale Del Tradurre Medievale</t>
  </si>
  <si>
    <t>Bischetti, Sara</t>
  </si>
  <si>
    <t>Diskurserwerb in Familie, Peergroup und Unterricht : Passungen und Teilhabechancen</t>
  </si>
  <si>
    <t>Quasthoff, Uta</t>
  </si>
  <si>
    <t>Talking Dialogue : Eleven Episodes in the History of the Modern Interreligious Dialogue Movement</t>
  </si>
  <si>
    <t>KAICIID - Beyond Dialogue Ser.</t>
  </si>
  <si>
    <t>Lehmann, Karsten</t>
  </si>
  <si>
    <t>Das Bild der Schweiz Bei Den Papstgesandten (1586-1654) : Die Ständige Nuntiatur in Luzern. Mit Einer Dokumentation Von Instruktionen und Berichten Aus Dem Geheimarchiv des Vatikans</t>
  </si>
  <si>
    <t>Ancien Régime, Aufklärung und Revolution Ser.</t>
  </si>
  <si>
    <t>Galgano, Mario</t>
  </si>
  <si>
    <t>https://ebookcentral.proquest.com/lib/istinye/detail.action?docID=7014884</t>
  </si>
  <si>
    <t>Grubengasanalyse Im Kohlenbergbau</t>
  </si>
  <si>
    <t>Arbeitsmethoden der Modernen Naturwissenschaften Ser.</t>
  </si>
  <si>
    <t>Kattwinkel, Robert</t>
  </si>
  <si>
    <t>Spanisch in Berlin : Einstellungen Zu Einer Globalen Sprache Als Lokale Fremdsprache</t>
  </si>
  <si>
    <t>Krämer, Philipp</t>
  </si>
  <si>
    <t>https://ebookcentral.proquest.com/lib/istinye/detail.action?docID=7014886</t>
  </si>
  <si>
    <t>Deutsch Von Außen</t>
  </si>
  <si>
    <t>Stickel, Gerhard</t>
  </si>
  <si>
    <t>https://ebookcentral.proquest.com/lib/istinye/detail.action?docID=7014887</t>
  </si>
  <si>
    <t>Theatre and Metatheatre : Definitions, Problems, Limits</t>
  </si>
  <si>
    <t>MythosEikonPoiesis Ser.</t>
  </si>
  <si>
    <t>Paillard, Elodie</t>
  </si>
  <si>
    <t>Making Black History : Diasporic Fiction in the Moment of Afropolitanism</t>
  </si>
  <si>
    <t>Buchreihe der Anglia / Anglia Book Ser.</t>
  </si>
  <si>
    <t>Haensell, Dominique</t>
  </si>
  <si>
    <t>https://ebookcentral.proquest.com/lib/istinye/detail.action?docID=7014889</t>
  </si>
  <si>
    <t>Confronting Antisemitism in Modern Media, the Legal and Political Worlds</t>
  </si>
  <si>
    <t>Das Tragische und Die Tragödie : Grundsätzliche Äußerungen Deutscher Denker und Dichter</t>
  </si>
  <si>
    <t>Der Dreiturmbücherei Ser.</t>
  </si>
  <si>
    <t>Hasenclever, Ludwig</t>
  </si>
  <si>
    <t>https://ebookcentral.proquest.com/lib/istinye/detail.action?docID=7014891</t>
  </si>
  <si>
    <t>Beyond Exceptionalism : Traces of Slavery and the Slave Trade in Early Modern Germany, 1650-1850</t>
  </si>
  <si>
    <t>Mallinckrodt, Rebekka</t>
  </si>
  <si>
    <t>Les Américains de Paris</t>
  </si>
  <si>
    <t>Publications of the International Social Science Council Ser.</t>
  </si>
  <si>
    <t>Petit, Solange</t>
  </si>
  <si>
    <t>Von Den Historischen Avantgarden Bis Nach der Postmoderne : Potsdamer Vorlesungen Zu Den Hauptwerken der Romanischen Literaturen des 20. und 21. Jahrhunderts</t>
  </si>
  <si>
    <t>https://ebookcentral.proquest.com/lib/istinye/detail.action?docID=7014894</t>
  </si>
  <si>
    <t>Definiteness in a Language Without Articles - a Study on Polish</t>
  </si>
  <si>
    <t>Czardybon, Adrian</t>
  </si>
  <si>
    <t>https://ebookcentral.proquest.com/lib/istinye/detail.action?docID=7014895</t>
  </si>
  <si>
    <t>Neues und Fremdes Im Deutschen Wortschatz : Aktueller Lexikalischer Wandel</t>
  </si>
  <si>
    <t>https://ebookcentral.proquest.com/lib/istinye/detail.action?docID=7014896</t>
  </si>
  <si>
    <t>Evaluation of Childrens' Play : Tools and Methods</t>
  </si>
  <si>
    <t>Pacific Climate Cultures : Living Climate Change in Oceania</t>
  </si>
  <si>
    <t>Crook, Tony</t>
  </si>
  <si>
    <t>Using Ostraca in the Ancient World : New Discoveries and Methodologies</t>
  </si>
  <si>
    <t>Caputo, Clementina</t>
  </si>
  <si>
    <t>Documentation and Argument in Early China : The Shàngshū 尚書 (Venerated Documents) and the Shū Traditions</t>
  </si>
  <si>
    <t>Meyer, Dirk</t>
  </si>
  <si>
    <t>Der Tosephtatraktat Berakot : Text, Übersetzung und Erklärung</t>
  </si>
  <si>
    <t>Beihefte Zur Zeitschrift Für Die Alttestamentliche Wissenschaft Ser.</t>
  </si>
  <si>
    <t>Holtzmann, Oscar</t>
  </si>
  <si>
    <t>https://ebookcentral.proquest.com/lib/istinye/detail.action?docID=7014901</t>
  </si>
  <si>
    <t>Meaning, Frames, and Conceptual Representation</t>
  </si>
  <si>
    <t>Von der Makroökonomie Zum Kleinbauern : Die Wandlung der Idee Eines Gerechten Nord-Süd-Handels in der Schweizerischen Dritte-Welt-Bewegung (1964-1984)</t>
  </si>
  <si>
    <t>Franc, Andrea</t>
  </si>
  <si>
    <t>Sechs Jahre Aus Carl Burgfeld's Leben : Freundschaft, Liebe und Orden</t>
  </si>
  <si>
    <t>1793-04-01</t>
  </si>
  <si>
    <t>Demme, Herrmann Christoph Gottfried</t>
  </si>
  <si>
    <t>https://ebookcentral.proquest.com/lib/istinye/detail.action?docID=7014904</t>
  </si>
  <si>
    <t>Orthopädie</t>
  </si>
  <si>
    <t>Der Kliniker Ser.</t>
  </si>
  <si>
    <t>Neumeyer, Gerhard</t>
  </si>
  <si>
    <t>https://ebookcentral.proquest.com/lib/istinye/detail.action?docID=7014905</t>
  </si>
  <si>
    <t>Amalthea Oder Museum der Kunstmythologie und Bildlichen Alterthumskunde</t>
  </si>
  <si>
    <t>1822-04-01</t>
  </si>
  <si>
    <t>BÖTTIGER, C. A.</t>
  </si>
  <si>
    <t>https://ebookcentral.proquest.com/lib/istinye/detail.action?docID=7014906</t>
  </si>
  <si>
    <t>Dialogues Between Media</t>
  </si>
  <si>
    <t>Ferstl, Paul</t>
  </si>
  <si>
    <t>https://ebookcentral.proquest.com/lib/istinye/detail.action?docID=7014907</t>
  </si>
  <si>
    <t>Friedrich Rosen : Orientalist Scholarship and International Politics</t>
  </si>
  <si>
    <t>Theilhaber, Amir</t>
  </si>
  <si>
    <t>https://ebookcentral.proquest.com/lib/istinye/detail.action?docID=7014908</t>
  </si>
  <si>
    <t>Evaluating Interreligious Peacebuilding and Dialogue : Methods and Frameworks</t>
  </si>
  <si>
    <t>Abu-Nimer, Mohammed</t>
  </si>
  <si>
    <t>Die Untersuchung und Konstruktion Schwieriger Raumgebilde</t>
  </si>
  <si>
    <t>Holzmüller, Gustav</t>
  </si>
  <si>
    <t>Isaac Orobio : The Jewish Argument with Dogma and Doubt</t>
  </si>
  <si>
    <t>Prosa: Theorie, Exegese, Geschichte</t>
  </si>
  <si>
    <t>Theorie der Prosa Ser.</t>
  </si>
  <si>
    <t>Land, Dorf, Kehilla : ,,Landjudentum in der Deutschen und Deutsch-Jüdischen Erzählliteratur Bis 1918</t>
  </si>
  <si>
    <t>Laufer, Almut</t>
  </si>
  <si>
    <t>https://ebookcentral.proquest.com/lib/istinye/detail.action?docID=7014913</t>
  </si>
  <si>
    <t>Gallipoli 1915/16 : Britanniens Bitterste Niederlage</t>
  </si>
  <si>
    <t>940.4/26</t>
  </si>
  <si>
    <t>https://ebookcentral.proquest.com/lib/istinye/detail.action?docID=7014914</t>
  </si>
  <si>
    <t>Im Banne des Schachproblems : Ausgewählte Schachaufgaben und Studien</t>
  </si>
  <si>
    <t>Kraemer, A.</t>
  </si>
  <si>
    <t>Berliner Weltliteraturen : Internationale Literarische Beziehungen in Ost und West Nach Dem Mauerbau</t>
  </si>
  <si>
    <t>https://ebookcentral.proquest.com/lib/istinye/detail.action?docID=7014916</t>
  </si>
  <si>
    <t>Valency over Time : Diachronic Perspectives on Valency Patterns and Valency Orientation</t>
  </si>
  <si>
    <t>Luraghi, Silvia</t>
  </si>
  <si>
    <t>Decor-Räume in Pompejanischen Stadthäusern : Ausstattungsstrategien und Rezeptionsformen</t>
  </si>
  <si>
    <t>Decorative Principles in Late Republican and Early Imperial Italy (Decor) Ser.</t>
  </si>
  <si>
    <t>Die Restitution des Ullstein-Verlags (1945-52) : Remigration, Ränke, Rückgabe: der Steinige Weg Einer Berliner Traditionsfirma</t>
  </si>
  <si>
    <t>Berndt, Juliane</t>
  </si>
  <si>
    <t>Meyer-Struckmann-Preis 2013: Sir Ian Kershaw : Deutsche Geschichte Im 20. Jahrhundert</t>
  </si>
  <si>
    <t>https://ebookcentral.proquest.com/lib/istinye/detail.action?docID=7014920</t>
  </si>
  <si>
    <t>Experimentalphysik : Mechanik</t>
  </si>
  <si>
    <t>Fischer, Thomas</t>
  </si>
  <si>
    <t>Education Innovation and Mental Health in Industrial Era 4. 0</t>
  </si>
  <si>
    <t>Maputra, Yantri</t>
  </si>
  <si>
    <t>Gefängnis Als Schwellenraum in der Byzantinischen Hagiographie : Eine Untersuchung Früh- und Mittelbyzantinischer Märtyrerakten</t>
  </si>
  <si>
    <t>Papavarnavas, Christodoulos</t>
  </si>
  <si>
    <t>Das 19. Jahrhundert : Sprachgeschichtliche Wurzeln des Heutigen Deutsch</t>
  </si>
  <si>
    <t>Wimmer, Rainer</t>
  </si>
  <si>
    <t>https://ebookcentral.proquest.com/lib/istinye/detail.action?docID=7014924</t>
  </si>
  <si>
    <t>Das Zeitalter der Novelle in Hellas</t>
  </si>
  <si>
    <t>1870-04-01</t>
  </si>
  <si>
    <t>Erdmannsdörffer, Bernhard</t>
  </si>
  <si>
    <t>Sujetos Del Deseo : Una Exploración Sobre la Traducción Amateur en Los años Del Panamericanismo</t>
  </si>
  <si>
    <t>Marambio, Soledad</t>
  </si>
  <si>
    <t>Die Deutsche Reformation Zwischen Spätmittelalter und Früher Neuzeit</t>
  </si>
  <si>
    <t>Brady, Thomas A.</t>
  </si>
  <si>
    <t>https://ebookcentral.proquest.com/lib/istinye/detail.action?docID=7014928</t>
  </si>
  <si>
    <t>Existentialismus In Österreich : Kultureller Transfer und Literarische Resonanz</t>
  </si>
  <si>
    <t>Werner, Juliane</t>
  </si>
  <si>
    <t>English Formal Satire : Elizabethan to Augustan</t>
  </si>
  <si>
    <t>De Proprietatibus Litterarum. Series Practica Ser.</t>
  </si>
  <si>
    <t>Powers, Doris C.</t>
  </si>
  <si>
    <t>Was Vom Himmel Kommt : Stoffanalytische Zugänge Zu Antiken Mythen Aus Mesopotamien, Ägypten, Griechenland und Rom</t>
  </si>
  <si>
    <t>Gabriel, Gösta Ingvar</t>
  </si>
  <si>
    <t>Psychobiologie der Volksseuche Neurose</t>
  </si>
  <si>
    <t>Lungwitz, Hans</t>
  </si>
  <si>
    <t>https://ebookcentral.proquest.com/lib/istinye/detail.action?docID=7014932</t>
  </si>
  <si>
    <t>Marriage Discourses : Historical and Literary Perspectives on Gender Inequality and Patriarchic Exploitation</t>
  </si>
  <si>
    <t>Mohammed, Jowan A.</t>
  </si>
  <si>
    <t>Grundzüge der Prosasyntax : Stilprägende Entwicklungen Vom Althochdeutschen Zum Neuhochdeutschen</t>
  </si>
  <si>
    <t>Betten, Anne</t>
  </si>
  <si>
    <t>435/.09</t>
  </si>
  <si>
    <t>https://ebookcentral.proquest.com/lib/istinye/detail.action?docID=7014934</t>
  </si>
  <si>
    <t>Sprache - Sprachwissenschaft - Öffentlichkeit</t>
  </si>
  <si>
    <t>https://ebookcentral.proquest.com/lib/istinye/detail.action?docID=7014935</t>
  </si>
  <si>
    <t>Jahrbuch der Heinrich-Heine-Universität Düsseldorf 2007/2008</t>
  </si>
  <si>
    <t>Rektor der Heinrich-Heine-Universität Düsseldorf, Rektor der</t>
  </si>
  <si>
    <t>https://ebookcentral.proquest.com/lib/istinye/detail.action?docID=7014936</t>
  </si>
  <si>
    <t>Bildzensur : Löschung Technischer Bilder</t>
  </si>
  <si>
    <t>Müller-Helle, Katja</t>
  </si>
  <si>
    <t>https://ebookcentral.proquest.com/lib/istinye/detail.action?docID=7014937</t>
  </si>
  <si>
    <t>Kasus Im Korpus : Zu Struktur und Geographie Oberdeutscher Kasusmorphologie</t>
  </si>
  <si>
    <t>Ellsäßer, Sophie</t>
  </si>
  <si>
    <t>https://ebookcentral.proquest.com/lib/istinye/detail.action?docID=7014938</t>
  </si>
  <si>
    <t>Die Fragmentierte Stadt : Exklusion und Teilhabe Im öffentlichen Raum</t>
  </si>
  <si>
    <t>Jovis Verlag GmbH</t>
  </si>
  <si>
    <t>Krusche, Jürgen</t>
  </si>
  <si>
    <t>New Libraries in Old Buildings : Creative Reuse</t>
  </si>
  <si>
    <t>Hauke, Petra</t>
  </si>
  <si>
    <t>Language Activism : Imaginaries and Strategies of Minority Language Equality</t>
  </si>
  <si>
    <t>Contributions to the Sociology of Language [CSL] Ser.</t>
  </si>
  <si>
    <t>De Korne, Haley</t>
  </si>
  <si>
    <t>305.7</t>
  </si>
  <si>
    <t>https://ebookcentral.proquest.com/lib/istinye/detail.action?docID=7014941</t>
  </si>
  <si>
    <t>Schleiermacher's Briefe an Brinckmann : Briefwechsel Mit Seinen Freunden Von Seiner Uebersiedlung Nach Halle Bis Zu Seinem Tode. Denkschriften. Dialog über das Anständige. Recensionen</t>
  </si>
  <si>
    <t>1863-04-01</t>
  </si>
  <si>
    <t>Jonas, Ludwig</t>
  </si>
  <si>
    <t>Approaches in Tourism Modelling : Collected Papers</t>
  </si>
  <si>
    <t>Sergo, Zdravko</t>
  </si>
  <si>
    <t>Die Kaufkraft des Geldes : Ihre Bestimmung und Ihre Beziehung Zu Kredit, Zins und Krisen</t>
  </si>
  <si>
    <t>Fisher, Irving</t>
  </si>
  <si>
    <t>Landscape Impact Assessment in Planning Processes</t>
  </si>
  <si>
    <t>Belčáková, Ingrid</t>
  </si>
  <si>
    <t>Wieland und das Drama</t>
  </si>
  <si>
    <t>Marx, Emilie</t>
  </si>
  <si>
    <t>https://ebookcentral.proquest.com/lib/istinye/detail.action?docID=7014946</t>
  </si>
  <si>
    <t>Traumaticismus und Infection : Nach Einer Rede, Gehalten in der Ersten Allgemeinen Sitzung des XIII. Internationalen Medicinischen Congresses Zu Paris Am 2. August 1900</t>
  </si>
  <si>
    <t>Virchow, Rudolf</t>
  </si>
  <si>
    <t>https://ebookcentral.proquest.com/lib/istinye/detail.action?docID=7014947</t>
  </si>
  <si>
    <t>Diversity Dimensions in Mathematics and Language Learning : Perspectives on Culture, Education and Multilingualism</t>
  </si>
  <si>
    <t>DaZ-Forschung [DaZ-For] Ser.</t>
  </si>
  <si>
    <t>Fritz, Annemarie</t>
  </si>
  <si>
    <t>A Lecture on Russian History</t>
  </si>
  <si>
    <t>Karpovich, Michael</t>
  </si>
  <si>
    <t>Creative Selection Between Emending and Forming Medieval Memory</t>
  </si>
  <si>
    <t>Scholz, Sebastian</t>
  </si>
  <si>
    <t>Der Zweite Weltkrieg in Postsozialistischen Gedenkmuseen : Geschichtspolitik Zwischen der ,Anrufung Europas' und Dem Fokus Auf ,unser' Leid</t>
  </si>
  <si>
    <t>Radonić, Ljiljana</t>
  </si>
  <si>
    <t>Einleitung in Die Philosophie : Eine Übung des Geistes</t>
  </si>
  <si>
    <t>Einheit des Wissens Ser.</t>
  </si>
  <si>
    <t>Bense, Max</t>
  </si>
  <si>
    <t>https://ebookcentral.proquest.com/lib/istinye/detail.action?docID=7014952</t>
  </si>
  <si>
    <t>Degree Gradation of Verbs</t>
  </si>
  <si>
    <t>Fleischhauer-Helfer, Jens</t>
  </si>
  <si>
    <t>https://ebookcentral.proquest.com/lib/istinye/detail.action?docID=7014953</t>
  </si>
  <si>
    <t>Kriminologie : Standpunkte und Probleme</t>
  </si>
  <si>
    <t>Schneider, Hans Joachim</t>
  </si>
  <si>
    <t>https://ebookcentral.proquest.com/lib/istinye/detail.action?docID=7014954</t>
  </si>
  <si>
    <t>Kaiserhaus, Staatsmänner und Politiker : Aufzeichnungen des K. K. Statthalters Erich Graf Kielmansegg</t>
  </si>
  <si>
    <t>Kielmansegg, Erich</t>
  </si>
  <si>
    <t>Dictionnaire Historique de L'adjectif-Adverbe</t>
  </si>
  <si>
    <t>Untersuchungen über Ulrich Fürtrers Dichtung Von Dem Gral und der Tafelrunde, 1 : Zur Metrik und Grammatik, Stil und Darstellungsweise</t>
  </si>
  <si>
    <t>1882-04-01</t>
  </si>
  <si>
    <t>Hamburger, Paul</t>
  </si>
  <si>
    <t>https://ebookcentral.proquest.com/lib/istinye/detail.action?docID=7014957</t>
  </si>
  <si>
    <t>Bilddenken und Morphologie : Interdisziplinäre Studien über Form und Bilder Im Philosophischen und Wissenschaftlichen Denken</t>
  </si>
  <si>
    <t>Follesa, Laura</t>
  </si>
  <si>
    <t>Laienfrömmigkeit Im Späten Mittelalter : Formen, Funktionen, Politisch-Soziale Zusammenhänge</t>
  </si>
  <si>
    <t>Schreiner, Klaus</t>
  </si>
  <si>
    <t>Paragesellschaften : Imaginationen - Inszenierungen - Interaktionen in Den Gegenwartskulturen</t>
  </si>
  <si>
    <t>Hiergeist, Teresa</t>
  </si>
  <si>
    <t>Über Den Begriff der Ironie : Mit Ständiger Rücksicht Auf Sokrates</t>
  </si>
  <si>
    <t>Kierkegaard, Sören</t>
  </si>
  <si>
    <t>Kunstgeschichte und Kunsttheorie Im 19. Jahrhundert</t>
  </si>
  <si>
    <t>Probleme der Kunstwissenschaft Ser.</t>
  </si>
  <si>
    <t>Bauer, Hermann</t>
  </si>
  <si>
    <t>Occult Roots of Religious Studies : On the Influence of Non-Hegemonic Currents on Academia Around 1900</t>
  </si>
  <si>
    <t>Okkulte Moderne Ser.</t>
  </si>
  <si>
    <t>Mühlematter, Yves</t>
  </si>
  <si>
    <t>Laienpotential, Patientenaktivierung und Gesundheitsselbsthilfe</t>
  </si>
  <si>
    <t>Soziologie und Sozialpolitik Ser.</t>
  </si>
  <si>
    <t>Ferber, Christian von</t>
  </si>
  <si>
    <t>https://ebookcentral.proquest.com/lib/istinye/detail.action?docID=7014964</t>
  </si>
  <si>
    <t>The Poetry of Meng Haoran</t>
  </si>
  <si>
    <t>Kroll, Paul W.</t>
  </si>
  <si>
    <t>The Politics of Service : US-Amerikanische Quäker und Internationale Humanitäre Hilfe 1917-1945</t>
  </si>
  <si>
    <t>https://ebookcentral.proquest.com/lib/istinye/detail.action?docID=7014966</t>
  </si>
  <si>
    <t>Cultures and Traditions of Wordplay and Wordplay Research</t>
  </si>
  <si>
    <t>Anachronismus und Aktualisierung in Ovids Metamorphosen : Eine Ästhetik Uneigentlicher Zeitlichkeit</t>
  </si>
  <si>
    <t>Geitner, Philipp</t>
  </si>
  <si>
    <t>Leibniz</t>
  </si>
  <si>
    <t>Huber, Kurt</t>
  </si>
  <si>
    <t>Novalis, der Romantiker</t>
  </si>
  <si>
    <t>Heilborn, Ernst</t>
  </si>
  <si>
    <t>https://ebookcentral.proquest.com/lib/istinye/detail.action?docID=7014970</t>
  </si>
  <si>
    <t>Political Economy of Environment. Problems of Method : Papers Presented at the Symposium Held at the Maisons des Sciences de l'Homme, Paris, 5-8 July 1971</t>
  </si>
  <si>
    <t>Environment and Social Sciences Ser.</t>
  </si>
  <si>
    <t>Beiträge Zur Geschichte Ägyptens Unter Dem Islam</t>
  </si>
  <si>
    <t>Becker, Carl H.</t>
  </si>
  <si>
    <t>https://ebookcentral.proquest.com/lib/istinye/detail.action?docID=7014972</t>
  </si>
  <si>
    <t>Sprachen, Völker und Phantome : Sprach- und Kulturwissenschaftliche Studien Zur Ethnizität</t>
  </si>
  <si>
    <t>Mumm, Peter-Arnold</t>
  </si>
  <si>
    <t>https://ebookcentral.proquest.com/lib/istinye/detail.action?docID=7014973</t>
  </si>
  <si>
    <t>Tracing and Documenting Nazi Victims Past and Present</t>
  </si>
  <si>
    <t>Arolsen Research Ser.</t>
  </si>
  <si>
    <t>Arolsen Archives, Arolsen</t>
  </si>
  <si>
    <t>Crossing Experiences in Digital Epigraphy : From Practice to Discipline</t>
  </si>
  <si>
    <t>De Santis, Annamaria</t>
  </si>
  <si>
    <t>Kürschners Graphiker-Handbuch : Deutschland, Österreich, Schweiz. Graphiker, Illustratoren, Karikaturisten, Gebrauchsgraphiker, Typographen, Buchgestalter</t>
  </si>
  <si>
    <t>Kürschner, Joseph</t>
  </si>
  <si>
    <t>Der Kampf Um Chinas Kollektives Gedächtnis : Offizielle und Inoffizielle Narrative Zur Kampagne Gegen Rechtsabweichler (1957-58)</t>
  </si>
  <si>
    <t>Blanke, Anja</t>
  </si>
  <si>
    <t>https://ebookcentral.proquest.com/lib/istinye/detail.action?docID=7014977</t>
  </si>
  <si>
    <t>Successes and Failures in EU Cohesion Policy: an Introduction to EU Cohesion Policy in Eastern, Central, and Southern Europe</t>
  </si>
  <si>
    <t>Musiałkowska, Ida</t>
  </si>
  <si>
    <t>Subjektive und Objektive Zeit : Aristoteles und Die Moderne Zeit-Theorie</t>
  </si>
  <si>
    <t>Chronoi Ser.</t>
  </si>
  <si>
    <t>Detel, Wolfgang</t>
  </si>
  <si>
    <t>Aufklärung Zwischen Zwei Welten : Potsdamer Vorlesungen Zu Den Hauptwerken der Romanischen Literaturen des 18. Jahrhunderts</t>
  </si>
  <si>
    <t>https://ebookcentral.proquest.com/lib/istinye/detail.action?docID=7014980</t>
  </si>
  <si>
    <t>Der Sinn der Humanistischen Bildung</t>
  </si>
  <si>
    <t>Boehm, Max Hildebert</t>
  </si>
  <si>
    <t>https://ebookcentral.proquest.com/lib/istinye/detail.action?docID=7014981</t>
  </si>
  <si>
    <t>Regional Development. Experiences and Prospects in Eastern Europe</t>
  </si>
  <si>
    <t>Regional Planning Ser.</t>
  </si>
  <si>
    <t>Mihailovič, Kosta</t>
  </si>
  <si>
    <t>Rotes Licht : Jugoslawische Partisanenfotografie. Bilder Einer Sozialen Bewegung, 1941-1945</t>
  </si>
  <si>
    <t>Konjikusić, Davor</t>
  </si>
  <si>
    <t>Elemente der Antiken Erzähltheorie</t>
  </si>
  <si>
    <t>Narratologia Ser.</t>
  </si>
  <si>
    <t>Feddern, Stefan</t>
  </si>
  <si>
    <t>https://ebookcentral.proquest.com/lib/istinye/detail.action?docID=7014984</t>
  </si>
  <si>
    <t>Metaphysik des Mittelalters</t>
  </si>
  <si>
    <t>Dempf, Alois</t>
  </si>
  <si>
    <t>https://ebookcentral.proquest.com/lib/istinye/detail.action?docID=7014985</t>
  </si>
  <si>
    <t>Cultural Sovereignty Beyond the Modern State : Space, Objects, and Media</t>
  </si>
  <si>
    <t>Feindt, Gregor</t>
  </si>
  <si>
    <t>Karl Gutzkow und der Demokratische Gedanke</t>
  </si>
  <si>
    <t>Historische Bibliothek Ser.</t>
  </si>
  <si>
    <t>Maenner, Ludwig</t>
  </si>
  <si>
    <t>https://ebookcentral.proquest.com/lib/istinye/detail.action?docID=7014987</t>
  </si>
  <si>
    <t>Häusliche Andachten</t>
  </si>
  <si>
    <t>1814-04-01</t>
  </si>
  <si>
    <t>Fink, Gottfried Wilhelm</t>
  </si>
  <si>
    <t>https://ebookcentral.proquest.com/lib/istinye/detail.action?docID=7014988</t>
  </si>
  <si>
    <t>Vorlesungen über Die Naturlehre Für Leser, Denen Es an Mathematischen Vorkenntnissen Fehlt</t>
  </si>
  <si>
    <t>1844-04-01</t>
  </si>
  <si>
    <t>Brandes, H. W.</t>
  </si>
  <si>
    <t>The Role of Value in Karl Mannheims Sociology of Knowledge</t>
  </si>
  <si>
    <t>Studies in Philosophy Ser.</t>
  </si>
  <si>
    <t>Rempel, F. Warren</t>
  </si>
  <si>
    <t>Sachtypologie der Landfahrzeuge : Ein Beitrag Zu Ihrer Entstehung, Entwicklung und Verbreitung</t>
  </si>
  <si>
    <t>Schriften Zur Volksforschung Ser.</t>
  </si>
  <si>
    <t>Putschke, Wolfgang</t>
  </si>
  <si>
    <t>Perspectives énergétiques Dans l'industrie des Ciments</t>
  </si>
  <si>
    <t>Publications de la Faculté de Droit et des Sciences Economiques de l'Université de Grenoble Ser.</t>
  </si>
  <si>
    <t>Meyzenc, René</t>
  </si>
  <si>
    <t>Bücherkunde Zur Deutschen Geschichte</t>
  </si>
  <si>
    <t>Franz, Günther</t>
  </si>
  <si>
    <t>https://ebookcentral.proquest.com/lib/istinye/detail.action?docID=7014993</t>
  </si>
  <si>
    <t>A Bridgehead to Africa : German Interest in the Ottoman Province of Tripoli (Libya) 1884-1918</t>
  </si>
  <si>
    <t>Alghafal, Suaad</t>
  </si>
  <si>
    <t>https://ebookcentral.proquest.com/lib/istinye/detail.action?docID=7014994</t>
  </si>
  <si>
    <t>Gesellschaft und Bildende Kunst : Eine Studie Zur Wiederherstellung des Problems</t>
  </si>
  <si>
    <t>Rassem, Mohammed</t>
  </si>
  <si>
    <t>Was Macht Die Digitalisierung Mit Den Hochschulen? : Einwürfe und Provokationen</t>
  </si>
  <si>
    <t>Die Macht des Seelischen : Eine Organische Psychologie Als Lebensorientierung des Einzelnen und der Gesamtheit</t>
  </si>
  <si>
    <t>Braun, Hans</t>
  </si>
  <si>
    <t>https://ebookcentral.proquest.com/lib/istinye/detail.action?docID=7014997</t>
  </si>
  <si>
    <t>Mittheilungen über Die in Oberschlesien Herrschende Typhus-Epidemie</t>
  </si>
  <si>
    <t>1848-04-01</t>
  </si>
  <si>
    <t>https://ebookcentral.proquest.com/lib/istinye/detail.action?docID=7014998</t>
  </si>
  <si>
    <t>Das Rohrnetz Städtischer Wasserwerke : Berechnung, Bau, Betrieb</t>
  </si>
  <si>
    <t>Brinkhaus, H. P.</t>
  </si>
  <si>
    <t>https://ebookcentral.proquest.com/lib/istinye/detail.action?docID=7014999</t>
  </si>
  <si>
    <t>Revolution und Gegenrevolution 1789-1830 : Zur Geistigen Auseinandersetzung in Frankreich und Deutschland</t>
  </si>
  <si>
    <t>Dufraisse, Roger</t>
  </si>
  <si>
    <t>Deutsche Gegenwartssprache : Tendenzen und Perspektiven</t>
  </si>
  <si>
    <t>https://ebookcentral.proquest.com/lib/istinye/detail.action?docID=7015001</t>
  </si>
  <si>
    <t>Grundriss der Physik : Für Ingenieurschulen und Technische Schulen Sowie Zum Selbststudium</t>
  </si>
  <si>
    <t>Kleiber, Johann</t>
  </si>
  <si>
    <t>https://ebookcentral.proquest.com/lib/istinye/detail.action?docID=7015002</t>
  </si>
  <si>
    <t>Die Strahlungsverhältnisse Im Beheizten Wohnraum : Mit Berechnung der Einstrahlzahlen in der Heiz-, Beleuchtungs- und Feuerungstechnik (Winkelverhältnisse Im Parallelepipedon)</t>
  </si>
  <si>
    <t>Kollmar, Albrecht</t>
  </si>
  <si>
    <t>https://ebookcentral.proquest.com/lib/istinye/detail.action?docID=7015003</t>
  </si>
  <si>
    <t>Sozialismus und Volkswirtschaft in der Kriegsverfassung</t>
  </si>
  <si>
    <t>Bendixen, Friedrich</t>
  </si>
  <si>
    <t>https://ebookcentral.proquest.com/lib/istinye/detail.action?docID=7015004</t>
  </si>
  <si>
    <t>Chronicles and the Priestly Literature of the Hebrew Bible</t>
  </si>
  <si>
    <t>Jeon, Jaeyoung</t>
  </si>
  <si>
    <t>De Pseudo-Luciani Amoribus</t>
  </si>
  <si>
    <t>Bloch, Robert</t>
  </si>
  <si>
    <t>https://ebookcentral.proquest.com/lib/istinye/detail.action?docID=7015006</t>
  </si>
  <si>
    <t>Abū Manṣūr al-Thaʿālibī : Kitāb Khāṣṣ al-Khāṣṣ</t>
  </si>
  <si>
    <t>Bibliotheca Islamica Ser.</t>
  </si>
  <si>
    <t>Orfali, Bilal</t>
  </si>
  <si>
    <t>Latin As the Language of Science and Learning</t>
  </si>
  <si>
    <t>Discourses on Nations and Identities</t>
  </si>
  <si>
    <t>Syrovy, Daniel</t>
  </si>
  <si>
    <t>https://ebookcentral.proquest.com/lib/istinye/detail.action?docID=7015009</t>
  </si>
  <si>
    <t>Die Deutsche Staatskrise 1930 - 1933 : Handlungsspielräume und Alternativen</t>
  </si>
  <si>
    <t>Winkler, Heinrich August</t>
  </si>
  <si>
    <t>Czesław Miłosz in Postwar America</t>
  </si>
  <si>
    <t>Kołodziejczyk, Ewa</t>
  </si>
  <si>
    <t>Öffentliche Vernunft? : Die Wissenschaft in der Demokratie</t>
  </si>
  <si>
    <t>Edition Wissenschaft and Demokratie Ser.</t>
  </si>
  <si>
    <t>Hinsch, Wilfried</t>
  </si>
  <si>
    <t>Predigt Zur Jubelfeier der Reformazion und Union Gehalten in der Nikolai Kirche Zu Berlin Den 31. Oktober 1867</t>
  </si>
  <si>
    <t>1867-04-01</t>
  </si>
  <si>
    <t>Thomas, [Adolf]</t>
  </si>
  <si>
    <t>https://ebookcentral.proquest.com/lib/istinye/detail.action?docID=7015013</t>
  </si>
  <si>
    <t>Forschungsfeld Sprachevolution : Methodik, Theorie und Empirie der Modernen Sprachursprungsforschung</t>
  </si>
  <si>
    <t>Breyl, Michael</t>
  </si>
  <si>
    <t>Une Doxographie Sunnite du IVe/Xe Siècle : Kitāb Al-Maqālāt d'Abū Al-ʿAbbās Al-Qalānisī</t>
  </si>
  <si>
    <t>Scientia Graeco-Arabica Ser.</t>
  </si>
  <si>
    <t>Bou Akl, Ziad</t>
  </si>
  <si>
    <t>Pays Candidats Au Processus de Développement : Capacité d'absorption, Assistance Extérieure et Modèles de Croissance économique</t>
  </si>
  <si>
    <t>Nana-Sinkam, Samuel C.</t>
  </si>
  <si>
    <t>Kernwaffen und Auswärtige Politik : Schriften des Forschungsinstituts der Deutschen Gesellschaft E. V. Für Auswärtige Politik. Reihe Der Übersetzungen</t>
  </si>
  <si>
    <t>Kissinger, Henry A.</t>
  </si>
  <si>
    <t>The Lumumba Generation : African Bourgeoisie and Colonial Distinction in the Belgian Congo</t>
  </si>
  <si>
    <t>Africa in Global History Ser.</t>
  </si>
  <si>
    <t>Tödt, Daniel</t>
  </si>
  <si>
    <t>Die Bedeutung des Protestantismus Für Die Entstehung der Modernen Welt</t>
  </si>
  <si>
    <t>Historische Bücherkunde Südosteuropa Ser.</t>
  </si>
  <si>
    <t>Troeltsch, Ernst</t>
  </si>
  <si>
    <t>https://ebookcentral.proquest.com/lib/istinye/detail.action?docID=7015019</t>
  </si>
  <si>
    <t>Jeux de Mots, Textes et Contextes</t>
  </si>
  <si>
    <t>Kognition und Reflexion: Zur Theorie Filmischen Denkens</t>
  </si>
  <si>
    <t>https://ebookcentral.proquest.com/lib/istinye/detail.action?docID=7015021</t>
  </si>
  <si>
    <t>Libraries, Archives and Museums As Democratic Spaces in a Digital Age</t>
  </si>
  <si>
    <t>Current Topics in Library and Information Practice Ser.</t>
  </si>
  <si>
    <t>Audunson, Ragnar</t>
  </si>
  <si>
    <t>Cultural Perspectives on Aging : A Different Approach to Old Age and Aging</t>
  </si>
  <si>
    <t>Hülsen-Esch, Andrea</t>
  </si>
  <si>
    <t>305.26</t>
  </si>
  <si>
    <t>https://ebookcentral.proquest.com/lib/istinye/detail.action?docID=7015023</t>
  </si>
  <si>
    <t>Der Teufel und Seine Poietische Macht in Literarischen Texten Vom Mittelalter Zur Moderne</t>
  </si>
  <si>
    <t>Eming, Jutta</t>
  </si>
  <si>
    <t>Microwave Based Weed Control and Soil Treatment</t>
  </si>
  <si>
    <t>Loans in Colonial and Modern Nahuatl : A Contextual Dictionary</t>
  </si>
  <si>
    <t>Trends in Linguistics. Documentation [TiLDOC] Ser.</t>
  </si>
  <si>
    <t>Brylak, Agnieszka</t>
  </si>
  <si>
    <t>Die Moderne Handschriftendeutung</t>
  </si>
  <si>
    <t>Pokorny, R. Raphael</t>
  </si>
  <si>
    <t>https://ebookcentral.proquest.com/lib/istinye/detail.action?docID=7015027</t>
  </si>
  <si>
    <t>Divination on Stage : Prophetic Body Signs in Early Modern Theatre in Spain and Europe</t>
  </si>
  <si>
    <t>809.2/93770903</t>
  </si>
  <si>
    <t>https://ebookcentral.proquest.com/lib/istinye/detail.action?docID=7015028</t>
  </si>
  <si>
    <t>Urban-Regional Development in South America : A Process of Diffusion and Integration</t>
  </si>
  <si>
    <t>Pedersen, Poul Ove</t>
  </si>
  <si>
    <t>Machtstaat und Utopie : Vom Streit Um Die dämonie der Macht Seit Machiavelli und Morus</t>
  </si>
  <si>
    <t>Ritter, Gerhard</t>
  </si>
  <si>
    <t>https://ebookcentral.proquest.com/lib/istinye/detail.action?docID=7015030</t>
  </si>
  <si>
    <t>Menandri Sicyonius</t>
  </si>
  <si>
    <t>Kleine Texte Für Vorlesungen Und Übungen Ser.</t>
  </si>
  <si>
    <t>Menander</t>
  </si>
  <si>
    <t>Comprehending Antisemitism Through the Ages: a Historical Perspective</t>
  </si>
  <si>
    <t>Euripides-Rezeption in Kaiserzeit und Spätantike</t>
  </si>
  <si>
    <t>Schramm, Michael</t>
  </si>
  <si>
    <t>https://ebookcentral.proquest.com/lib/istinye/detail.action?docID=7015033</t>
  </si>
  <si>
    <t>Modernization of Public Spaces in Lithuanian Cities : Evolution and Transition</t>
  </si>
  <si>
    <t>Zaleckis, Kęstutis</t>
  </si>
  <si>
    <t>The Legacy of Early Franciscan Thought</t>
  </si>
  <si>
    <t>Was Wird Aus Dem Heidelberger Schloß Werden?</t>
  </si>
  <si>
    <t>Dehio, G.</t>
  </si>
  <si>
    <t>https://ebookcentral.proquest.com/lib/istinye/detail.action?docID=7015036</t>
  </si>
  <si>
    <t>Temperatur, Salzgehalt und Dichte an der Oberfläche des Atlantischen Ozeans, Lfg 3. Untersuchungen über Die Mittleren Hydrographischen Verhältnisse an der Meeresoberfläche des Nördlichen Nordatlantischen Ozeans</t>
  </si>
  <si>
    <t>Krauss, Wolfgang</t>
  </si>
  <si>
    <t>Der Freiwillige Soziale Aufwand in der Industrie und Seine Betriebswirtschaftliche Behandlung</t>
  </si>
  <si>
    <t>Merle, Günter</t>
  </si>
  <si>
    <t>https://ebookcentral.proquest.com/lib/istinye/detail.action?docID=7015038</t>
  </si>
  <si>
    <t>Soziologie - Sociology in the German-Speaking World : Special Issue Soziologische Revue 2020</t>
  </si>
  <si>
    <t>Hunger! : Effects of Modern War Methods</t>
  </si>
  <si>
    <t>Rubmann, Max</t>
  </si>
  <si>
    <t>Fakes and Forgeries of Written Artefacts from Ancient Mesopotamia to Modern China</t>
  </si>
  <si>
    <t>Michel, Cécile</t>
  </si>
  <si>
    <t>Das Gelingen der Künstlichen Natürlichkeit : Mensch-Sein an Den Grenzen des Lebens Mit Disruptiven Biotechnologien</t>
  </si>
  <si>
    <t>Grenzgänge Ser.</t>
  </si>
  <si>
    <t>Mitscherlich-Schönherr, Olivia</t>
  </si>
  <si>
    <t>https://ebookcentral.proquest.com/lib/istinye/detail.action?docID=7015042</t>
  </si>
  <si>
    <t>The Study of an Italian Village</t>
  </si>
  <si>
    <t>Publications of the Social Sciences Centre, Athens Ser.</t>
  </si>
  <si>
    <t>Maraspini, A. L.</t>
  </si>
  <si>
    <t>Handbook of Polish, Czech, and Slovak Holocaust Fiction : Works and Contexts</t>
  </si>
  <si>
    <t>Hiemer, Elisa-Maria</t>
  </si>
  <si>
    <t>Échanges et Communications, II : Mélanges Offerts à Claude lévi-Strauss à l'occasion de Son 60ème Anniversaire</t>
  </si>
  <si>
    <t>Studies in General Anthropology Ser.</t>
  </si>
  <si>
    <t>Lévi-Strauss, Claude</t>
  </si>
  <si>
    <t>Lehrbuch der Instrumentenkunde Für Die Operationspraxis</t>
  </si>
  <si>
    <t>Kaboth, Berta</t>
  </si>
  <si>
    <t>https://ebookcentral.proquest.com/lib/istinye/detail.action?docID=7015046</t>
  </si>
  <si>
    <t>The State of Law : Comparative Perspectives on the Rule of Law in Germany and Vietnam</t>
  </si>
  <si>
    <t>von Alemann, Ulrich</t>
  </si>
  <si>
    <t>Visuelle Linguistik : Zur Genese, Funktion und Kategorisierung Von Diagrammen in der Sprachwissenschaft</t>
  </si>
  <si>
    <t>Bubenhofer, Noah</t>
  </si>
  <si>
    <t>Claiming and Making Muslim Worlds : Religion and Society in the Context of the Global</t>
  </si>
  <si>
    <t>Dağyeli, Jeanine Elif</t>
  </si>
  <si>
    <t>Koloniale Straßennamen : Benennungspraktiken Im Kontext Kolonialer Raumaneignung in der Deutschen Metropole Von 1884 Bis 1945</t>
  </si>
  <si>
    <t>Koloniale und Postkoloniale Linguistik / Colonial and Postcolonial Linguistics (KPL/CPL) Ser.</t>
  </si>
  <si>
    <t>Ebert, Verena</t>
  </si>
  <si>
    <t>https://ebookcentral.proquest.com/lib/istinye/detail.action?docID=7015050</t>
  </si>
  <si>
    <t>Uncertain Values : An Axiomatic Approach to Axiological Uncertainty</t>
  </si>
  <si>
    <t>Ideen and Argumente Ser.</t>
  </si>
  <si>
    <t>Riedener, Stefan</t>
  </si>
  <si>
    <t>121.8</t>
  </si>
  <si>
    <t>https://ebookcentral.proquest.com/lib/istinye/detail.action?docID=7015051</t>
  </si>
  <si>
    <t>Prosa : Geschichte, Poetik, Theorie</t>
  </si>
  <si>
    <t>Efimova, Svetlana</t>
  </si>
  <si>
    <t>Trends in Statistical Codicology</t>
  </si>
  <si>
    <t>Maniaci, Marilena</t>
  </si>
  <si>
    <t>https://ebookcentral.proquest.com/lib/istinye/detail.action?docID=7015053</t>
  </si>
  <si>
    <t>Lineare Algebra</t>
  </si>
  <si>
    <t>Göschens Lehrbücherei/ Gruppe I: Reine und Angewandte Mathematik Ser.</t>
  </si>
  <si>
    <t>Kowalsky, Hans-Joachim</t>
  </si>
  <si>
    <t>https://ebookcentral.proquest.com/lib/istinye/detail.action?docID=7015054</t>
  </si>
  <si>
    <t>Grundwerte Römischer Staatsgesinnung in Den Geschichtswerken des Sallust</t>
  </si>
  <si>
    <t>Pöschl, Viktor</t>
  </si>
  <si>
    <t>https://ebookcentral.proquest.com/lib/istinye/detail.action?docID=7015055</t>
  </si>
  <si>
    <t>Religious Otherness and National Identity in Scandinavia, C. 1790-1960 : The Construction of Jews, Mormons, and Jesuits As Anti-Citizens and Enemies of Society</t>
  </si>
  <si>
    <t>Ulvund, Frode</t>
  </si>
  <si>
    <t>https://ebookcentral.proquest.com/lib/istinye/detail.action?docID=7015056</t>
  </si>
  <si>
    <t>Dokufiktionalität in Literatur und Medien : Erzählen an Den Schnittstellen Von Fakt und Fiktion</t>
  </si>
  <si>
    <t>Rekrutierungen Für Die Waffen-SS in Südosteuropa : Ideen, Ideale und Realitäten Einer Vielvölkerarmee</t>
  </si>
  <si>
    <t>Zaugg, Franziska Anna</t>
  </si>
  <si>
    <t>https://ebookcentral.proquest.com/lib/istinye/detail.action?docID=7015058</t>
  </si>
  <si>
    <t>Gehört der Islam Zu Deutschland? : Fakten und Analysen Zu Einem Meinungsstreit</t>
  </si>
  <si>
    <t>Vortragsreihe der IIK-Abendakademie Ser.</t>
  </si>
  <si>
    <t>Spenlen, Klaus</t>
  </si>
  <si>
    <t>https://ebookcentral.proquest.com/lib/istinye/detail.action?docID=7015059</t>
  </si>
  <si>
    <t>Principles of Decoration in the Roman World</t>
  </si>
  <si>
    <t>Logarithmische Rechentafeln Für Chemiker, Pharmazeuten, Mediziner und Physiker</t>
  </si>
  <si>
    <t>Küster, F. W.</t>
  </si>
  <si>
    <t>Einführung in das Programmieren in BASIC</t>
  </si>
  <si>
    <t>De Gruyter Lehrbuch Ser.</t>
  </si>
  <si>
    <t>Mägerle, Erich W.</t>
  </si>
  <si>
    <t>https://ebookcentral.proquest.com/lib/istinye/detail.action?docID=7015062</t>
  </si>
  <si>
    <t>Bringing Buddhism to Tibet : History and Narrative in the DBA' BZHED Manuscript</t>
  </si>
  <si>
    <t>Doney, Lewis</t>
  </si>
  <si>
    <t>Der Nachlass Paul de Lagarde : Orientalistische Netzwerke und Antisemitische Verflechtungen</t>
  </si>
  <si>
    <t>Behlmer, Heike</t>
  </si>
  <si>
    <t>Mathematical Linguistics in the Soviet Union</t>
  </si>
  <si>
    <t>Janua Linguarum. Series Minor Ser.</t>
  </si>
  <si>
    <t>Papp, Ferenc</t>
  </si>
  <si>
    <t>https://ebookcentral.proquest.com/lib/istinye/detail.action?docID=7015065</t>
  </si>
  <si>
    <t>Sprache und Kognition : Ereigniskonzeptualisierung Im Deutschen und Tschechischen</t>
  </si>
  <si>
    <t>Mertins, Barbara</t>
  </si>
  <si>
    <t>PF3306.M47 2018</t>
  </si>
  <si>
    <t>https://ebookcentral.proquest.com/lib/istinye/detail.action?docID=7015066</t>
  </si>
  <si>
    <t>Der Kathedersocialismus und Die Sociale Frage : Festrede Gehalten Am 3. November 1899 Zur Stiftungsfeier des Socialwissenschaftlichen Studentenvereins Zu Berlin</t>
  </si>
  <si>
    <t>1899-04-01</t>
  </si>
  <si>
    <t>Wolf, Julius</t>
  </si>
  <si>
    <t>https://ebookcentral.proquest.com/lib/istinye/detail.action?docID=7015067</t>
  </si>
  <si>
    <t>Clarice Lispector - Weltliteratur? : Übersetzungs- und Rezeptionsdynamiken Im 20. und 21. Jahrhundert</t>
  </si>
  <si>
    <t>Meyer-Krentler, Leonie</t>
  </si>
  <si>
    <t>Kalter Krieg Auf Dem Indischen Subkontinent : Die Deutsch-Deutsche Diplomatie Im Bangladeschkrieg 1971</t>
  </si>
  <si>
    <t>Benatar, Alexander</t>
  </si>
  <si>
    <t>954.9205/1</t>
  </si>
  <si>
    <t>https://ebookcentral.proquest.com/lib/istinye/detail.action?docID=7015069</t>
  </si>
  <si>
    <t>History of Philosophy and the Reflective Society</t>
  </si>
  <si>
    <t>Pozzo, Riccardo</t>
  </si>
  <si>
    <t>121.3</t>
  </si>
  <si>
    <t>https://ebookcentral.proquest.com/lib/istinye/detail.action?docID=7015070</t>
  </si>
  <si>
    <t>Kaiser Maximilian I. : Zwischen Wirklichkeit und Traum</t>
  </si>
  <si>
    <t>Winker, Will</t>
  </si>
  <si>
    <t>https://ebookcentral.proquest.com/lib/istinye/detail.action?docID=7015071</t>
  </si>
  <si>
    <t>Rechtsentwicklungen in Deutschland</t>
  </si>
  <si>
    <t>Laufs, Adolf</t>
  </si>
  <si>
    <t>https://ebookcentral.proquest.com/lib/istinye/detail.action?docID=7015072</t>
  </si>
  <si>
    <t>Gentrifizierung Als Rechtsproblem - Wohnungspolitik Ohne ökonomische und Rechtsstaatliche Leitplanken?</t>
  </si>
  <si>
    <t>Kühling, Jürgen</t>
  </si>
  <si>
    <t>https://ebookcentral.proquest.com/lib/istinye/detail.action?docID=7015073</t>
  </si>
  <si>
    <t>Facing Poetry : Alexander Gottlieb Baumgarten's Theory of Literature</t>
  </si>
  <si>
    <t>Paradigms Ser.</t>
  </si>
  <si>
    <t>Berndt, Frauke</t>
  </si>
  <si>
    <t>Address in Portuguese and Spanish : Studies in Diachrony and Diachronic Reconstruction</t>
  </si>
  <si>
    <t>Qualität in der Inhaltserschließung</t>
  </si>
  <si>
    <t>Franke-Maier, Michael</t>
  </si>
  <si>
    <t>IT Für Soziale Inklusion : Digitalisierung - Künstliche Intelligenz - Zukunft Für Alle</t>
  </si>
  <si>
    <t>Burchardt, Aljoscha</t>
  </si>
  <si>
    <t>Zukunft Lernwelt Hochschule : Perspektiven und Optionen Für eine Neuausrichtung</t>
  </si>
  <si>
    <t>Lernwelten Ser.</t>
  </si>
  <si>
    <t>Stang, Richard</t>
  </si>
  <si>
    <t>Selbstreparaturen in der Schriftlichen Interaktion : Eine Kontrastive Analyse Deutscher und Russischer Kurznachrichtenkommunikation</t>
  </si>
  <si>
    <t>Mostovaia, Irina</t>
  </si>
  <si>
    <t>https://ebookcentral.proquest.com/lib/istinye/detail.action?docID=7015079</t>
  </si>
  <si>
    <t>Zur Geschichte Friedrichs I. und Friedrich Wilhelms I. Von Preußen</t>
  </si>
  <si>
    <t>Droysen, Joh. Gust. von</t>
  </si>
  <si>
    <t>https://ebookcentral.proquest.com/lib/istinye/detail.action?docID=7015080</t>
  </si>
  <si>
    <t>Between Daily Routine and Violent Protest : Interpreting the Technicity of Action</t>
  </si>
  <si>
    <t>Wolff, Ernst</t>
  </si>
  <si>
    <t>https://ebookcentral.proquest.com/lib/istinye/detail.action?docID=7015081</t>
  </si>
  <si>
    <t>Häresie und Vorzeitige Reformation Im Spätmittelalter</t>
  </si>
  <si>
    <t>Smahel, Frantisek</t>
  </si>
  <si>
    <t>https://ebookcentral.proquest.com/lib/istinye/detail.action?docID=7015082</t>
  </si>
  <si>
    <t>Landscape's Revenge : The Ecology of Failure in Robert Walser and Bernardo Carvalho</t>
  </si>
  <si>
    <t>Yurgel, Caio</t>
  </si>
  <si>
    <t>https://ebookcentral.proquest.com/lib/istinye/detail.action?docID=7015083</t>
  </si>
  <si>
    <t>The Formation of the Talmud : Scholarship and Politics in Yitzhak Isaac Halevy's Dorot Harishonim</t>
  </si>
  <si>
    <t>Bergmann, Ari</t>
  </si>
  <si>
    <t>296.1/25</t>
  </si>
  <si>
    <t>https://ebookcentral.proquest.com/lib/istinye/detail.action?docID=7015084</t>
  </si>
  <si>
    <t>Das Spätantike Rom und Die Stadtrömische Senatsaristokratie (395-455 N. Chr. ) : Eine Althistorisch-Archäologische Untersuchung</t>
  </si>
  <si>
    <t>Wagner, Hendrik</t>
  </si>
  <si>
    <t>Heinrich Von Sybel: Die Begründung des Deutschen Reiches Durch Wilhelm I. . Band 1</t>
  </si>
  <si>
    <t>Sybel, Heinrich von</t>
  </si>
  <si>
    <t>https://ebookcentral.proquest.com/lib/istinye/detail.action?docID=7015086</t>
  </si>
  <si>
    <t>The Rhetoric of Topics and Forms</t>
  </si>
  <si>
    <t>Zocco, Gianna</t>
  </si>
  <si>
    <t>https://ebookcentral.proquest.com/lib/istinye/detail.action?docID=7015087</t>
  </si>
  <si>
    <t>Die Transformation der Informationsmärkte in Richtung Nutzungsfreiheit : Alternativen Zur Als-Ob-Regulierung Im Wissenschaftsurheberrecht</t>
  </si>
  <si>
    <t>Kuhlen, Rainer</t>
  </si>
  <si>
    <t>https://ebookcentral.proquest.com/lib/istinye/detail.action?docID=7015088</t>
  </si>
  <si>
    <t>Die Zypressen der Villa D'Este : Schicksale Im Spiegel der Landschaft</t>
  </si>
  <si>
    <t>Guthmann, Johannes</t>
  </si>
  <si>
    <t>https://ebookcentral.proquest.com/lib/istinye/detail.action?docID=7015089</t>
  </si>
  <si>
    <t>Das Problem des Künstlerischen</t>
  </si>
  <si>
    <t>Münchner Hochschulschriften Ser.</t>
  </si>
  <si>
    <t>Preetorius, Emil</t>
  </si>
  <si>
    <t>https://ebookcentral.proquest.com/lib/istinye/detail.action?docID=7015090</t>
  </si>
  <si>
    <t>Hispanos en el Mundo : Emociones y Desplazamientos Históricos, Viajes y Migraciones</t>
  </si>
  <si>
    <t>Gallo González, Danae</t>
  </si>
  <si>
    <t>Philosophie Als Denken der Welt Gemäß Dem Prinzip des Kleinsten Kraftmaßes : Prolegomena Zu Einer Kritik der Reinen Erfahrung</t>
  </si>
  <si>
    <t>Avenarius, Richard</t>
  </si>
  <si>
    <t>https://ebookcentral.proquest.com/lib/istinye/detail.action?docID=7015092</t>
  </si>
  <si>
    <t>Expressions of Sceptical Topoi in (Late) Antique Judaism</t>
  </si>
  <si>
    <t>Kiperwasser, Reuven</t>
  </si>
  <si>
    <t>The Bänkelsang and the Work of Bertolt Brecht</t>
  </si>
  <si>
    <t>McLean, Sammy K.</t>
  </si>
  <si>
    <t>Bibliographie Zum Strafrecht Im Nationalsozialismus : Literatur Zum Straf-, Strafverfahrens- und Strafvollzugsrecht Mit Ihren Grundlagen und Einem Anhang: Verzeichnis der Veröffentlichten Entscheidungen der Sondergerichte</t>
  </si>
  <si>
    <t>Rüping, Hinrich</t>
  </si>
  <si>
    <t>Exploring Written Artefacts : Objects, Methods, and Concepts</t>
  </si>
  <si>
    <t>Quenzer, Jörg B.</t>
  </si>
  <si>
    <t>https://ebookcentral.proquest.com/lib/istinye/detail.action?docID=7015096</t>
  </si>
  <si>
    <t>Mechanische Triebwerke und Bremsen</t>
  </si>
  <si>
    <t>Löffler, St.</t>
  </si>
  <si>
    <t>https://ebookcentral.proquest.com/lib/istinye/detail.action?docID=7015097</t>
  </si>
  <si>
    <t>Geschichte der Krim : Iphigenie und Putin Auf Tauris</t>
  </si>
  <si>
    <t>Jobst, Kerstin S.</t>
  </si>
  <si>
    <t>https://ebookcentral.proquest.com/lib/istinye/detail.action?docID=7015098</t>
  </si>
  <si>
    <t>Die Kriminalität in Den USA und Ihre Behandlung</t>
  </si>
  <si>
    <t>Reckless, Walter C.</t>
  </si>
  <si>
    <t>Narrative der Migration : Eine Andere Deutsche Kulturgeschichte</t>
  </si>
  <si>
    <t>Undisziplinierte Bücher Ser.</t>
  </si>
  <si>
    <t>Ezli, Özkan</t>
  </si>
  <si>
    <t>Botanik</t>
  </si>
  <si>
    <t>1852-04-01</t>
  </si>
  <si>
    <t>Grundriss der Naturgeschichte Für Real- und Höhere Bürgerschulen Ser.</t>
  </si>
  <si>
    <t>Bischoff, Karl</t>
  </si>
  <si>
    <t>Learned Physicians and Everyday Medical Practice in the Renaissance</t>
  </si>
  <si>
    <t>Stolberg, Michael</t>
  </si>
  <si>
    <t>610.71</t>
  </si>
  <si>
    <t>https://ebookcentral.proquest.com/lib/istinye/detail.action?docID=7015102</t>
  </si>
  <si>
    <t>Gesunde Stadt : Die Assanierung der Stadt Wien (1934-1938)</t>
  </si>
  <si>
    <t>Knauer, Birgit</t>
  </si>
  <si>
    <t>https://ebookcentral.proquest.com/lib/istinye/detail.action?docID=7015103</t>
  </si>
  <si>
    <t>Sprachliche Muster : Eine Induktive Korpuslinguistische Analyse Wissenschaftlicher Texte</t>
  </si>
  <si>
    <t>Brommer, Sarah</t>
  </si>
  <si>
    <t>https://ebookcentral.proquest.com/lib/istinye/detail.action?docID=7015104</t>
  </si>
  <si>
    <t>Chemische Kosmographie : Vorlesung Gehalten an der Kgl. Technischen Hochschule Zu München Im Wintersemester 1902-1903</t>
  </si>
  <si>
    <t>Baur, Emil</t>
  </si>
  <si>
    <t>https://ebookcentral.proquest.com/lib/istinye/detail.action?docID=7015105</t>
  </si>
  <si>
    <t>Voces de Mujeres en la Edad Media : Entre Realidad y Ficción</t>
  </si>
  <si>
    <t>Corral Díaz, Esther</t>
  </si>
  <si>
    <t>Early Thirteenth-Century English Franciscan Thought</t>
  </si>
  <si>
    <t>Early Urbanism in Europe : The Trypillia Megasites of the Ukrainian Forest-Steppe</t>
  </si>
  <si>
    <t>Gaydarska, Bisserka</t>
  </si>
  <si>
    <t>Kooperative Informationsinfrastrukturen Als Chance und Herausforderung : Festschrift Für Thomas Bürger Zum 65. Geburtstag</t>
  </si>
  <si>
    <t>Bonte, Achim</t>
  </si>
  <si>
    <t>Theorie der Kugelfunctionen und der Verwandten Functionen</t>
  </si>
  <si>
    <t>1878-04-01</t>
  </si>
  <si>
    <t>Heine, E.</t>
  </si>
  <si>
    <t>https://ebookcentral.proquest.com/lib/istinye/detail.action?docID=7015110</t>
  </si>
  <si>
    <t>Bibliotheken der Schweiz: Innovation Durch Kooperation : Festschrift Für Susanna Bliggenstorfer Anlässlich Ihres Rücktrittes Als Direktorin der Zentralbibliothek Zürich</t>
  </si>
  <si>
    <t>Zentralbibliothek Zürich, Zentralbibliothek</t>
  </si>
  <si>
    <t>Optik : Mit 1 Ausschlagtafel</t>
  </si>
  <si>
    <t>Matossi, Frank</t>
  </si>
  <si>
    <t>Politik Der ,Glückskulturen' : NS-Deutschland und Die Schweiz, 1933-1945</t>
  </si>
  <si>
    <t>Haffter, Isabelle</t>
  </si>
  <si>
    <t>Das Lager und Heer der Römer : Eine Abhandlung über Die Stärke der Legionen und Insbesondere des Cäsarischen Heeres, Den Tagemarsch und Die Entwickelung des Lagers Von Polybius Bis Hygin. Festschrift Zur Einweihung des Neubaus des Schlettstadter Gymnasiums Im Mai 1912</t>
  </si>
  <si>
    <t>Stolle, Franz</t>
  </si>
  <si>
    <t>https://ebookcentral.proquest.com/lib/istinye/detail.action?docID=7015114</t>
  </si>
  <si>
    <t>Angstkonstruktionen : Kulturwissenschaftliche Annäherungen an eine Zeitdiagnose</t>
  </si>
  <si>
    <t>The Poetry and Prose of Wang Wei : Volume II</t>
  </si>
  <si>
    <t>Navigating Socialist Encounters : Moorings and (Dis)Entanglements Between Africa and East Germany During the Cold War</t>
  </si>
  <si>
    <t>Burton, Eric</t>
  </si>
  <si>
    <t>Deutschland und Seine Feinde : Ein Bühnenfestspiel Für Unsere Zeit des Kampfes und Sieges</t>
  </si>
  <si>
    <t>Schmetzer, Ludwig</t>
  </si>
  <si>
    <t>Wortverbindungen - Mehr Oder Weniger Fest</t>
  </si>
  <si>
    <t>Steyer, Kathrin</t>
  </si>
  <si>
    <t>https://ebookcentral.proquest.com/lib/istinye/detail.action?docID=7015119</t>
  </si>
  <si>
    <t>Semantische Spezialisierung vs. Polysemie : Interpretationsbesonderheiten Bei Komplementreduktionen Lexikalischer Einheiten</t>
  </si>
  <si>
    <t>von der Becke, Tanja</t>
  </si>
  <si>
    <t>https://ebookcentral.proquest.com/lib/istinye/detail.action?docID=7015120</t>
  </si>
  <si>
    <t>Die ,,Confessio Augustana Im ökumenischen Gespräch</t>
  </si>
  <si>
    <t>Frank, Günter</t>
  </si>
  <si>
    <t>Die Einheitsbestrebungen in der Wissenschaftlichen Medicin</t>
  </si>
  <si>
    <t>1849-07-01</t>
  </si>
  <si>
    <t>https://ebookcentral.proquest.com/lib/istinye/detail.action?docID=7015122</t>
  </si>
  <si>
    <t>Die Anfänge des Humanismus in Ingolstadt : Eine Litterarische Studie Zur Deutschen Universitätsgeschichte</t>
  </si>
  <si>
    <t>Bauch, Gustav</t>
  </si>
  <si>
    <t>https://ebookcentral.proquest.com/lib/istinye/detail.action?docID=7015123</t>
  </si>
  <si>
    <t>Neue Richtungen in der Hoch- und Spätmittelalterlichen Bibelexegese</t>
  </si>
  <si>
    <t>Lerner, Robert E.</t>
  </si>
  <si>
    <t>https://ebookcentral.proquest.com/lib/istinye/detail.action?docID=7015124</t>
  </si>
  <si>
    <t>Filmen, Forschen, Annotieren : Handbuch Research Video</t>
  </si>
  <si>
    <t>Lösel, Gunter</t>
  </si>
  <si>
    <t>Erzählte Ordnungen - Ordnungen des Erzählens : Studien Zu Texten Vom Mittelalter Bis Zur Frühen Neuzeit</t>
  </si>
  <si>
    <t>Trends in Medieval Philology Ser.</t>
  </si>
  <si>
    <t>Fuhrmann, Daniela</t>
  </si>
  <si>
    <t>Die Macht des Definierens : Eine Diskurslinguistische Typologie Am Beispiel des Burnout-Phänomens</t>
  </si>
  <si>
    <t>Schnedermann, Theresa</t>
  </si>
  <si>
    <t>https://ebookcentral.proquest.com/lib/istinye/detail.action?docID=7015127</t>
  </si>
  <si>
    <t>De Saltationibus Graecorum Capita Quinque</t>
  </si>
  <si>
    <t>Latte, Kurt</t>
  </si>
  <si>
    <t>Latin</t>
  </si>
  <si>
    <t>https://ebookcentral.proquest.com/lib/istinye/detail.action?docID=7015128</t>
  </si>
  <si>
    <t>Cultures of Eschatology : Volume 1: Empires and Scriptural Authorities in Medieval Christian, Islamic and Buddhist Communities. Volume 2: Time, Death and Afterlife in Medieval Christian, Islamic and Buddhist Communities</t>
  </si>
  <si>
    <t>Cultural History of Apocalyptic Thought / Kulturgeschichte der Apokalypse Ser.</t>
  </si>
  <si>
    <t>Wieser, Veronika</t>
  </si>
  <si>
    <t>Kürschners Biographisches Theater-Handbuch : Schauspiel, Oper, Film, Rundfunk. Deutschland, Österreich, Schweiz</t>
  </si>
  <si>
    <t>Frenzel, Herbert A.</t>
  </si>
  <si>
    <t>Verb-Second As a Reconstruction Phenomenon : Evidence from Grammar and Processing</t>
  </si>
  <si>
    <t>Studia Grammatica Ser.</t>
  </si>
  <si>
    <t>Freitag, Constantin</t>
  </si>
  <si>
    <t>415.6</t>
  </si>
  <si>
    <t>https://ebookcentral.proquest.com/lib/istinye/detail.action?docID=7015131</t>
  </si>
  <si>
    <t>Disiecta Membra Musicae : Studies in Musical Fragmentology</t>
  </si>
  <si>
    <t>Varelli, Giovanni</t>
  </si>
  <si>
    <t>Die Lehnwörter Im Wortschatz der Spätbyzantinischen Historiographischen Literatur</t>
  </si>
  <si>
    <t>Byzantinisches Archiv Ser.</t>
  </si>
  <si>
    <t>Zervan, Vratislav</t>
  </si>
  <si>
    <t>Dinámicas Lingüísticas de Las Situaciones de Contacto</t>
  </si>
  <si>
    <t>Linguistica Latinoamericana Ser.</t>
  </si>
  <si>
    <t>Palacios, Azucena</t>
  </si>
  <si>
    <t>Ständische Gesellschaft und Soziale Mobilität</t>
  </si>
  <si>
    <t>Schulze, Winfried</t>
  </si>
  <si>
    <t>Ernst Papanek and Jewish Refugee Children : Genocide and Displacement</t>
  </si>
  <si>
    <t>370.92</t>
  </si>
  <si>
    <t>https://ebookcentral.proquest.com/lib/istinye/detail.action?docID=7015137</t>
  </si>
  <si>
    <t>Lesepraktiken Im Antiken Judentum : Rezeptionsakte, Materialität und Schriftgebrauch</t>
  </si>
  <si>
    <t>Die Inschriften des Stadtgottesackers in Halle an der Saale (1550-1700) : Quellen Zum Bürgertum Einer Stadt in der Frühen Neuzeit</t>
  </si>
  <si>
    <t>Hallische Beiträge Zur Geschichte des Mittelalters und der Frühen Neuzeit Ser.</t>
  </si>
  <si>
    <t>Krüger, Klaus</t>
  </si>
  <si>
    <t>Die Ordnung der Wörter : Kognitive und Lexikalische Strukturen</t>
  </si>
  <si>
    <t>Harras, Gisela</t>
  </si>
  <si>
    <t>https://ebookcentral.proquest.com/lib/istinye/detail.action?docID=7015140</t>
  </si>
  <si>
    <t>Société et Liberté Chez les Peul Djelgôbé de Haute-Volta : Essai d'anthropologie Introspective</t>
  </si>
  <si>
    <t>Cahiers de l'Homme, Nouvelle Serie Ser.</t>
  </si>
  <si>
    <t>Riesman, Paul</t>
  </si>
  <si>
    <t>https://ebookcentral.proquest.com/lib/istinye/detail.action?docID=7015141</t>
  </si>
  <si>
    <t>Jean Paul Im Spiegel Seiner Heimat : Festgabe Zum 100. Todestag des Dichters</t>
  </si>
  <si>
    <t>Herold, Eduard</t>
  </si>
  <si>
    <t>https://ebookcentral.proquest.com/lib/istinye/detail.action?docID=7015142</t>
  </si>
  <si>
    <t>Varietäten des Deutschen : Regional- und Umgangssprachen</t>
  </si>
  <si>
    <t>https://ebookcentral.proquest.com/lib/istinye/detail.action?docID=7015143</t>
  </si>
  <si>
    <t>Englische Verfassungsgeschichte Bis Zum Regierungsantritt der Königin Victoria</t>
  </si>
  <si>
    <t>Hatschek, Julius</t>
  </si>
  <si>
    <t>https://ebookcentral.proquest.com/lib/istinye/detail.action?docID=7015144</t>
  </si>
  <si>
    <t>Prototypen - Schemata - Konstruktionen : Untersuchungen Zur Deutschen Morphologie und Syntax</t>
  </si>
  <si>
    <t>Binanzer, Anja</t>
  </si>
  <si>
    <t>Dunhuang Manuscript Culture : End of the First Millennium</t>
  </si>
  <si>
    <t>Eine Angebliche und eine Wirkliche Chronik Von Orvieto</t>
  </si>
  <si>
    <t>Himmelstern, Alex</t>
  </si>
  <si>
    <t>https://ebookcentral.proquest.com/lib/istinye/detail.action?docID=7015147</t>
  </si>
  <si>
    <t>Zeichentragende Artefakte Im Sakralen Raum : Zwischen Präsenz und Unsichtbarkeit</t>
  </si>
  <si>
    <t>Grundriss der Encyklopädie der Theologie</t>
  </si>
  <si>
    <t>Dorner, A.</t>
  </si>
  <si>
    <t>https://ebookcentral.proquest.com/lib/istinye/detail.action?docID=7015149</t>
  </si>
  <si>
    <t>Willkür Oder Mathematische Überlegung Beim Bau der Cheopspyramide?</t>
  </si>
  <si>
    <t>Kleppisch, K.</t>
  </si>
  <si>
    <t>https://ebookcentral.proquest.com/lib/istinye/detail.action?docID=7015150</t>
  </si>
  <si>
    <t>Österreichs Skisport Im Nationalsozialismus : Anpassung - Verfolgung - Kollaboration</t>
  </si>
  <si>
    <t>Praher, Andreas</t>
  </si>
  <si>
    <t>Explorations of the Syntax-Semantics Interface</t>
  </si>
  <si>
    <t>Fleischhauer, Jens</t>
  </si>
  <si>
    <t>Der Heeresdienst Von Christen in der Römischen Kaiserzeit : Studien Zu Tertullian, Clemens und Origenes</t>
  </si>
  <si>
    <t>Gerstacker, Andreas</t>
  </si>
  <si>
    <t>Literary Translation, Reception, and Transfer</t>
  </si>
  <si>
    <t>Bachleitner, Norbert</t>
  </si>
  <si>
    <t>https://ebookcentral.proquest.com/lib/istinye/detail.action?docID=7015154</t>
  </si>
  <si>
    <t>Säkulare Aspekte der Reformationszeit</t>
  </si>
  <si>
    <t>Angermeier, Heinz</t>
  </si>
  <si>
    <t>Deutsch Als Verkehrssprache in Europa</t>
  </si>
  <si>
    <t>Born, Joachim</t>
  </si>
  <si>
    <t>Filming, Researching, Annotating : Research Video Handbook</t>
  </si>
  <si>
    <t>Sequence Comparison in Historical Linguistics</t>
  </si>
  <si>
    <t>List, Mattis</t>
  </si>
  <si>
    <t>https://ebookcentral.proquest.com/lib/istinye/detail.action?docID=7015158</t>
  </si>
  <si>
    <t>Developing Heritage - Developing Countries : Ethiopian Nation-Building and the Origins of UNESCO World Heritage, 1960-1980</t>
  </si>
  <si>
    <t>Huber, Marie</t>
  </si>
  <si>
    <t>https://ebookcentral.proquest.com/lib/istinye/detail.action?docID=7015159</t>
  </si>
  <si>
    <t>Rationale Entscheidungen Unter Unsicherheit</t>
  </si>
  <si>
    <t>Fleischer, Bernhard</t>
  </si>
  <si>
    <t>G. Ch. Lichtenberg in Seiner Stellung Zur Deutschen Literatur</t>
  </si>
  <si>
    <t>Freie Forschungen Zur Deutschen Literaturgeschichte Ser.</t>
  </si>
  <si>
    <t>Kleineibst, Richard</t>
  </si>
  <si>
    <t>https://ebookcentral.proquest.com/lib/istinye/detail.action?docID=7015161</t>
  </si>
  <si>
    <t>Les Normes de Prononciation du Français : Une étude Perceptive Panfrancophone</t>
  </si>
  <si>
    <t>Chalier, Marc</t>
  </si>
  <si>
    <t>https://ebookcentral.proquest.com/lib/istinye/detail.action?docID=7015162</t>
  </si>
  <si>
    <t>Wie Sah Goethe Aus?</t>
  </si>
  <si>
    <t>Stahl, Fritz</t>
  </si>
  <si>
    <t>Über Wissenschaft Reden : Studien Zu Sprachgebrauch, Darstellung und Adressierung in der Deutschsprachigen Wissenschaftsprosa Um 1800</t>
  </si>
  <si>
    <t>Haas, Claude</t>
  </si>
  <si>
    <t>Recht der öffentlichen Sachen</t>
  </si>
  <si>
    <t>Jura Studienbuch Ser.</t>
  </si>
  <si>
    <t>https://ebookcentral.proquest.com/lib/istinye/detail.action?docID=7015165</t>
  </si>
  <si>
    <t>System- and Data-Driven Methods and Algorithms</t>
  </si>
  <si>
    <t>Platons Parmenides, Als Dialektisches Kunstwerk Dargestellt</t>
  </si>
  <si>
    <t>1821-04-01</t>
  </si>
  <si>
    <t>Plato</t>
  </si>
  <si>
    <t>Poetas Hispanoamericanas Contemporáneas : Poéticas y Metapoéticas (siglos XX-XXI)</t>
  </si>
  <si>
    <t>Rodríguez Gutiérrez, Milena</t>
  </si>
  <si>
    <t>Scientific Writing and Publishing in Medicine and Health Sciences : A Quick Guide in English and German</t>
  </si>
  <si>
    <t>Kotz, Daniel</t>
  </si>
  <si>
    <t>Trading Zones of Digital History</t>
  </si>
  <si>
    <t>Kemman, Max</t>
  </si>
  <si>
    <t>https://ebookcentral.proquest.com/lib/istinye/detail.action?docID=7015170</t>
  </si>
  <si>
    <t>Die Marokkofrage und Die Konferenz Von Algeciras</t>
  </si>
  <si>
    <t>Diercks, Gustav</t>
  </si>
  <si>
    <t>https://ebookcentral.proquest.com/lib/istinye/detail.action?docID=7015171</t>
  </si>
  <si>
    <t>Die Poesie der Dinge : Ziele und Strategien der Wissensvermittlung Im Lateinischen Lehrgedicht der Frühen Neuzeit</t>
  </si>
  <si>
    <t>Frühe Neuzeit Ser.</t>
  </si>
  <si>
    <t>Markevičiūtė, Ramunė</t>
  </si>
  <si>
    <t>Grundriss der Ultraviolett- und Infrarot-Behandlung</t>
  </si>
  <si>
    <t>Kunze, Harald M.</t>
  </si>
  <si>
    <t>https://ebookcentral.proquest.com/lib/istinye/detail.action?docID=7015173</t>
  </si>
  <si>
    <t>History and Drama : The Pan-European Tradition</t>
  </si>
  <si>
    <t>Stilfragen</t>
  </si>
  <si>
    <t>https://ebookcentral.proquest.com/lib/istinye/detail.action?docID=7015175</t>
  </si>
  <si>
    <t>Die Vorgänge der Inneren Politik Seit der Thronbesteigung Kaiser Wilhelms II</t>
  </si>
  <si>
    <t>1888-04-01</t>
  </si>
  <si>
    <t>Roessler, Konstantin</t>
  </si>
  <si>
    <t>https://ebookcentral.proquest.com/lib/istinye/detail.action?docID=7015176</t>
  </si>
  <si>
    <t>Funktionsverbgefüge des Deutschen : Untersuchungen Zu Einer Kategorie Zwischen Lexikon und Grammatik</t>
  </si>
  <si>
    <t>https://ebookcentral.proquest.com/lib/istinye/detail.action?docID=7015177</t>
  </si>
  <si>
    <t>Grundkurs Strafrecht : Die Einzelnen Delikte</t>
  </si>
  <si>
    <t>Otto, Harro</t>
  </si>
  <si>
    <t>https://ebookcentral.proquest.com/lib/istinye/detail.action?docID=7015178</t>
  </si>
  <si>
    <t>Natural Communication : The Obstacle-Embracing Art of Abstract Gnomonics</t>
  </si>
  <si>
    <t>Zafiris, Elias</t>
  </si>
  <si>
    <t>Geschichte der Islamischen Völker und Staaten</t>
  </si>
  <si>
    <t>Geschichte der Völker und Staaten Ser.</t>
  </si>
  <si>
    <t>Brockelmann, Carl</t>
  </si>
  <si>
    <t>https://ebookcentral.proquest.com/lib/istinye/detail.action?docID=7015180</t>
  </si>
  <si>
    <t>Medizinische Informationsverarbeitung : Planung und Organisation</t>
  </si>
  <si>
    <t>Informationssysteme : Grundlagen U. Praxis D. Informationswissenschaften Ser.</t>
  </si>
  <si>
    <t>Hoffmann, Michael J. A.</t>
  </si>
  <si>
    <t>https://ebookcentral.proquest.com/lib/istinye/detail.action?docID=7015181</t>
  </si>
  <si>
    <t>Bild und Schrift Auf 'magischen' Artefakten</t>
  </si>
  <si>
    <t>Dostoevskij and Schiller</t>
  </si>
  <si>
    <t>Slavistic Printings and Reprintings Ser.</t>
  </si>
  <si>
    <t>Lyngstad, Alexandra H.</t>
  </si>
  <si>
    <t>https://ebookcentral.proquest.com/lib/istinye/detail.action?docID=7015183</t>
  </si>
  <si>
    <t>Die Mitschuldigen : Ein Lustspiel</t>
  </si>
  <si>
    <t>1787-04-01</t>
  </si>
  <si>
    <t>Goethe, W.</t>
  </si>
  <si>
    <t>Die Reformation und das Elsaß : Festschrift Zur 400 Jährigen Jubelfeier der Reformation</t>
  </si>
  <si>
    <t>Grünberg, Paul</t>
  </si>
  <si>
    <t>Sprache und Neue Medien</t>
  </si>
  <si>
    <t>Kallmeyer, Werner</t>
  </si>
  <si>
    <t>https://ebookcentral.proquest.com/lib/istinye/detail.action?docID=7015186</t>
  </si>
  <si>
    <t>Francesco Da Barberino Al Crocevia : Culture, Società, Bilinguismo</t>
  </si>
  <si>
    <t>Geschichte der Deutschen in England : Von Den Ersten Germanischen Ansiedlungen in Britannien Bis Zum Ende des 18. Jahrhunderts</t>
  </si>
  <si>
    <t>1885-04-01</t>
  </si>
  <si>
    <t>Schaible, Karl Heinrich</t>
  </si>
  <si>
    <t>https://ebookcentral.proquest.com/lib/istinye/detail.action?docID=7015188</t>
  </si>
  <si>
    <t>The Good Christian Ruler in the First Millennium : Views from the Wider Mediterranean World in Conversation</t>
  </si>
  <si>
    <t>Forness, Philip Michael</t>
  </si>
  <si>
    <t>Praxishandbuch Forschungsdatenmanagement</t>
  </si>
  <si>
    <t>De Gruyter Praxishandbuch Ser.</t>
  </si>
  <si>
    <t>Putnings, Markus</t>
  </si>
  <si>
    <t>Das Publikum Politischer Theorie Im 14. Jahrhundert</t>
  </si>
  <si>
    <t>Miethke, Jürgen</t>
  </si>
  <si>
    <t>Reform des Deutschen Namensrechts</t>
  </si>
  <si>
    <t>Dutta, Anatol</t>
  </si>
  <si>
    <t>https://ebookcentral.proquest.com/lib/istinye/detail.action?docID=7015192</t>
  </si>
  <si>
    <t>Assessment of General Practitioners' Performance in Daily Practice : The EURACT Performance Agenda of General Practice/Family Medicine</t>
  </si>
  <si>
    <t>Wilm, Stefan</t>
  </si>
  <si>
    <t>https://ebookcentral.proquest.com/lib/istinye/detail.action?docID=7015193</t>
  </si>
  <si>
    <t>Am Rande der Fotografie : Eine Medialitätsgeschichte des Fotogramms Im 19. Jahrhundert</t>
  </si>
  <si>
    <t>Steidl, Katharina</t>
  </si>
  <si>
    <t>Deutsche Juden und Die Moderne</t>
  </si>
  <si>
    <t>Volkov, Shulamit</t>
  </si>
  <si>
    <t>Vanitas und Gesellschaft</t>
  </si>
  <si>
    <t>Benthien, Claudia</t>
  </si>
  <si>
    <t>Touch in the Time of Corona : Reflections on Love, Care, and Vulnerability in the Pandemic</t>
  </si>
  <si>
    <t>Steiner, Henriette</t>
  </si>
  <si>
    <t>Vergemeinschaftung und Distinktion : Eine Gesprächsanalytische Studie über Positionierungspraktiken in Diskussionen über TV-Serien</t>
  </si>
  <si>
    <t>Weiser-Zurmühlen, Kristin</t>
  </si>
  <si>
    <t>Wohnungsgesetz und Bürgschaftssicherungsgesetz</t>
  </si>
  <si>
    <t>Sammlung Guttentag Ser.</t>
  </si>
  <si>
    <t>Schmittmann, Benedikt</t>
  </si>
  <si>
    <t>https://ebookcentral.proquest.com/lib/istinye/detail.action?docID=7015199</t>
  </si>
  <si>
    <t>Japan-Pop-Revolution : Neue Trends der Japanischen Gesellschaft Reflektiert in der Popkultur</t>
  </si>
  <si>
    <t>Junge Japanforschung Düsseldorf Ser.</t>
  </si>
  <si>
    <t>Mae, Michiko</t>
  </si>
  <si>
    <t>Instruments and Related Concepts at the Syntax-Semantics Interface</t>
  </si>
  <si>
    <t>Van Hooste, Koen</t>
  </si>
  <si>
    <t>https://ebookcentral.proquest.com/lib/istinye/detail.action?docID=7015201</t>
  </si>
  <si>
    <t>Die Geschichtlichkeit des Briefs : Kontinuität und Wandel Einer Kommunikationsform</t>
  </si>
  <si>
    <t>Kasper, Norman</t>
  </si>
  <si>
    <t>Architecture and Naturing Affairs</t>
  </si>
  <si>
    <t>An, Mihye</t>
  </si>
  <si>
    <t>Archive in/aus Literatur : Wechselspiele Zweier Medien</t>
  </si>
  <si>
    <t>The Politics of Dementia : Forgetting and Remembering the Violent Past in Literature, Film and Graphic Narratives</t>
  </si>
  <si>
    <t>Krüger-Fürhoff, Irmela Marei</t>
  </si>
  <si>
    <t>Gewalt in Laktanz' de Mortibus Persecutorum</t>
  </si>
  <si>
    <t>Zipp, Gianna</t>
  </si>
  <si>
    <t>Magnetic Hybrid-Materials : Multi-Scale Modelling, Synthesis, and Applications</t>
  </si>
  <si>
    <t>Odenbach, Stefan</t>
  </si>
  <si>
    <t>Leibniz Als Historiker</t>
  </si>
  <si>
    <t>Hochstetter, Erich</t>
  </si>
  <si>
    <t>https://ebookcentral.proquest.com/lib/istinye/detail.action?docID=7015208</t>
  </si>
  <si>
    <t>Ergonomics for People with Disabilities : Design for Accessibility</t>
  </si>
  <si>
    <t>Polak-Sopinska, Aleksandra</t>
  </si>
  <si>
    <t>Morphosyntactic Variation in Medieval Celtic Languages : Corpus-Based Approaches</t>
  </si>
  <si>
    <t>Lash, Elliott</t>
  </si>
  <si>
    <t>How Is World Literature Made? : The Global Circulations of Latin American Literatures</t>
  </si>
  <si>
    <t>https://ebookcentral.proquest.com/lib/istinye/detail.action?docID=7015211</t>
  </si>
  <si>
    <t>Zur Griechischen Mythologie : Ein Bruchstück. Ueber Die Behandlung der Griechischen Mythologie</t>
  </si>
  <si>
    <t>Jacob, August</t>
  </si>
  <si>
    <t>https://ebookcentral.proquest.com/lib/istinye/detail.action?docID=7015212</t>
  </si>
  <si>
    <t>Polizei und Geiseln. der Münchener Bankraub</t>
  </si>
  <si>
    <t>Schroeder, Friedrich-Christian</t>
  </si>
  <si>
    <t>https://ebookcentral.proquest.com/lib/istinye/detail.action?docID=7015213</t>
  </si>
  <si>
    <t>Der Hofmeister und Die Gouvernante : Ein Lustspiel in 5 Aufzügen</t>
  </si>
  <si>
    <t>Komedia Ser.</t>
  </si>
  <si>
    <t>Metzger, Michael M.</t>
  </si>
  <si>
    <t>The Present and Past Periphrastic Tenses in Anglo-Saxon</t>
  </si>
  <si>
    <t>Pessels, Constance</t>
  </si>
  <si>
    <t>https://ebookcentral.proquest.com/lib/istinye/detail.action?docID=7015215</t>
  </si>
  <si>
    <t>Guidelines for Supporting Children with Disabilities' Play : Methodologies, Tools, and Contexts</t>
  </si>
  <si>
    <t>Encarnação, Pedro</t>
  </si>
  <si>
    <t>Schillers Einfluss Auf Theodor Körner : Ein Beitrag Zur Litteraturgeschichte</t>
  </si>
  <si>
    <t>Reinhard, Gustav</t>
  </si>
  <si>
    <t>https://ebookcentral.proquest.com/lib/istinye/detail.action?docID=7015217</t>
  </si>
  <si>
    <t>Sensory Motor Concepts in Language and Cognition</t>
  </si>
  <si>
    <t>Ströbel, Liane</t>
  </si>
  <si>
    <t>Sprache und Recht</t>
  </si>
  <si>
    <t>Haß-Zumkehr, Ulrike</t>
  </si>
  <si>
    <t>Wettbewerbsfähigkeit Von Start-Ups : Erfolgreiche düsseldorfer Unternehmen</t>
  </si>
  <si>
    <t>Lutz, Eva</t>
  </si>
  <si>
    <t>Elektronische Tischrechenautomaten : Aufbau und Wirkungsweise</t>
  </si>
  <si>
    <t>Mösl, Georg</t>
  </si>
  <si>
    <t>https://ebookcentral.proquest.com/lib/istinye/detail.action?docID=7015221</t>
  </si>
  <si>
    <t>Die Begründung des Realen : Hegels ,,Logik Im Kontext der Realitätsdebatte Um 1800</t>
  </si>
  <si>
    <t>Quellen und Studien Zur Philosophie Ser.</t>
  </si>
  <si>
    <t>Wirsing, Claudia</t>
  </si>
  <si>
    <t>https://ebookcentral.proquest.com/lib/istinye/detail.action?docID=7015222</t>
  </si>
  <si>
    <t>Inszenierte Geschichte | Staging History : Medialität und Politik Europäischer Hochschuljubiläen Von 1850 Bis Heute | Anniversaries in European Institutions of Higher Learning from 1850 to the Present</t>
  </si>
  <si>
    <t>Medien der Geschichte Ser.</t>
  </si>
  <si>
    <t>Guhl, Anton</t>
  </si>
  <si>
    <t>In Diensten des Afrikanischen Sozialismus : Tansania und Die Globale Entwicklungsarbeit der Beiden Deutschen Staaten, 1961-1990</t>
  </si>
  <si>
    <t>Studien Zur Internationalen Geschichte Ser.</t>
  </si>
  <si>
    <t>https://ebookcentral.proquest.com/lib/istinye/detail.action?docID=7015224</t>
  </si>
  <si>
    <t>Neues Aus Wissenschaft und Lehre : Jahrbuch der Heinrich-Heine-Universität Düsseldorf 2008/2009</t>
  </si>
  <si>
    <t>https://ebookcentral.proquest.com/lib/istinye/detail.action?docID=7015225</t>
  </si>
  <si>
    <t>Das Disziplinargesetz der Evangelischen Kirche in Deutschland Vom 11. März 1955 : Sowie Die Verordnung der Evangelischen Kirche der Union über das Disziplinarrecht Vom 14. Mai 1956 Nebst Den Überleitungsgesetzen der Gliedkirchen</t>
  </si>
  <si>
    <t>Arnim, Hans von</t>
  </si>
  <si>
    <t>https://ebookcentral.proquest.com/lib/istinye/detail.action?docID=7015226</t>
  </si>
  <si>
    <t>Einstein vs. Bergson : An Enduring Quarrel on Time</t>
  </si>
  <si>
    <t>Transcodification: Arts, Languages and Media Ser.</t>
  </si>
  <si>
    <t>Campo, Alessandra</t>
  </si>
  <si>
    <t>Men, Masculinities and the Modern Career : Contemporary and Historical Perspectives</t>
  </si>
  <si>
    <t>Aavik, Kadri</t>
  </si>
  <si>
    <t>Immanuel Kant : Eine Gedächtnisrede Gehalten Am 100jährigen Todestage Kants, D. 12. Febr. 1904, Vor Versammelter Universität in der Collegienkirche Zu Jena</t>
  </si>
  <si>
    <t>Liebmann, Otto</t>
  </si>
  <si>
    <t>https://ebookcentral.proquest.com/lib/istinye/detail.action?docID=7015229</t>
  </si>
  <si>
    <t>Das Preußische Disziplinargesetz Für Die Nichtrichterlichen Beamten Nebst Dem Disziplinargesetze Für Die Privatdozenten</t>
  </si>
  <si>
    <t>Dultzig, Eugen</t>
  </si>
  <si>
    <t>https://ebookcentral.proquest.com/lib/istinye/detail.action?docID=7015230</t>
  </si>
  <si>
    <t>La Literatura Latinoamericana en Versión Francesa : Trabajos Del Equipo MEDET LAT</t>
  </si>
  <si>
    <t>Genre in the Climate Debate</t>
  </si>
  <si>
    <t>Auken, Sune</t>
  </si>
  <si>
    <t>Zur Analysis des Endlichen und des Unendlichen : Vorlesungen Aus Kurzsemestern</t>
  </si>
  <si>
    <t>Kowalewski, Gerhard</t>
  </si>
  <si>
    <t>https://ebookcentral.proquest.com/lib/istinye/detail.action?docID=7015233</t>
  </si>
  <si>
    <t>Reformen Im Rheinbündischen Deutschland</t>
  </si>
  <si>
    <t>Weis, Eberhard</t>
  </si>
  <si>
    <t>Nationalism in a Transnational Age : Irrational Fears and the Strategic Abuse of Nationalist Pride</t>
  </si>
  <si>
    <t>Kriminaltherapie Heute : Forschungsberichte Zur Behandlung Von Delinquenten und Drogengeschädigten</t>
  </si>
  <si>
    <t>Müller-Dietz, Heinz</t>
  </si>
  <si>
    <t>Goethe und Die Geschichte</t>
  </si>
  <si>
    <t>Meinecke, Friedrich</t>
  </si>
  <si>
    <t>https://ebookcentral.proquest.com/lib/istinye/detail.action?docID=7015237</t>
  </si>
  <si>
    <t>Von der Renaissance Bis Zur Aufklärung</t>
  </si>
  <si>
    <t>Schubel, Friedrich</t>
  </si>
  <si>
    <t>https://ebookcentral.proquest.com/lib/istinye/detail.action?docID=7015238</t>
  </si>
  <si>
    <t>Die Stadt Als Beschriebener Raum : Die Beispiele Pompeji und Herculaneum</t>
  </si>
  <si>
    <t>Wachstum und Entwicklung : Theorie der Entwicklungspolitik</t>
  </si>
  <si>
    <t>Wagner, Helmut</t>
  </si>
  <si>
    <t>https://ebookcentral.proquest.com/lib/istinye/detail.action?docID=7015240</t>
  </si>
  <si>
    <t>Das Deutsche Als Europäische Sprache : Ein Porträt</t>
  </si>
  <si>
    <t>Zifonun, Gisela</t>
  </si>
  <si>
    <t>https://ebookcentral.proquest.com/lib/istinye/detail.action?docID=7015241</t>
  </si>
  <si>
    <t>They Did Not Stop at Eboli : UNESCO and the Campaign Against Illiteracy in a Reportage by David Chim Seymour and Carlo Levi (1950)</t>
  </si>
  <si>
    <t>Appearances - Studies in Visual Research Ser.</t>
  </si>
  <si>
    <t>Priem, Karin</t>
  </si>
  <si>
    <t>Deutsch - Typologisch</t>
  </si>
  <si>
    <t>Lang, Ewald</t>
  </si>
  <si>
    <t>Agonal Perspectives on Nietzsche's Philosophy of Critical Transvaluation</t>
  </si>
  <si>
    <t>Monographien und Texte Zur Nietzsche-Forschung Ser.</t>
  </si>
  <si>
    <t>Siemens, Herman W.</t>
  </si>
  <si>
    <t>https://ebookcentral.proquest.com/lib/istinye/detail.action?docID=7015244</t>
  </si>
  <si>
    <t>Democratic State and Democratic Society : Institutional Change in the Nordic Model</t>
  </si>
  <si>
    <t>Lernwelt Hochschule : Dimensionen Eines Bildungsbereichs Im Umbruch</t>
  </si>
  <si>
    <t>Becker, Alexandra</t>
  </si>
  <si>
    <t>Jüdische Expatriates in China und Hong Kong Nach 1976 : Religiöse Dynamik Im Zeichen der Expat-Migration</t>
  </si>
  <si>
    <t>Pătru, Alina</t>
  </si>
  <si>
    <t>https://ebookcentral.proquest.com/lib/istinye/detail.action?docID=7015247</t>
  </si>
  <si>
    <t>Hamburgisches Hafen- und Schiffahrtsrecht</t>
  </si>
  <si>
    <t>Küster, Karl</t>
  </si>
  <si>
    <t>The Politics of Housing in (Post-)Colonial Africa : Accommodating Workers and Urban Residents</t>
  </si>
  <si>
    <t>Rüther, Kirsten</t>
  </si>
  <si>
    <t>Deutsche Syntax : Ansichten und Aussichten</t>
  </si>
  <si>
    <t>Hoffmann, Ludger</t>
  </si>
  <si>
    <t>https://ebookcentral.proquest.com/lib/istinye/detail.action?docID=7015250</t>
  </si>
  <si>
    <t>The Meaning of Media : Texts and Materiality in Medieval Scandinavia</t>
  </si>
  <si>
    <t>Modes of Modification Ser.</t>
  </si>
  <si>
    <t>Horn, Anna Catharina</t>
  </si>
  <si>
    <t>Mechanik der Punkte und Punktsysteme</t>
  </si>
  <si>
    <t>1890-04-01</t>
  </si>
  <si>
    <t>Budde, E.</t>
  </si>
  <si>
    <t>Precious Irony : The Theatre of Jean Giraudoux</t>
  </si>
  <si>
    <t>Studies in French Literature Ser.</t>
  </si>
  <si>
    <t>Mankin, Paul A.</t>
  </si>
  <si>
    <t>Meeresalgen Fuer Die Menschliche Ernährung</t>
  </si>
  <si>
    <t>Botanica Marina / Supplement Ser.</t>
  </si>
  <si>
    <t>The Fish Lands : German Trade with Iceland, Shetland and the Faroe Islands in the Late 15th and 16th Century</t>
  </si>
  <si>
    <t>Holterman, Bart</t>
  </si>
  <si>
    <t>https://ebookcentral.proquest.com/lib/istinye/detail.action?docID=7015255</t>
  </si>
  <si>
    <t>Was Ist Gesundheit? : Interdisziplinäre Perspektiven Aus Medizin, Geschichte und Kultur</t>
  </si>
  <si>
    <t>Humanprojekt Ser.</t>
  </si>
  <si>
    <t>Eijk, Philip</t>
  </si>
  <si>
    <t>Lateinische Dichtungen Zur Deutschen Geschichte des Mittelalters</t>
  </si>
  <si>
    <t>Kaiser, Andreas</t>
  </si>
  <si>
    <t>https://ebookcentral.proquest.com/lib/istinye/detail.action?docID=7015257</t>
  </si>
  <si>
    <t>Challenging the City Scale : Journeys in People-Centred Design</t>
  </si>
  <si>
    <t>Cité du Design, Cité du</t>
  </si>
  <si>
    <t>Commentar Zu Den Reliefs des Zweiten Dakischen Krieges</t>
  </si>
  <si>
    <t>Conrad, Cichorius</t>
  </si>
  <si>
    <t>https://ebookcentral.proquest.com/lib/istinye/detail.action?docID=7015259</t>
  </si>
  <si>
    <t>Theorie der Kosten</t>
  </si>
  <si>
    <t>Mellerowicz, Konrad</t>
  </si>
  <si>
    <t>Führungskräfte Im Betrieb : Planung, Einsatz, Entwicklung</t>
  </si>
  <si>
    <t>Chorafas, Dimitris N.</t>
  </si>
  <si>
    <t>Der Papst : Nöthige Aufklärungen Aus der Geschichte</t>
  </si>
  <si>
    <t>1839-04-01</t>
  </si>
  <si>
    <t>Climate Lyricism</t>
  </si>
  <si>
    <t>Song, Min Hyoung</t>
  </si>
  <si>
    <t>https://ebookcentral.proquest.com/lib/istinye/detail.action?docID=7015277</t>
  </si>
  <si>
    <t>Travel Writings on Asia : Curiosity, Identities, and Knowledge Across the East, C. 1200 to the Present</t>
  </si>
  <si>
    <t>Palgrave Series in Asia and Pacific Studies</t>
  </si>
  <si>
    <t>Mueller, Christian</t>
  </si>
  <si>
    <t>Mapping Selfies and Memes As Touch</t>
  </si>
  <si>
    <t>Andreallo, Fiona</t>
  </si>
  <si>
    <t>https://ebookcentral.proquest.com/lib/istinye/detail.action?docID=7015360</t>
  </si>
  <si>
    <t>Beyond Data : Human Rights, Ethical and Social Impact Assessment in AI</t>
  </si>
  <si>
    <t>Information Technology and Law Ser.</t>
  </si>
  <si>
    <t>Mantelero, Alessandro</t>
  </si>
  <si>
    <t>K4240-4343</t>
  </si>
  <si>
    <t>https://ebookcentral.proquest.com/lib/istinye/detail.action?docID=7015364</t>
  </si>
  <si>
    <t>Christliches Leben und Die Verbesserung des Menschen : Enhancement und Heiligung Bei Calvin</t>
  </si>
  <si>
    <t>Theologische Bibliothek Töpelmann Ser.</t>
  </si>
  <si>
    <t>Felder, Matthias</t>
  </si>
  <si>
    <t>https://ebookcentral.proquest.com/lib/istinye/detail.action?docID=7015379</t>
  </si>
  <si>
    <t>1722-1730</t>
  </si>
  <si>
    <t>Döring, Detlef</t>
  </si>
  <si>
    <t>Les Portraits de Marie-Thérèse : Représentation et Lien Politique Dans la Monarchie des Habsbourg (1740-1780)</t>
  </si>
  <si>
    <t>Banakas, Anne-Sophie</t>
  </si>
  <si>
    <t>Rethinking Orality I : Codification, Transcodification and Transmission of 'Cultural Messages'</t>
  </si>
  <si>
    <t>Ercolani, Andrea</t>
  </si>
  <si>
    <t>A Grammar of yélî Dnye : The Papuan Language of Rossel Island</t>
  </si>
  <si>
    <t>Pacific Linguistics [PL] Ser.</t>
  </si>
  <si>
    <t>Levinson, Stephen C.</t>
  </si>
  <si>
    <t>499.12</t>
  </si>
  <si>
    <t>https://ebookcentral.proquest.com/lib/istinye/detail.action?docID=7015383</t>
  </si>
  <si>
    <t>Synchronic and Diachronic Aspects of Kanashi</t>
  </si>
  <si>
    <t>Saxena, Anju</t>
  </si>
  <si>
    <t>Konstruktionen Zwischen Lexikon und Grammatik : Phrasem-Konstruktionen Monolingual, Bilingual und Multilingual</t>
  </si>
  <si>
    <t>Mellado Blanco, Carmen</t>
  </si>
  <si>
    <t>Mikrogeschichten der Erinnerungskultur : Am Grünen Strand der Spree und Die Remedialisierung des Holocaust by Bullets</t>
  </si>
  <si>
    <t>Saryusz-Wolska, Magdalena</t>
  </si>
  <si>
    <t>Gelenkte Sprachkraft : Planmäßige Pflege des Schriftlichen Ausdrucks in der Volksschule 2. Bis 6. Schuljahr</t>
  </si>
  <si>
    <t>Mahr, Eugen</t>
  </si>
  <si>
    <t>https://ebookcentral.proquest.com/lib/istinye/detail.action?docID=7015387</t>
  </si>
  <si>
    <t>Portraying Cicero in Literature, Culture, and Politics : From Ancient to Modern Times</t>
  </si>
  <si>
    <t>Berno, Francesca Romana</t>
  </si>
  <si>
    <t>Marcado Diferencial de Objeto y Semántica Verbal en Español</t>
  </si>
  <si>
    <t>Romero Heredero, Diego</t>
  </si>
  <si>
    <t>Internationale Wissenschaftskommunikation und Nationalsozialismus : Akademischer Austausch, Konferenzen und Reisen in Geistes- und Kulturwissenschaften 1933 Bis 1945</t>
  </si>
  <si>
    <t>Albrecht, Andrea</t>
  </si>
  <si>
    <t>Historische Lexikographie des Deutschen : Perspektiven Eines Forschungsfeldes Im Digitalen Zeitalter</t>
  </si>
  <si>
    <t>Lexicographica. Series Maior Ser.</t>
  </si>
  <si>
    <t>Diehl, Gerhard</t>
  </si>
  <si>
    <t>Digital Finance in Europe: Law, Regulation, and Governance</t>
  </si>
  <si>
    <t>European Company and Financial Law Review - Special Volume Ser.</t>
  </si>
  <si>
    <t>Avgouleas, Emilios</t>
  </si>
  <si>
    <t>Digital History and Hermeneutics : Between Theory and Practice</t>
  </si>
  <si>
    <t>Fickers, Andreas</t>
  </si>
  <si>
    <t>Aber Die Zeit Fürchtet Die Pyramiden : Die Wissenschaften Vom Alten Orient und Die Zeitliche Dimension Von Kulturgeschichte</t>
  </si>
  <si>
    <t>The Exercise of the Spatial Imagination in Pre-Modern China : Shaping the Expanse</t>
  </si>
  <si>
    <t>Welten Ostasiens / Worlds of East Asia / Mondes de l'Extrême Orient Ser.</t>
  </si>
  <si>
    <t>Pagenstecher Olberding, Garret</t>
  </si>
  <si>
    <t>951.03</t>
  </si>
  <si>
    <t>https://ebookcentral.proquest.com/lib/istinye/detail.action?docID=7015397</t>
  </si>
  <si>
    <t>Digital Humanities and Libraries and Archives in Religious Studies : An Introduction</t>
  </si>
  <si>
    <t>Anderson, Clifford B.</t>
  </si>
  <si>
    <t>https://ebookcentral.proquest.com/lib/istinye/detail.action?docID=7015398</t>
  </si>
  <si>
    <t>Literatur Nach der Digitalisierung : Zeitkonzepte und Gegenwartsdiagnosen</t>
  </si>
  <si>
    <t>Gegenwartsliteratur Ser.</t>
  </si>
  <si>
    <t>Kreuzmair, Elias</t>
  </si>
  <si>
    <t>Der Deutsche Bauernkrieg</t>
  </si>
  <si>
    <t>https://ebookcentral.proquest.com/lib/istinye/detail.action?docID=7015400</t>
  </si>
  <si>
    <t>Contesting Nordicness : From Scandinavianism to the Nordic Brand</t>
  </si>
  <si>
    <t>Helsinki Yearbook of Intellectual History Ser.</t>
  </si>
  <si>
    <t>Marjanen, Jani</t>
  </si>
  <si>
    <t>Nonlinear Evolution Equations</t>
  </si>
  <si>
    <t>Guo, Boling</t>
  </si>
  <si>
    <t>Fragile Familien : Ehe und Häusliche Lebenswelt in der Bürgerlichen Moderne</t>
  </si>
  <si>
    <t>Eibach, Joachim</t>
  </si>
  <si>
    <t>https://ebookcentral.proquest.com/lib/istinye/detail.action?docID=7015403</t>
  </si>
  <si>
    <t>Atem / Breath : Gestalterische, ökologische und Soziale Dimensionen / Morphological, Ecological and Social Dimensions</t>
  </si>
  <si>
    <t>Burchert, Linn</t>
  </si>
  <si>
    <t>Moses Dobruska and the Invention of Social Philosophy : Utopia, Judaism, and Heresy under the French Revolution</t>
  </si>
  <si>
    <t>Greco, Silvana</t>
  </si>
  <si>
    <t>300.1</t>
  </si>
  <si>
    <t>https://ebookcentral.proquest.com/lib/istinye/detail.action?docID=7015405</t>
  </si>
  <si>
    <t>Globale Herausforderungen Gemeinsam Meistern - Gestern, Heute, Morgen : Präsidenten Von ICOM Deutschland Im Zeitzeugen-Interview</t>
  </si>
  <si>
    <t>Bechtel, Tanja</t>
  </si>
  <si>
    <t>https://ebookcentral.proquest.com/lib/istinye/detail.action?docID=7015406</t>
  </si>
  <si>
    <t>El Queísmo en la Historia : Variación y Cambio Lingüístico en el Régimen Preposicional Del Español (siglos XVI-XXI)</t>
  </si>
  <si>
    <t>Blas Arroyo, José Luis</t>
  </si>
  <si>
    <t>,,Fiktion und ,,Wirklichkeit in Japanischen Literaturtheorien der Jahre 1850 Bis 1890</t>
  </si>
  <si>
    <t>Woldering, Guido</t>
  </si>
  <si>
    <t>Integrated Chemical Processes in Liquid Multiphase Systems : From Chemical Reaction to Process Design and Operation</t>
  </si>
  <si>
    <t>Kraume, Matthias</t>
  </si>
  <si>
    <t>The Medieval Archive of Antisemitism in Nineteenth-Century Sweden</t>
  </si>
  <si>
    <t>https://ebookcentral.proquest.com/lib/istinye/detail.action?docID=7015410</t>
  </si>
  <si>
    <t>Rhapsodic Objects : Art, Agency, and Materiality (1700-2000)</t>
  </si>
  <si>
    <t>Contact Zones Ser.</t>
  </si>
  <si>
    <t>Biro, Yaelle</t>
  </si>
  <si>
    <t>,Rabenschlacht'</t>
  </si>
  <si>
    <t>Transcriptiones Ser.</t>
  </si>
  <si>
    <t>Klarer, Mario</t>
  </si>
  <si>
    <t>https://ebookcentral.proquest.com/lib/istinye/detail.action?docID=7015412</t>
  </si>
  <si>
    <t>Kleinepik. Wolfram Von Eschenbach: ,Titurel'. ,Brief des Priesterkönigs Johannes'</t>
  </si>
  <si>
    <t>https://ebookcentral.proquest.com/lib/istinye/detail.action?docID=7015413</t>
  </si>
  <si>
    <t>Changing Roles of NGOs in the Creation, Storage, and Dissemination of Information in Developing Countries</t>
  </si>
  <si>
    <t>Z666.5.C43 2006</t>
  </si>
  <si>
    <t>https://ebookcentral.proquest.com/lib/istinye/detail.action?docID=7015414</t>
  </si>
  <si>
    <t>Kant and Artificial Intelligence</t>
  </si>
  <si>
    <t>Kim, Hyeongjoo</t>
  </si>
  <si>
    <t>Precarity in European Film : Depictions and Discourses</t>
  </si>
  <si>
    <t>Film, Class, Society Ser.</t>
  </si>
  <si>
    <t>Cuter, Elisa</t>
  </si>
  <si>
    <t>Materiality in Roman Art and Architecture : Aesthetics, Semantics and Function</t>
  </si>
  <si>
    <t>Grundlinien Zum Systeme der Aesthetik (1824) und Andere Kunstphilosophische Schriften</t>
  </si>
  <si>
    <t>Kierkegaard Studies. Monograph Ser.</t>
  </si>
  <si>
    <t>Heiberg, Johan Ludvig</t>
  </si>
  <si>
    <t>Öffentliche Geheimnisse : Skandale, Politik und Medien in Deutschland und Großbritannien 1880-1914</t>
  </si>
  <si>
    <t>Bösch, Frank</t>
  </si>
  <si>
    <t>Zitate der Aeneis in Den Briefen des Hieronymus : Eine Digitale Intertextualitätsanalyse Zur Untersuchung Kultureller Transformationsprozesse</t>
  </si>
  <si>
    <t>Philologus. Supplemente / Philologus. Supplementary Volumes Ser.</t>
  </si>
  <si>
    <t>Revellio, Marie</t>
  </si>
  <si>
    <t>Estereotipos Femeninos Desde la Antigüedad Clásica Hasta el Siglo XVI</t>
  </si>
  <si>
    <t>González Doreste, Dulce María</t>
  </si>
  <si>
    <t>Der Weg der Welt</t>
  </si>
  <si>
    <t>Das Heilige Reich. Texte Zur Mittelalterlichen Geistesgeschichte Ser.</t>
  </si>
  <si>
    <t>Bingen, Hildegard von</t>
  </si>
  <si>
    <t>Der ein- und Mehrphasige Wechselstrom : Einführung in das Studium der Transformatoren und Wechselstrommaschinen</t>
  </si>
  <si>
    <t>Wotruba, R.</t>
  </si>
  <si>
    <t>https://ebookcentral.proquest.com/lib/istinye/detail.action?docID=7015423</t>
  </si>
  <si>
    <t>Social Media and Social Order</t>
  </si>
  <si>
    <t>Herbert, David</t>
  </si>
  <si>
    <t>Conflicts in Interreligious Education : Exploring Theory and Practice</t>
  </si>
  <si>
    <t>Kraml, Martina</t>
  </si>
  <si>
    <t>Whiteface : Improv Comedy and Anti-Blackness</t>
  </si>
  <si>
    <t>American Frictions Ser.</t>
  </si>
  <si>
    <t>Büch, Michel</t>
  </si>
  <si>
    <t>https://ebookcentral.proquest.com/lib/istinye/detail.action?docID=7015426</t>
  </si>
  <si>
    <t>Genus - Sexus - Gender</t>
  </si>
  <si>
    <t>Diewald, Gabriele</t>
  </si>
  <si>
    <t>In Search of the Culprit : Aspects of Medieval Authorship</t>
  </si>
  <si>
    <t>Andere Ästhetik - Studien Ser.</t>
  </si>
  <si>
    <t>Rösli, Lukas</t>
  </si>
  <si>
    <t>Emotions Across Cultures : Ancient China and Greece</t>
  </si>
  <si>
    <t>Konstan, David</t>
  </si>
  <si>
    <t>152.4</t>
  </si>
  <si>
    <t>https://ebookcentral.proquest.com/lib/istinye/detail.action?docID=7015429</t>
  </si>
  <si>
    <t>The Walking Dead at Saqqara : Strategies of Social and Religious Interaction in Practice</t>
  </si>
  <si>
    <t>Weiss, Lara</t>
  </si>
  <si>
    <t>932.2</t>
  </si>
  <si>
    <t>https://ebookcentral.proquest.com/lib/istinye/detail.action?docID=7015430</t>
  </si>
  <si>
    <t>Raumkonstruktionen | Spatial Constructions : Digital Humanities und Die 'Messbarkeit' des NS-Regimes | the Digital Humanities and the 'Measurability' of the Nazi Regime</t>
  </si>
  <si>
    <t>Němec, Richard</t>
  </si>
  <si>
    <t>https://ebookcentral.proquest.com/lib/istinye/detail.action?docID=7015431</t>
  </si>
  <si>
    <t>Eine Andere Geschichte der Spanischen Literatur : Von Cervantes Bis Zur Gegenwart</t>
  </si>
  <si>
    <t>Ingenschay, Dieter</t>
  </si>
  <si>
    <t>https://ebookcentral.proquest.com/lib/istinye/detail.action?docID=7015432</t>
  </si>
  <si>
    <t>Partitive Determiners, Partitive Pronouns and Partitive Case</t>
  </si>
  <si>
    <t>Linguistische Arbeiten Ser.</t>
  </si>
  <si>
    <t>Sleeman, Petra</t>
  </si>
  <si>
    <t>Geburt Leben Sterben Tod : Potsdamer Vorlesungen über das Lebenswissen in Den Romanischen Literaturen der Welt</t>
  </si>
  <si>
    <t>https://ebookcentral.proquest.com/lib/istinye/detail.action?docID=7015434</t>
  </si>
  <si>
    <t>,Nibelungenlied'</t>
  </si>
  <si>
    <t>https://ebookcentral.proquest.com/lib/istinye/detail.action?docID=7015435</t>
  </si>
  <si>
    <t>,Nibelungenklage'</t>
  </si>
  <si>
    <t>https://ebookcentral.proquest.com/lib/istinye/detail.action?docID=7015436</t>
  </si>
  <si>
    <t>Diversität in Bibliotheken : Theorien, Strategien und Praxisbeispiele</t>
  </si>
  <si>
    <t>Hauck, Julia</t>
  </si>
  <si>
    <t>Das Lukanische Doppelwerk : Zur Literarischen Basis Frühchristlicher Geschichtsdeutung</t>
  </si>
  <si>
    <t>Backhaus, Knut</t>
  </si>
  <si>
    <t>https://ebookcentral.proquest.com/lib/istinye/detail.action?docID=7015438</t>
  </si>
  <si>
    <t>Die Glasmalereien Vom Mittelalter Bis 1930 Im Kanton Thurgau : Corpus Vitrearum Schweiz, Reihe Neuzeit, Band 8</t>
  </si>
  <si>
    <t>Keller, Sarah</t>
  </si>
  <si>
    <t>Medieval Multilingual Manuscripts : Case Studies from Ireland to Japan</t>
  </si>
  <si>
    <t>Clarke, Michael</t>
  </si>
  <si>
    <t>Hartmann Von Aue: ,Erec'. ,der Mantel'</t>
  </si>
  <si>
    <t>https://ebookcentral.proquest.com/lib/istinye/detail.action?docID=7015441</t>
  </si>
  <si>
    <t>Die DDR-Literatur und Die Wissenschaften</t>
  </si>
  <si>
    <t>Gencarelli, Angela</t>
  </si>
  <si>
    <t>Hartmann Von Aue: ,Iwein'</t>
  </si>
  <si>
    <t>https://ebookcentral.proquest.com/lib/istinye/detail.action?docID=7015443</t>
  </si>
  <si>
    <t>Red Glow : Yugoslav Partisan Photography and Social Movement, 1941-1945</t>
  </si>
  <si>
    <t>Workplace Spirituality : Making a Difference</t>
  </si>
  <si>
    <t>Management, Spirituality and Religion Ser.</t>
  </si>
  <si>
    <t>Altman, Yochanan</t>
  </si>
  <si>
    <t>Der Engel in der Moderne : Eine Figur Zwischen Exilgegenwart und Zukunftsvision</t>
  </si>
  <si>
    <t>Studien Zur Deutschen Literatur Ser.</t>
  </si>
  <si>
    <t>Zschunke, Lena</t>
  </si>
  <si>
    <t>https://ebookcentral.proquest.com/lib/istinye/detail.action?docID=7015447</t>
  </si>
  <si>
    <t>The Politics of Historical Memory and Commemoration in Africa</t>
  </si>
  <si>
    <t>Mark-Thiesen, Cassandra</t>
  </si>
  <si>
    <t>Linguistik und Medizin : Sprachwissenschaftliche Zugänge und Interdisziplinäre Perspektiven</t>
  </si>
  <si>
    <t>Iakushevich, Marina</t>
  </si>
  <si>
    <t>,Biterolf und Dietleib'</t>
  </si>
  <si>
    <t>https://ebookcentral.proquest.com/lib/istinye/detail.action?docID=7015450</t>
  </si>
  <si>
    <t>Kardinal Cesare Baronio und das Kurienzeremoniell des Posttridentinischen Papsttums : Ein Beitrag Zur Geschichte der Römischen Kurie Während der Zweiten Hälfte des Cinquecento</t>
  </si>
  <si>
    <t>Malesevic, Filip</t>
  </si>
  <si>
    <t>Die Internationale Stadt Tanger : Infrastrukturen des Geteilten Kolonialismus, 1840-1956</t>
  </si>
  <si>
    <t>Hettstedt, Daniela</t>
  </si>
  <si>
    <t>964.2</t>
  </si>
  <si>
    <t>https://ebookcentral.proquest.com/lib/istinye/detail.action?docID=7015453</t>
  </si>
  <si>
    <t>A Basic Theory of Everything : A Fundamental Theoretical Framework for Science and Philosophy</t>
  </si>
  <si>
    <t>Søvik, Atle Ottesen</t>
  </si>
  <si>
    <t>https://ebookcentral.proquest.com/lib/istinye/detail.action?docID=7015454</t>
  </si>
  <si>
    <t>Play among Books : A Symposium on Architecture and Information Spelt in Atom-Letters</t>
  </si>
  <si>
    <t>Roman, Miro</t>
  </si>
  <si>
    <t>Gleichzeitigkeit in der Interaktion : Strukturelle (in)Kompatibilität Bei Multiaktivitäten in Theaterproben</t>
  </si>
  <si>
    <t>Krug, Maximilian</t>
  </si>
  <si>
    <t>Youth and Memory in Europe : Defining the Past, Shaping the Future</t>
  </si>
  <si>
    <t>Krawatzek, Félix</t>
  </si>
  <si>
    <t>Continuing Professional Development - Preparing for New Roles in Libraries: a Voyage of Discovery : Sixth World Conference on Continuing Professional Development and Workplace Learning for the Library and Information Professions</t>
  </si>
  <si>
    <t>Genoni, Paul</t>
  </si>
  <si>
    <t>Bild und Text Auf Römischen Mosaiken : Intermediale Kommunikationsstrategien Im Kontext der Wohnkultur des 3. -5. Jahrhunderts</t>
  </si>
  <si>
    <t>Schmieder, Claudia</t>
  </si>
  <si>
    <t>Stocks for All: People's Capitalism in the Twenty-First Century</t>
  </si>
  <si>
    <t>Mäntysaari, Petri</t>
  </si>
  <si>
    <t>https://ebookcentral.proquest.com/lib/istinye/detail.action?docID=7015461</t>
  </si>
  <si>
    <t>Mechanische Grundlagen des Flugzeugbaues, Teil 2</t>
  </si>
  <si>
    <t>Luftfahrzeugbau Und -Führung Ser.</t>
  </si>
  <si>
    <t>Baumann, A.</t>
  </si>
  <si>
    <t>https://ebookcentral.proquest.com/lib/istinye/detail.action?docID=7015462</t>
  </si>
  <si>
    <t>Iridescent Kuwait : Petro-Modernity and Urban Visual Culture since the Mid-Twentieth Century</t>
  </si>
  <si>
    <t>Hindelang, Laura</t>
  </si>
  <si>
    <t>Konstruktionssemantik : Frames in Gebrauchsbasierter Konstruktionsgrammatik und Konstruktikographie</t>
  </si>
  <si>
    <t>Willich, Alexander</t>
  </si>
  <si>
    <t>https://ebookcentral.proquest.com/lib/istinye/detail.action?docID=7015464</t>
  </si>
  <si>
    <t>Nach der Kulturgeschichte : Perspektiven Einer Neuen Ideen- und Sozialgeschichte der Deutschen Literatur</t>
  </si>
  <si>
    <t>Benz, Maximilian</t>
  </si>
  <si>
    <t>Time for the Ancients : Measurement, Theory, Experience</t>
  </si>
  <si>
    <t>Singer, P. N.</t>
  </si>
  <si>
    <t>https://ebookcentral.proquest.com/lib/istinye/detail.action?docID=7015466</t>
  </si>
  <si>
    <t>,Ortnit'. ,Wolfdietrich A'</t>
  </si>
  <si>
    <t>https://ebookcentral.proquest.com/lib/istinye/detail.action?docID=7015467</t>
  </si>
  <si>
    <t>Conceptions of Time in Greek and Roman Antiquity</t>
  </si>
  <si>
    <t>Faure, Richard</t>
  </si>
  <si>
    <t>Geschichte der Heimat : Zur Genese Ihrer Semantik in Literatur, Religion, Recht und Wissenschaft</t>
  </si>
  <si>
    <t>Oesterhelt, Anja</t>
  </si>
  <si>
    <t>https://ebookcentral.proquest.com/lib/istinye/detail.action?docID=7015469</t>
  </si>
  <si>
    <t>Kältebilder : Ästhetik und Erkenntnis Am Gefrierpunkt</t>
  </si>
  <si>
    <t>Bruhn, Matthias</t>
  </si>
  <si>
    <t>Karl Barth's Epistle to the Romans : Retrospect and Prospect</t>
  </si>
  <si>
    <t>Chalamet, Christophe</t>
  </si>
  <si>
    <t>Kontrafaktik der Gegenwart : Politisches Schreiben Als Realitätsvariation Bei Christian Kracht, Kathrin Röggla, Juli Zeh und Leif Randt</t>
  </si>
  <si>
    <t>Navratil, Michael</t>
  </si>
  <si>
    <t>,Dietrichs Flucht'</t>
  </si>
  <si>
    <t>https://ebookcentral.proquest.com/lib/istinye/detail.action?docID=7015474</t>
  </si>
  <si>
    <t>Höfische Texte</t>
  </si>
  <si>
    <t>https://ebookcentral.proquest.com/lib/istinye/detail.action?docID=7015475</t>
  </si>
  <si>
    <t>Handbook of Ancient Afro-Eurasian Economies : Volume 2: Local, Regional, and Imperial Economies</t>
  </si>
  <si>
    <t>von Reden, Sitta</t>
  </si>
  <si>
    <t>La Tradizione Manoscritta Dell' Ars Dictaminis Nell'Italia Medievale : Mise en Page e Mise en Texte</t>
  </si>
  <si>
    <t>Rethinking Orality II : The Mechanisms of the Oral Communication System in the Case of the Archaic Epos</t>
  </si>
  <si>
    <t>Reading History in the Roman Empire</t>
  </si>
  <si>
    <t>Forensische Verfahren in Den Zeitgenössischen Künsten : Forensic Architecture und Andere Fallanalysen</t>
  </si>
  <si>
    <t>Stuckey, Lisa</t>
  </si>
  <si>
    <t>,Kudrun'</t>
  </si>
  <si>
    <t>https://ebookcentral.proquest.com/lib/istinye/detail.action?docID=7015483</t>
  </si>
  <si>
    <t>Zionism and Cosmopolitanism : Franz Oppenheimer and the Dream of a Jewish Future in Germany and Palestine</t>
  </si>
  <si>
    <t>Peretz, Dekel</t>
  </si>
  <si>
    <t>https://ebookcentral.proquest.com/lib/istinye/detail.action?docID=7015484</t>
  </si>
  <si>
    <t>Mapping Narrations - Narrating Maps : Concepts of the World in the Middle Ages and the Early Modern Period</t>
  </si>
  <si>
    <t>Medieval Institute Publications</t>
  </si>
  <si>
    <t>Research in Medieval and Early Modern Culture Ser.</t>
  </si>
  <si>
    <t>Baumgärtner, Ingrid</t>
  </si>
  <si>
    <t>The World's First Full Press Freedom : The Radical Experiment of Denmark-Norway 1770-1773</t>
  </si>
  <si>
    <t>Langen, Ulrik</t>
  </si>
  <si>
    <t>Kinder und Jugendliche in der COVID-19-Pandemie : Perspektiven Aus Praxis und Wissenschaft</t>
  </si>
  <si>
    <t>Oommen-Halbach, Anne</t>
  </si>
  <si>
    <t>Vom Germanenerbe Zum Urkommunismus : Urgeschichtsbilder in Museen der SBZ und DDR</t>
  </si>
  <si>
    <t>Lindemann, Arne</t>
  </si>
  <si>
    <t>https://ebookcentral.proquest.com/lib/istinye/detail.action?docID=7015488</t>
  </si>
  <si>
    <t>Rethinking Islam in Europe : Contemporary Approaches in Islamic Religious Education and Theology</t>
  </si>
  <si>
    <t>297.071/14</t>
  </si>
  <si>
    <t>https://ebookcentral.proquest.com/lib/istinye/detail.action?docID=7015489</t>
  </si>
  <si>
    <t>Diskurse - Digital : Theorien, Methoden, Anwendungen</t>
  </si>
  <si>
    <t>Diskursmuster / Discourse Patterns Ser.</t>
  </si>
  <si>
    <t>Gredel, Eva</t>
  </si>
  <si>
    <t>https://ebookcentral.proquest.com/lib/istinye/detail.action?docID=7015490</t>
  </si>
  <si>
    <t>Envisioning the Future of Learning for Creativity, Innovation and Entrepreneurship</t>
  </si>
  <si>
    <t>Papageorgiou, Kyriaki</t>
  </si>
  <si>
    <t>Perfektunperfekt : Elaboration und Imperfektion in der Rhetorik des Designs</t>
  </si>
  <si>
    <t>Rhetorik-Forschungen Ser.</t>
  </si>
  <si>
    <t>Schneller, Annina</t>
  </si>
  <si>
    <t>Die Papyri Herkulaneums Im Digitalen Zeitalter : Neue Texte Durch Neue Techniken - eine Kurzeinführung</t>
  </si>
  <si>
    <t>Hans-Lietzmann-Vorlesungen Ser.</t>
  </si>
  <si>
    <t>Fleischer, Kilian</t>
  </si>
  <si>
    <t>Die Vergangenheitstempora Im Alemannischen Deutschlands : Eine Korpusbasierte Quantitative und Qualitative Untersuchung</t>
  </si>
  <si>
    <t>Leonhard, Jens</t>
  </si>
  <si>
    <t>410.72</t>
  </si>
  <si>
    <t>https://ebookcentral.proquest.com/lib/istinye/detail.action?docID=7015494</t>
  </si>
  <si>
    <t>Anti-Klages : Oder Von der Würde des Menschen</t>
  </si>
  <si>
    <t>https://ebookcentral.proquest.com/lib/istinye/detail.action?docID=7015495</t>
  </si>
  <si>
    <t>1731-1733</t>
  </si>
  <si>
    <t>Action-Related Representations : An Action-Based Approach to Grounded Cognition</t>
  </si>
  <si>
    <t>Seuchter, Tim</t>
  </si>
  <si>
    <t>153.2</t>
  </si>
  <si>
    <t>https://ebookcentral.proquest.com/lib/istinye/detail.action?docID=7015497</t>
  </si>
  <si>
    <t>Football and Nation Building in Colombia (2010-2018) : The Only Thing That Unites Us</t>
  </si>
  <si>
    <t>Watson, Peter J.</t>
  </si>
  <si>
    <t>https://ebookcentral.proquest.com/lib/istinye/detail.action?docID=7015501</t>
  </si>
  <si>
    <t>Agile Processes in Software Engineering and Extreme Programming : 23rd International Conference on Agile Software Development, XP 2022, Copenhagen, Denmark, June 13-17, 2022, Proceedings</t>
  </si>
  <si>
    <t>Entrepreneurial Responses to Chronic Adversity : The Bright, the Dark, and the in Between</t>
  </si>
  <si>
    <t>International Actors and the Formation of Laws</t>
  </si>
  <si>
    <t>Karjalainen, Katja</t>
  </si>
  <si>
    <t>Encounters and Practices of Petty Trade in Northern Europe, 1820-1960 : Forgotten Livelihoods</t>
  </si>
  <si>
    <t>Ahlbeck, Jutta</t>
  </si>
  <si>
    <t>Russia-China Relations : Emerging Alliance or Eternal Rivals?</t>
  </si>
  <si>
    <t>Global Power Shift Ser.</t>
  </si>
  <si>
    <t>Kirchberger, Sarah</t>
  </si>
  <si>
    <t>Framing Global Mathematics : The International Mathematical Union Between Theorems and Politics</t>
  </si>
  <si>
    <t>Schappacher, Norbert</t>
  </si>
  <si>
    <t>QA21-27</t>
  </si>
  <si>
    <t>https://ebookcentral.proquest.com/lib/istinye/detail.action?docID=7018111</t>
  </si>
  <si>
    <t>Evading the Patronage Trap : Interest Representation in Mexico</t>
  </si>
  <si>
    <t>Palmer-Rubin, Brian</t>
  </si>
  <si>
    <t>https://ebookcentral.proquest.com/lib/istinye/detail.action?docID=7018191</t>
  </si>
  <si>
    <t>Digital Transformation in Norwegian Enterprises</t>
  </si>
  <si>
    <t>Mikalef, Patrick</t>
  </si>
  <si>
    <t>Public Systems Modeling : Methods for Identifying and Evaluating Alternative Plans and Policies</t>
  </si>
  <si>
    <t>International Series in Operations Research and Management Science Ser.</t>
  </si>
  <si>
    <t>https://ebookcentral.proquest.com/lib/istinye/detail.action?docID=7018786</t>
  </si>
  <si>
    <t>Deep Neural Networks and Data for Automated Driving : Robustness, Uncertainty Quantification, and Insights Towards Safety</t>
  </si>
  <si>
    <t>Fingscheidt, Tim</t>
  </si>
  <si>
    <t>Smittestopp  a Case Study on Digital Contact Tracing</t>
  </si>
  <si>
    <t>Elmokashfi, Ahmed</t>
  </si>
  <si>
    <t>Grundrechte : Klausur- und Examenswissen</t>
  </si>
  <si>
    <t>Hahn, Lisa</t>
  </si>
  <si>
    <t>Towards the Perfect Weather Warning : Bridging Disciplinary Gaps Through Partnership and Communication</t>
  </si>
  <si>
    <t>Golding, Brian</t>
  </si>
  <si>
    <t>Responsible Procurement : Leading the Way to a Sustainable Tomorrow</t>
  </si>
  <si>
    <t>Aichbauer, Stefan</t>
  </si>
  <si>
    <t>Improving Oncology Worldwide : Education, Clinical Research and Global Cancer Care</t>
  </si>
  <si>
    <t>Schmidt-Straßburger, Uta</t>
  </si>
  <si>
    <t>https://ebookcentral.proquest.com/lib/istinye/detail.action?docID=7020131</t>
  </si>
  <si>
    <t>Participative Urban Health and Healthy Aging in the Age of AI : 19th International Conference, ICOST 2022, Paris, France, June 27-30, 2022, Proceedings</t>
  </si>
  <si>
    <t>Aloulou, Hamdi</t>
  </si>
  <si>
    <t>Social Networks and Health Inequalities : A New Perspective for Research</t>
  </si>
  <si>
    <t>Crime and Safety in the Rural : Lessons from Research</t>
  </si>
  <si>
    <t>Ceccato, Vania</t>
  </si>
  <si>
    <t>The Road to General Intelligence</t>
  </si>
  <si>
    <t>Studies in Computational Intelligence Ser.</t>
  </si>
  <si>
    <t>Swan, Jerry</t>
  </si>
  <si>
    <t>Interdisciplinary Explorations of Postmortem Interaction : Dead Bodies, Funerary Objects, and Burial Spaces Through Texts and Time</t>
  </si>
  <si>
    <t>Bioarchaeology and Social Theory Ser.</t>
  </si>
  <si>
    <t>Weiss-Krejci, Estella</t>
  </si>
  <si>
    <t>Longer-Term Psychiatric Inpatient Care for Adolescents : A Multidisciplinary Treatment Approach</t>
  </si>
  <si>
    <t>Hazell, Philip</t>
  </si>
  <si>
    <t>We Were All in Adam : The Unity of Mankind in Adam in the Teaching of the Church Fathers</t>
  </si>
  <si>
    <t>Przyszychowska, Marta</t>
  </si>
  <si>
    <t>https://ebookcentral.proquest.com/lib/istinye/detail.action?docID=7021723</t>
  </si>
  <si>
    <t>City, Climate, and Architecture : A Theory of Collective Practice</t>
  </si>
  <si>
    <t>Klima Polis Ser.</t>
  </si>
  <si>
    <t>Roesler, Sascha</t>
  </si>
  <si>
    <t>720.47</t>
  </si>
  <si>
    <t>https://ebookcentral.proquest.com/lib/istinye/detail.action?docID=7021980</t>
  </si>
  <si>
    <t>Writing Systems and Their Use : An Overview of Grapholinguistics</t>
  </si>
  <si>
    <t>Meletis, Dimitrios</t>
  </si>
  <si>
    <t>Time and Soul : From Aristotle to St. Augustine</t>
  </si>
  <si>
    <t>Zachhuber, Johannes</t>
  </si>
  <si>
    <t>Possession and Dispossession : Performing Jewish Ethnography in Jerusalem</t>
  </si>
  <si>
    <t>Mauas, Lea</t>
  </si>
  <si>
    <t>Coping with Urban Climates : Comparative Perspectives on Architecture and Thermal Governance</t>
  </si>
  <si>
    <t>Co-Corporeality of Humans, Machines, and Microbes</t>
  </si>
  <si>
    <t>Imhof, Barbara</t>
  </si>
  <si>
    <t>Process Mining Handbook</t>
  </si>
  <si>
    <t>van der Aalst, Wil M. P.</t>
  </si>
  <si>
    <t>Glocal Governance : How to Govern in the Anthropocene?</t>
  </si>
  <si>
    <t>SpringerBriefs in Political Science Ser.</t>
  </si>
  <si>
    <t>https://ebookcentral.proquest.com/lib/istinye/detail.action?docID=7023507</t>
  </si>
  <si>
    <t>New Social Mobility : Second Generation Pioneers in Europe</t>
  </si>
  <si>
    <t>Schneider, Jens</t>
  </si>
  <si>
    <t>The Responsibility of Science</t>
  </si>
  <si>
    <t>Mieg, Harald A.</t>
  </si>
  <si>
    <t>Q175.35-.37</t>
  </si>
  <si>
    <t>https://ebookcentral.proquest.com/lib/istinye/detail.action?docID=7024384</t>
  </si>
  <si>
    <t>Governing the Sustainable Development Goals : Quantification in Global Public Policy</t>
  </si>
  <si>
    <t>Bandola-Gill, Justyna</t>
  </si>
  <si>
    <t>Understanding L2 Proficiency : Theoretical and Meta-Analytic Investigations</t>
  </si>
  <si>
    <t>Bilingual Processing and Acquisition Ser.</t>
  </si>
  <si>
    <t>Jeon, Eun Hee</t>
  </si>
  <si>
    <t>Bewusst im Paradies: Kitsch und Reflexivität</t>
  </si>
  <si>
    <t>Küpper, Thomas</t>
  </si>
  <si>
    <t>https://ebookcentral.proquest.com/lib/istinye/detail.action?docID=7024715</t>
  </si>
  <si>
    <t>Queer Turkey : Transnational Poetics of Desire</t>
  </si>
  <si>
    <t>Poole, Ralph J.</t>
  </si>
  <si>
    <t>https://ebookcentral.proquest.com/lib/istinye/detail.action?docID=7024717</t>
  </si>
  <si>
    <t>Verknüpfte Modernitäten : Brasilianisch-deutsche Interferenzen in Bezug auf Kulturpolitik und Menschenbild in der Nachkriegszeit</t>
  </si>
  <si>
    <t>Neubauer, Susanne</t>
  </si>
  <si>
    <t>https://ebookcentral.proquest.com/lib/istinye/detail.action?docID=7024721</t>
  </si>
  <si>
    <t>Helfen : Situative und organisationale Ausprägungen einer unterbestimmten Praxis</t>
  </si>
  <si>
    <t>Böhringer, Daniela</t>
  </si>
  <si>
    <t>»Transforming our World« - Zukunftsdiskurse zur Umsetzung der UN-Agenda 2030</t>
  </si>
  <si>
    <t>Neue Ökologie</t>
  </si>
  <si>
    <t>Meyer, Christiane</t>
  </si>
  <si>
    <t>https://ebookcentral.proquest.com/lib/istinye/detail.action?docID=7024727</t>
  </si>
  <si>
    <t>Archives, Access and Artificial Intelligence : Working with Born-Digital and Digitized Archival Collections</t>
  </si>
  <si>
    <t>Bielefeld University Press</t>
  </si>
  <si>
    <t>Digital Humanities Research</t>
  </si>
  <si>
    <t>Jaillant, Lise</t>
  </si>
  <si>
    <t>https://ebookcentral.proquest.com/lib/istinye/detail.action?docID=7024728</t>
  </si>
  <si>
    <t>Campus Medius: Digitales Kartografieren in den Kultur- und Medienwissenschaften</t>
  </si>
  <si>
    <t>Digital Humanities</t>
  </si>
  <si>
    <t>Ganahl, Simon</t>
  </si>
  <si>
    <t>https://ebookcentral.proquest.com/lib/istinye/detail.action?docID=7024729</t>
  </si>
  <si>
    <t>Campus Medius: Digital Mapping in Cultural and Media Studies</t>
  </si>
  <si>
    <t>https://ebookcentral.proquest.com/lib/istinye/detail.action?docID=7024730</t>
  </si>
  <si>
    <t>Convivial Futures : Views from a Post-Growth Tomorrow</t>
  </si>
  <si>
    <t>Adloff, Frank</t>
  </si>
  <si>
    <t>Lokal extrem Rechts : Analysen alltäglicher Vergesellschaftungen</t>
  </si>
  <si>
    <t>Mullis, Daniel</t>
  </si>
  <si>
    <t>Mit Adorno im Tonstudio : Zur Soziologie der Musikproduktion</t>
  </si>
  <si>
    <t>Media in Action</t>
  </si>
  <si>
    <t>Waldecker, David</t>
  </si>
  <si>
    <t>https://ebookcentral.proquest.com/lib/istinye/detail.action?docID=7024736</t>
  </si>
  <si>
    <t>Schauplätze des Reparierens und Selbermachens : Über neue urbane Infrastrukturen der Sorge und der Suffizienz in Wien</t>
  </si>
  <si>
    <t>Jonas, Michael</t>
  </si>
  <si>
    <t>Repräsentation - Partizipation - Zugänglichkeit : Theorie und Praxis gesellschaftlicher Einbindung in Museen und Ausstellungen</t>
  </si>
  <si>
    <t>Edition Museum</t>
  </si>
  <si>
    <t>Büchel, Julia</t>
  </si>
  <si>
    <t>Museums</t>
  </si>
  <si>
    <t>https://ebookcentral.proquest.com/lib/istinye/detail.action?docID=7024738</t>
  </si>
  <si>
    <t>Culture^2 : Theorizing Theory for the Twenty-First Century, Vol. 1</t>
  </si>
  <si>
    <t>Kelleter, Frank</t>
  </si>
  <si>
    <t>Demenz im Quartier : Ehrenamt und Sozialraumorientierung für das Alter</t>
  </si>
  <si>
    <t>Alter - Kultur - Gesellschaft</t>
  </si>
  <si>
    <t>Gronemeyer, Reimer</t>
  </si>
  <si>
    <t>Gender Studies im Dialog : Transnationale und transdisziplinäre Perspektiven</t>
  </si>
  <si>
    <t>Artwinska, Anna</t>
  </si>
  <si>
    <t>Heimat. Volkstum. Architektur : Sondierungen zum volkstumsorientierten Bauen der Heimatschutz-Bewegung im Kontext der Moderne und des Nationalsozialismus</t>
  </si>
  <si>
    <t>Schmitz, Rainer</t>
  </si>
  <si>
    <t>https://ebookcentral.proquest.com/lib/istinye/detail.action?docID=7024744</t>
  </si>
  <si>
    <t>Zwischen Anstalt und Schule : Eine Wissensgeschichte der Erziehung »schwachsinniger« Kinder in Berlin, 1845-1914</t>
  </si>
  <si>
    <t>Garz, Jona Tomke</t>
  </si>
  <si>
    <t>https://ebookcentral.proquest.com/lib/istinye/detail.action?docID=7024745</t>
  </si>
  <si>
    <t>Geschichte der Sklaverei in der niederländischen Republik : Recht, Rassismus und die Handlungsmacht Schwarzer Menschen und People of Color, 1680-1863</t>
  </si>
  <si>
    <t>Global- und Kolonialgeschichte</t>
  </si>
  <si>
    <t>Holzmann, Julia</t>
  </si>
  <si>
    <t>https://ebookcentral.proquest.com/lib/istinye/detail.action?docID=7024746</t>
  </si>
  <si>
    <t>América Latina en la vorágine de la crisis : Extractivismos y alternativas</t>
  </si>
  <si>
    <t>Afrontar las crisis desde América Latina</t>
  </si>
  <si>
    <t>Veltmeyer, Henry</t>
  </si>
  <si>
    <t>Wider die Geschichtsvergessenheit : Inszenierte Geschichte - historische Differenz - kritisches Bewusstsein</t>
  </si>
  <si>
    <t>Zeit - Sinn - Kultur</t>
  </si>
  <si>
    <t>Febel, Gisela</t>
  </si>
  <si>
    <t>Lexicon of Global Melodrama</t>
  </si>
  <si>
    <t>Global Sentimentality</t>
  </si>
  <si>
    <t>Paul, Heike</t>
  </si>
  <si>
    <t>Hochschulen in der Pandemie : Impulse für eine nachhaltige Entwicklung von Studium und Lehre</t>
  </si>
  <si>
    <t>Angenent, Holger</t>
  </si>
  <si>
    <t>Organisationaler Wandel durch Migration? : Zur Diversität in der Zivilgesellschaft</t>
  </si>
  <si>
    <t>Unger, Hella von</t>
  </si>
  <si>
    <t>»Failed« Migratory Adventures? : Malian Men Facing Conditions Post Deportation in Southern Mali</t>
  </si>
  <si>
    <t>Schultz, Susanne U.</t>
  </si>
  <si>
    <t>https://ebookcentral.proquest.com/lib/istinye/detail.action?docID=7024755</t>
  </si>
  <si>
    <t>Die Arbeit am Ausdruck : Zur ästhetischen Dimension von Bildung. Eine artikulationstheoretische Annäherung</t>
  </si>
  <si>
    <t>Park, Anna</t>
  </si>
  <si>
    <t>https://ebookcentral.proquest.com/lib/istinye/detail.action?docID=7024759</t>
  </si>
  <si>
    <t>Fremdheitserfahrungen und Othering : Ordnungen des »Eigenen« und »Fremden« in interreligiöser Bildung</t>
  </si>
  <si>
    <t>Freuding, Janosch</t>
  </si>
  <si>
    <t>https://ebookcentral.proquest.com/lib/istinye/detail.action?docID=7024760</t>
  </si>
  <si>
    <t>Sozialkapital intersektional : Eine empirische Untersuchung an der Schnittstelle Behinderung und Migration</t>
  </si>
  <si>
    <t>Hinni, Chantal</t>
  </si>
  <si>
    <t>https://ebookcentral.proquest.com/lib/istinye/detail.action?docID=7024764</t>
  </si>
  <si>
    <t>Cybersicherheit in Innen- und Außenpolitik : Deutsche und britische Policies im Vergleich</t>
  </si>
  <si>
    <t>Steiger, Stefan</t>
  </si>
  <si>
    <t>https://ebookcentral.proquest.com/lib/istinye/detail.action?docID=7024765</t>
  </si>
  <si>
    <t>Minimalismus - Ein Reader</t>
  </si>
  <si>
    <t>Derwanz, Heike</t>
  </si>
  <si>
    <t>https://ebookcentral.proquest.com/lib/istinye/detail.action?docID=7024767</t>
  </si>
  <si>
    <t>»Doing market« - Unternehmerische Praxis und der Diskurs um »ethnische Ökonomie« im Markt für muslimische Mode in Berlin</t>
  </si>
  <si>
    <t>Birnbauer, Robert</t>
  </si>
  <si>
    <t>https://ebookcentral.proquest.com/lib/istinye/detail.action?docID=7024769</t>
  </si>
  <si>
    <t>Adoleszenz und Alterität : Aktuelle Perspektiven der interkulturellen Literaturwissenschaft und Literaturdidaktik</t>
  </si>
  <si>
    <t>Interkulturalität. Studien zu Sprache, Literatur und Gesellschaft</t>
  </si>
  <si>
    <t>Jakobi, Stefanie</t>
  </si>
  <si>
    <t>Academics in Exile : Networks, Knowledge Exchange and New Forms of Internationalization</t>
  </si>
  <si>
    <t>Axyonova, Vera</t>
  </si>
  <si>
    <t>Migrationsforschung (inter)disziplinär : Eine anwendungsorientierte Einführung</t>
  </si>
  <si>
    <t>Kulturen der Gesellschaft</t>
  </si>
  <si>
    <t>Schmitz-Vardar, Merve</t>
  </si>
  <si>
    <t>Scale Matters : The Quality of Quantity in Human Culture and Sociality</t>
  </si>
  <si>
    <t>Widlok, Thomas</t>
  </si>
  <si>
    <t>Critical by Design? : Genealogies, Practices, Positions</t>
  </si>
  <si>
    <t>Mareis, Claudia</t>
  </si>
  <si>
    <t>Das Karussell - Schwindel, Tausch und Täuschung : Szenen einer Medienphilosophie</t>
  </si>
  <si>
    <t>Szenografie &amp; Szenologie</t>
  </si>
  <si>
    <t>Bohn, Ralf</t>
  </si>
  <si>
    <t>https://ebookcentral.proquest.com/lib/istinye/detail.action?docID=7024777</t>
  </si>
  <si>
    <t>Beyond Narrative : Exploring Narrative Liminality and Its Cultural Work</t>
  </si>
  <si>
    <t>Herrmann, Sebastian M.</t>
  </si>
  <si>
    <t>Diffraktionsereignisse der Gegenwart : Feministische Medienkunst trifft Neuen Materialismus</t>
  </si>
  <si>
    <t>Kronberger, Alisa</t>
  </si>
  <si>
    <t>https://ebookcentral.proquest.com/lib/istinye/detail.action?docID=7024779</t>
  </si>
  <si>
    <t>Aus der Nacht in den Tag : Ein philosophisches Plädoyer für die plurale Gesellschaft</t>
  </si>
  <si>
    <t>https://ebookcentral.proquest.com/lib/istinye/detail.action?docID=7024781</t>
  </si>
  <si>
    <t>Widerständige Ressource : Typologie und Gebrauch historischer Bauernhäuser</t>
  </si>
  <si>
    <t>Rurale Topografien</t>
  </si>
  <si>
    <t>Lüder, Ines</t>
  </si>
  <si>
    <t>https://ebookcentral.proquest.com/lib/istinye/detail.action?docID=7024782</t>
  </si>
  <si>
    <t>Trauma im Computerspiel : Mediale Repräsentationen mentaler Extremerfahrungen</t>
  </si>
  <si>
    <t>Game Studies</t>
  </si>
  <si>
    <t>Spies, Thomas</t>
  </si>
  <si>
    <t>https://ebookcentral.proquest.com/lib/istinye/detail.action?docID=7024783</t>
  </si>
  <si>
    <t>Für ein Europa der Übergänge : Interkulturalität und Mehrsprachigkeit in europäischen Kontexten</t>
  </si>
  <si>
    <t>Patrut, Iulia-Karin</t>
  </si>
  <si>
    <t>Afrika im deutschsprachigen Kommunikationsraum : Neue Perspektiven interkultureller Sprach- und Literaturforschung</t>
  </si>
  <si>
    <t>Heinz, Friederike</t>
  </si>
  <si>
    <t>Musikvermittlung lernen : Analysen und Empfehlungen zur Aus- und Weiterbildung von Musiker_innen</t>
  </si>
  <si>
    <t>Forum Musikvermittlung - Perspektiven aus Forschung und Praxis</t>
  </si>
  <si>
    <t>Petri-Preis, Axel</t>
  </si>
  <si>
    <t>https://ebookcentral.proquest.com/lib/istinye/detail.action?docID=7024787</t>
  </si>
  <si>
    <t>The Notion of »holy« in Ancient Armenian Texts from the Fifth Century CE : A Comparative Approach Using Digital Tools and Methods</t>
  </si>
  <si>
    <t>Jurczyk, Thomas</t>
  </si>
  <si>
    <t>https://ebookcentral.proquest.com/lib/istinye/detail.action?docID=7024789</t>
  </si>
  <si>
    <t>Patientenpolitiken : Zur Genealogie eines kollektiven Subjekts</t>
  </si>
  <si>
    <t>Gerhards, Helene</t>
  </si>
  <si>
    <t>https://ebookcentral.proquest.com/lib/istinye/detail.action?docID=7024794</t>
  </si>
  <si>
    <t>Die Entdeckung der Gestaltbarkeit : Gesellschaftstheorien bei Alexis de Tocqueville, Karl Marx und Max Weber</t>
  </si>
  <si>
    <t>Baumert, Felix</t>
  </si>
  <si>
    <t>https://ebookcentral.proquest.com/lib/istinye/detail.action?docID=7024798</t>
  </si>
  <si>
    <t>Now! Die Welt gemeinsam gestalten. Bildung neu denken : Das Morgenmachen-Lesebuch</t>
  </si>
  <si>
    <t>Weber, Angela</t>
  </si>
  <si>
    <t>Risikodemokratie : Chemnitz zwischen rechtsradikalem Brennpunkt und europäischer Kulturhauptstadt</t>
  </si>
  <si>
    <t>Brichzin, Jenni</t>
  </si>
  <si>
    <t>Public Space in Transition : Co-production and Co-management of Privately Owned Public Space in Seoul and Berlin</t>
  </si>
  <si>
    <t>Lee, Dahae</t>
  </si>
  <si>
    <t>https://ebookcentral.proquest.com/lib/istinye/detail.action?docID=7024805</t>
  </si>
  <si>
    <t>Grenzjustierungen - Bildungsbiografien Zugewanderter zwischen Qualifikation und Re-Qualifizierung</t>
  </si>
  <si>
    <t>Prekodravac, Milena</t>
  </si>
  <si>
    <t>https://ebookcentral.proquest.com/lib/istinye/detail.action?docID=7024808</t>
  </si>
  <si>
    <t>Die kurdische Frage in der Türkei : Über die gewaltsame Durchsetzung von Nationalstaatlichkeit</t>
  </si>
  <si>
    <t>Küpeli, Ismail</t>
  </si>
  <si>
    <t>https://ebookcentral.proquest.com/lib/istinye/detail.action?docID=7024814</t>
  </si>
  <si>
    <t>Über-Menschen : Philosophische Auseinandersetzung mit der Anthropologie des Transhumanismus</t>
  </si>
  <si>
    <t>Puzio, Anna</t>
  </si>
  <si>
    <t>https://ebookcentral.proquest.com/lib/istinye/detail.action?docID=7024817</t>
  </si>
  <si>
    <t>»Mehr Fortschritt wagen«? : Parteien, Personen, Milieus und Modernisierung: Regieren in Zeiten der Ampelkoalition</t>
  </si>
  <si>
    <t>Bergmann, Knut</t>
  </si>
  <si>
    <t>https://ebookcentral.proquest.com/lib/istinye/detail.action?docID=7024818</t>
  </si>
  <si>
    <t>Liberalismus neu denken : Freiheitliche Antworten auf die Herausforderungen unserer Zeit</t>
  </si>
  <si>
    <t>Fücks, Ralf</t>
  </si>
  <si>
    <t>Die Ampelkoalition : Wie wird aus unterschiedlichen Zielen ein gemeinsames Regierungsprogramm?</t>
  </si>
  <si>
    <t>Lehmann, Pola</t>
  </si>
  <si>
    <t>Widerstand als Selbstbehauptung : »Gefährdete« Jugendliche im Übergangs- und Berufsbildungssystem</t>
  </si>
  <si>
    <t>Preite, Luca</t>
  </si>
  <si>
    <t>https://ebookcentral.proquest.com/lib/istinye/detail.action?docID=7024824</t>
  </si>
  <si>
    <t>Politischer Rassismus in der post-homogenen Gesellschaft : Eine postkoloniale Kritik</t>
  </si>
  <si>
    <t>Laing, Lorenz Narku</t>
  </si>
  <si>
    <t>https://ebookcentral.proquest.com/lib/istinye/detail.action?docID=7024826</t>
  </si>
  <si>
    <t>Friedensgutachten 2022 : Friedensfähig in Kriegszeiten</t>
  </si>
  <si>
    <t>Deutschland und seine Flüchtlinge : Das Wechselbad der Diskurse im langen Sommer der Flucht 2015</t>
  </si>
  <si>
    <t>Becker, Uwe</t>
  </si>
  <si>
    <t>https://ebookcentral.proquest.com/lib/istinye/detail.action?docID=7024828</t>
  </si>
  <si>
    <t>Security in Computer and Information Sciences : Second International Symposium, EuroCybersec 2021, Nice, France, October 25-26, 2021, Revised Selected Papers</t>
  </si>
  <si>
    <t>Gelenbe, Erol</t>
  </si>
  <si>
    <t>A Study of Crisis</t>
  </si>
  <si>
    <t>Brecher, Michael</t>
  </si>
  <si>
    <t>Supercomputing Frontiers : 7th Asian Conference, SCFA 2022, Singapore, March 1-3, 2022, Proceedings</t>
  </si>
  <si>
    <t>Panda, Dhabaleswar K.</t>
  </si>
  <si>
    <t>Human-Nature Interactions : Exploring Nature's Values Across Landscapes</t>
  </si>
  <si>
    <t>Misiune, Ieva</t>
  </si>
  <si>
    <t>Der Beitrag des Design Thinking Zur Marktorientierten Unternehmensführung : Ein Mindsetorientierter Analyseansatz</t>
  </si>
  <si>
    <t>Schriftenreihe der HHL Leipzig Graduate School of Management Ser.</t>
  </si>
  <si>
    <t>Kiefer, Iphigenie Leandra</t>
  </si>
  <si>
    <t>https://ebookcentral.proquest.com/lib/istinye/detail.action?docID=7026771</t>
  </si>
  <si>
    <t>Innovative Tools and Methods Using BIM for an Efficient Renovation in Buildings</t>
  </si>
  <si>
    <t>Daniotti, Bruno</t>
  </si>
  <si>
    <t>Systems Mapping : How to Build and Use Causal Models of Systems</t>
  </si>
  <si>
    <t>Barbrook-Johnson, Pete</t>
  </si>
  <si>
    <t>Applying Reflective Equilibrium : Towards the Justification of a Precautionary Principle</t>
  </si>
  <si>
    <t>Logic, Argumentation and Reasoning Ser.</t>
  </si>
  <si>
    <t>Rechnitzer, Tanja</t>
  </si>
  <si>
    <t>BD143-237</t>
  </si>
  <si>
    <t>https://ebookcentral.proquest.com/lib/istinye/detail.action?docID=7027159</t>
  </si>
  <si>
    <t>Stem Cell Transplantations Between Siblings As Social Phenomena : The Child's Body and Family Decision-Making</t>
  </si>
  <si>
    <t>Philosophy and Medicine Ser.</t>
  </si>
  <si>
    <t>Schües, Christina</t>
  </si>
  <si>
    <t>Agriculture for Economic Development in Africa : Evidence from Ethiopia</t>
  </si>
  <si>
    <t>Rohne Till, Emelie</t>
  </si>
  <si>
    <t>https://ebookcentral.proquest.com/lib/istinye/detail.action?docID=7028985</t>
  </si>
  <si>
    <t>Kommunikation Von Aufsichtsratsvorsitzenden : Grundlagen - Strukturen - Ziele - Management</t>
  </si>
  <si>
    <t>Binder-Tietz, Sandra</t>
  </si>
  <si>
    <t>https://ebookcentral.proquest.com/lib/istinye/detail.action?docID=7028991</t>
  </si>
  <si>
    <t>How Data Quality Affects Our Understanding of the Earnings Distribution</t>
  </si>
  <si>
    <t>Daniels, Reza Che</t>
  </si>
  <si>
    <t>https://ebookcentral.proquest.com/lib/istinye/detail.action?docID=7028997</t>
  </si>
  <si>
    <t>Krisenmanagement Am Beispiel der Flüchtlingslage 2015/2016 : Akteure, Zusammenarbeit und der Umgang Mit Wissen</t>
  </si>
  <si>
    <t>Sicherheit - Interdisziplinäre Perspektiven Ser.</t>
  </si>
  <si>
    <t>Schütte, Patricia M.</t>
  </si>
  <si>
    <t>Pflege-Report 2022 : Spezielle Versorgungslagen in der Langzeitpflege</t>
  </si>
  <si>
    <t>The Enactment of Strategic Leadership : A Critical Perspective</t>
  </si>
  <si>
    <t>Tipurić, Darko</t>
  </si>
  <si>
    <t>https://ebookcentral.proquest.com/lib/istinye/detail.action?docID=7030719</t>
  </si>
  <si>
    <t>Migration in West Africa : IMISCOE Regional Reader</t>
  </si>
  <si>
    <t>Teye, Joseph Kofi</t>
  </si>
  <si>
    <t>https://ebookcentral.proquest.com/lib/istinye/detail.action?docID=7030726</t>
  </si>
  <si>
    <t>Abortion Care As Moral Work : Ethical Considerations of Maternal and Fetal Bodies</t>
  </si>
  <si>
    <t>Critical Issues in Health and Medicine Ser.</t>
  </si>
  <si>
    <t>Schoen, Johanna</t>
  </si>
  <si>
    <t>The Logical Writings of Karl Popper</t>
  </si>
  <si>
    <t>Trends in Logic Ser.</t>
  </si>
  <si>
    <t>Binder, David</t>
  </si>
  <si>
    <t>Cultura Literaria y Políticas de Mercado : Editoriales, Ferias y Festivales</t>
  </si>
  <si>
    <t>Gallego Cuiñas, Ana</t>
  </si>
  <si>
    <t>Gefährliche Forschung? : Eine Debatte über Gleichheit und Differenz in der Wissenschaft</t>
  </si>
  <si>
    <t>Glaube, Wissenschaft, Sprache : Eine Diachronische Studie Zur Protestantisch-Theologischen Fachsprache Im 20. Jahrhundert</t>
  </si>
  <si>
    <t>Deutsch Als Fremd- und Fachsprache Ser.</t>
  </si>
  <si>
    <t>Gerdes, Joachim</t>
  </si>
  <si>
    <t>Sprache(n) in Pädagogischen Settings</t>
  </si>
  <si>
    <t>Sprache Im Kontext / Language in Context Ser.</t>
  </si>
  <si>
    <t>Kainhofer, Judith</t>
  </si>
  <si>
    <t>Grundrechte : Klausur- und Examensfälle</t>
  </si>
  <si>
    <t>Acetylsalicylic Acid</t>
  </si>
  <si>
    <t>Schrör, Karsten</t>
  </si>
  <si>
    <t>Pharmacy</t>
  </si>
  <si>
    <t>Thinking Narratively : Between Novel-Essay and Narrative Essay</t>
  </si>
  <si>
    <t>Fusillo, Massimo</t>
  </si>
  <si>
    <t>Poéticas Espectatoriales en Hispanoamérica y Brasil (1800-1847) : Ilustración - Emancipación - Convivencias Excluyentes</t>
  </si>
  <si>
    <t>Fernández, Hans</t>
  </si>
  <si>
    <t>Argumentationen über Den Klimawandel in Schweizer Medien : Entwicklung Einer Sektoralen Argumentationstheorie und -Typologie Für Den Diskurs über Klimawandel Zwischen 2007 Und 2014</t>
  </si>
  <si>
    <t>Kammermann, Nadine</t>
  </si>
  <si>
    <t>Narratologie und Vormoderne Japanische Literatur : Theoretische Grundlagen, Forschungskritik und Sprachlich Bedingte Charakteristika Japanischer Erzähltexte des 10. Bis 14. Jahrhunderts</t>
  </si>
  <si>
    <t>Balmes, Sebastian</t>
  </si>
  <si>
    <t>Handlungskoordination in der Lernwelt Hochschule : Rahmenbedingungen Kompetenzorientierter Lehre</t>
  </si>
  <si>
    <t>https://ebookcentral.proquest.com/lib/istinye/detail.action?docID=7041587</t>
  </si>
  <si>
    <t>A Generalization of Bohr-Mollerup's Theorem for Higher Order Convex Functions</t>
  </si>
  <si>
    <t>Developments in Mathematics Ser.</t>
  </si>
  <si>
    <t>Marichal, Jean-Luc</t>
  </si>
  <si>
    <t>Novel Developments for Sustainable Hydropower</t>
  </si>
  <si>
    <t>Rutschmann, Peter</t>
  </si>
  <si>
    <t>Bioethics and the Holocaust : A Comprehensive Study in How the Holocaust Continues to Shape the Ethics of Health, Medicine and Human Rights</t>
  </si>
  <si>
    <t>The International Library of Bioethics Ser.</t>
  </si>
  <si>
    <t>Gallin, Stacy</t>
  </si>
  <si>
    <t>Transport Corridors in Africa</t>
  </si>
  <si>
    <t>Lamarque, Hugh</t>
  </si>
  <si>
    <t>The Institutional Compass: Method, Use and Scope</t>
  </si>
  <si>
    <t>Friend, Michèle Indira</t>
  </si>
  <si>
    <t>https://ebookcentral.proquest.com/lib/istinye/detail.action?docID=7042208</t>
  </si>
  <si>
    <t>European Parliament's Political Groups in Turbulent Times</t>
  </si>
  <si>
    <t>Ahrens, Petra</t>
  </si>
  <si>
    <t>Emerging Technologies : Value Creation for Sustainable Development</t>
  </si>
  <si>
    <t>Küfeoğlu, Sinan</t>
  </si>
  <si>
    <t>https://ebookcentral.proquest.com/lib/istinye/detail.action?docID=7042562</t>
  </si>
  <si>
    <t>Migration Research in a Digitized World : Using Innovative Technology to Tackle Methodological Challenges</t>
  </si>
  <si>
    <t>Pötzschke, Steffen</t>
  </si>
  <si>
    <t>How and Why to Regulate False Political Advertising in Australia</t>
  </si>
  <si>
    <t>Hill, Lisa</t>
  </si>
  <si>
    <t>Proceeding of 2021 International Conference on Wireless Communications, Networking and Applications</t>
  </si>
  <si>
    <t>Lecture Notes in Electrical Engineering Ser.</t>
  </si>
  <si>
    <t>Qian, Zhihong</t>
  </si>
  <si>
    <t>Home Truths? : Video Production and Domestic Life</t>
  </si>
  <si>
    <t>Buckingham, David</t>
  </si>
  <si>
    <t>The American Literature Scholar in the Digital Age</t>
  </si>
  <si>
    <t>Earhart, Amy E.</t>
  </si>
  <si>
    <t>Deployment and Operation of Complex Software in Heterogeneous Execution Environments : The SODALITE Approach</t>
  </si>
  <si>
    <t>Integrating Data Science and Earth Science : Challenges and Solutions</t>
  </si>
  <si>
    <t>Bouwer, Laurens M.</t>
  </si>
  <si>
    <t>Kantianism for Animals : A Radical Kantian Animal Ethic</t>
  </si>
  <si>
    <t>The Palgrave Macmillan Animal Ethics Ser.</t>
  </si>
  <si>
    <t>Müller, Nico Dario</t>
  </si>
  <si>
    <t>Energy Poverty, Practice, and Policy</t>
  </si>
  <si>
    <t>Progressive Energy Policy Ser.</t>
  </si>
  <si>
    <t>Butler, Catherine</t>
  </si>
  <si>
    <t>Piezoelectric Electromechanical Transducers for Underwater Sound, Part III and IV</t>
  </si>
  <si>
    <t>Engineering: Manufacturing</t>
  </si>
  <si>
    <t>Empire and Politics in the Eastern and Western Civilizations : Searching for a 'Respublica Romanosinica'</t>
  </si>
  <si>
    <t>300 Jahre Robinson Crusoe : Ein Weltbestseller und Seine Rezeptionsgeschichte</t>
  </si>
  <si>
    <t>Haug, Christine</t>
  </si>
  <si>
    <t>Kellers Erzählen : Strukturen - Funktionen - Reflexionen</t>
  </si>
  <si>
    <t>Theisohn, Philipp</t>
  </si>
  <si>
    <t>https://ebookcentral.proquest.com/lib/istinye/detail.action?docID=7045937</t>
  </si>
  <si>
    <t>Nationalism and Populism : Expressions of Fear or Political Strategies?</t>
  </si>
  <si>
    <t>Schapkow, Carsten</t>
  </si>
  <si>
    <t>Reimagining Sustainable Organization : Perspectives on Arts, Design, Leadership, Knowledge and Project Management</t>
  </si>
  <si>
    <t>Jevnaker, Birgit Helene</t>
  </si>
  <si>
    <t>Beyond Global Food Supply Chains : Crisis, Disruption, Regeneration</t>
  </si>
  <si>
    <t>Stead, Victoria</t>
  </si>
  <si>
    <t>Notions of Temporalities in Artistic Practice</t>
  </si>
  <si>
    <t>Batista, Anamarija</t>
  </si>
  <si>
    <t>https://ebookcentral.proquest.com/lib/istinye/detail.action?docID=7048999</t>
  </si>
  <si>
    <t>A Short Media History of English Literature</t>
  </si>
  <si>
    <t>https://ebookcentral.proquest.com/lib/istinye/detail.action?docID=7049009</t>
  </si>
  <si>
    <t>Überforderungseinwände in der Ethik</t>
  </si>
  <si>
    <t>Naegeli, Lukas</t>
  </si>
  <si>
    <t>https://ebookcentral.proquest.com/lib/istinye/detail.action?docID=7049014</t>
  </si>
  <si>
    <t>Obstructions in Security-Aware Business Processes : Analysis, Detection, and Handling</t>
  </si>
  <si>
    <t>Holderer, Julius</t>
  </si>
  <si>
    <t>https://ebookcentral.proquest.com/lib/istinye/detail.action?docID=7049442</t>
  </si>
  <si>
    <t>Global Perspectives on Educational Innovations for Emergency Situations</t>
  </si>
  <si>
    <t>Educational Communications and Technology: Issues and Innovations Ser.</t>
  </si>
  <si>
    <t>Dennen, Vanessa</t>
  </si>
  <si>
    <t>Digital Interaction and Machine Intelligence : Proceedings of MIDI'2021 - 9th Machine Intelligence and Digital Interaction Conference, December 9-10, 2021, Warsaw, Poland</t>
  </si>
  <si>
    <t>Biele, Cezary</t>
  </si>
  <si>
    <t>Innopolis University - from Zero to Hero : Ten Years of Challenges and Victories</t>
  </si>
  <si>
    <t>Mazzara, Manuel</t>
  </si>
  <si>
    <t>Science Et émotion : Le Rôle de l'émotion Dans la Pratique de la Recherche</t>
  </si>
  <si>
    <t>Petit, Emmanuel</t>
  </si>
  <si>
    <t>https://ebookcentral.proquest.com/lib/istinye/detail.action?docID=7052827</t>
  </si>
  <si>
    <t>Case Studies in Biocultural Diversity from Southeast Asia : Traditional Ecological Calendars, Folk Medicine and Folk Names</t>
  </si>
  <si>
    <t>Asia in Transition Ser.</t>
  </si>
  <si>
    <t>Franco, F. Merlin</t>
  </si>
  <si>
    <t>Evidence Based Global Health Manual for Preterm Birth Risk Assessment</t>
  </si>
  <si>
    <t>Anumba, Dilly Oc</t>
  </si>
  <si>
    <t>Sustainable Food Systems for Food Security : Need for Combination of Local and Global Approaches</t>
  </si>
  <si>
    <t>Thomas, Alban</t>
  </si>
  <si>
    <t>La Fabrique de L'agronomie : De 1945 à Nos Jours</t>
  </si>
  <si>
    <t>Boiffin, Jean</t>
  </si>
  <si>
    <t>Forêts et Changement Climatique : Comprendre et Modéliser le Fonctionnement Hydrique des Arbres</t>
  </si>
  <si>
    <t>Courbet, François</t>
  </si>
  <si>
    <t>Infrastructures de Données Spatiales : Évaluations économiques : Concepts, Méthodes et Retours D'expérience</t>
  </si>
  <si>
    <t>Rey-Valette, Hélène</t>
  </si>
  <si>
    <t>Développer des Projets d'agriculture Urbaine Avec la Méthode Meth-Expau®</t>
  </si>
  <si>
    <t>Bertrand, Lisa</t>
  </si>
  <si>
    <t>Performing Modernism : A Jewish Avant-Garde in Bucharest</t>
  </si>
  <si>
    <t>Chiriac, Alexandra</t>
  </si>
  <si>
    <t>https://ebookcentral.proquest.com/lib/istinye/detail.action?docID=7054777</t>
  </si>
  <si>
    <t>High-Quality Outdoor Learning : Evidence-Based Education Outside the Classroom for Children, Teachers and Society</t>
  </si>
  <si>
    <t>Jucker, Rolf</t>
  </si>
  <si>
    <t>Duale Schriftnutzung: Brailleschrift und Schwarzschrift : Eine Sequenzielle, Explanative Mixed-Methods Studie</t>
  </si>
  <si>
    <t>Winter, Fabian</t>
  </si>
  <si>
    <t>https://ebookcentral.proquest.com/lib/istinye/detail.action?docID=7055680</t>
  </si>
  <si>
    <t>Die Vielen Gestalten des Thomas Hobbes in der Deutung Von Carl Schmitt und Leo Strauss</t>
  </si>
  <si>
    <t>Staat - Souveränität - Nation Ser.</t>
  </si>
  <si>
    <t>Motuzaite, Ieva</t>
  </si>
  <si>
    <t>JC11-607</t>
  </si>
  <si>
    <t>https://ebookcentral.proquest.com/lib/istinye/detail.action?docID=7055683</t>
  </si>
  <si>
    <t>Wertorientierungen und Wahlverhalten : Effekte Gesellschaftlicher Wertorientierungen Bei Den Bundestagswahlen 2009 - 2017</t>
  </si>
  <si>
    <t>Wahlen und Politische Einstellungen Ser.</t>
  </si>
  <si>
    <t>Wurthmann, L. Constantin</t>
  </si>
  <si>
    <t>https://ebookcentral.proquest.com/lib/istinye/detail.action?docID=7055689</t>
  </si>
  <si>
    <t>Automated Reasoning : 11th International Joint Conference, IJCAR 2022, Haifa, Israel, August 8-10, 2022, Proceedings</t>
  </si>
  <si>
    <t>Blanchette, Jasmin</t>
  </si>
  <si>
    <t>Aktives Altern Im Digitalen Zeitalter : Informations-Kommunikations-Technologie Verstehen, Nutzen und Integrieren</t>
  </si>
  <si>
    <t>Ring-Dimitriou, Susanne</t>
  </si>
  <si>
    <t>Simplicial and Dendroidal Homotopy Theory</t>
  </si>
  <si>
    <t>Ergebnisse der Mathematik und Ihrer Grenzgebiete. 3. Folge / a Series of Modern Surveys in Mathematics Ser.</t>
  </si>
  <si>
    <t>Heuts, Gijs</t>
  </si>
  <si>
    <t>Computer Aided Verification : 34th International Conference, CAV 2022, Haifa, Israel, August 7-10, 2022, Proceedings, Part II</t>
  </si>
  <si>
    <t>Shoham, Sharon</t>
  </si>
  <si>
    <t>Entwicklung Von Methoden Zur Abstrakten Modellierung Von Automotive Systems-On-Chips</t>
  </si>
  <si>
    <t>Kirchner, Aljoscha</t>
  </si>
  <si>
    <t>Computer Aided Verification : 34th International Conference, CAV 2022, Haifa, Israel, August 7-10, 2022, Proceedings, Part I</t>
  </si>
  <si>
    <t>Angewandte Linguistik Für Sprachberufe</t>
  </si>
  <si>
    <t>ZHAW School of Applied Linguistics, Zhaw School</t>
  </si>
  <si>
    <t>Commentary on Aristotle, Nicomachean Ethics : Critical Edition with Introduction and Translation</t>
  </si>
  <si>
    <t>Commentaria in Aristotelem Graeca et Byzantina - Series Academica Ser.</t>
  </si>
  <si>
    <t>Pachymeres, Georgios</t>
  </si>
  <si>
    <t>Instrumenta Domestica Aus Pompeji und Ihr Design : Eine Untersuchung Zur Decorativen Gestaltung der Kleinfunde Aus Insula I 10</t>
  </si>
  <si>
    <t>Perspectives on the Self : Reflexivity in the Humanities</t>
  </si>
  <si>
    <t>Kolman, Vojtěch</t>
  </si>
  <si>
    <t>Jewish Life and Culture in Germany After 1945 : Sacred Spaces, Objects and Musical Traditions</t>
  </si>
  <si>
    <t>Keßler, Katrin</t>
  </si>
  <si>
    <t>Schönheitsdiskurse in der Literatur des Mittelalters : Die Propädeutik des Fleisches Zwischen ,aisthesis' Und Ästhetik</t>
  </si>
  <si>
    <t>Scheidel, Fabian David</t>
  </si>
  <si>
    <t>https://ebookcentral.proquest.com/lib/istinye/detail.action?docID=7070277</t>
  </si>
  <si>
    <t>The Expression of Collectivity in Romance Languages : An Empirical Analysis of Nominal Aspectuality with Focus on French</t>
  </si>
  <si>
    <t>Kleineberg, Désirée</t>
  </si>
  <si>
    <t>445.54</t>
  </si>
  <si>
    <t>https://ebookcentral.proquest.com/lib/istinye/detail.action?docID=7070278</t>
  </si>
  <si>
    <t>Navigating Copyright for Libraries : Purpose and Scope</t>
  </si>
  <si>
    <t>Coates, Jessica</t>
  </si>
  <si>
    <t>Konzepte des Jüdischen: Ausstellen, Aufklären, Erinnern : Jüdische Museen und Vermittlungsprojekte Im Alemannischen Sprachraum</t>
  </si>
  <si>
    <t>Pisetzki, Darja Alexandra</t>
  </si>
  <si>
    <t>943/.004924074</t>
  </si>
  <si>
    <t>https://ebookcentral.proquest.com/lib/istinye/detail.action?docID=7070285</t>
  </si>
  <si>
    <t>When Tibetan Meditation Goes Global : A Study of the Adaptation of Bon Religious Practices in the West</t>
  </si>
  <si>
    <t>Welten Süd- und Zentralasiens / Worlds of South and Inner Asia / Mondes de l'Asie du Sud et de l'Asie Centrale Ser.</t>
  </si>
  <si>
    <t>Arizaga, Mara Lisa</t>
  </si>
  <si>
    <t>299.54</t>
  </si>
  <si>
    <t>https://ebookcentral.proquest.com/lib/istinye/detail.action?docID=7070288</t>
  </si>
  <si>
    <t>Lernwelt Hochschule 2030 : Konzepte und Strategien Für eine Zukünftige Entwicklung</t>
  </si>
  <si>
    <t>Foundations of a Sociology of Canon Law</t>
  </si>
  <si>
    <t>Hahn, Judith</t>
  </si>
  <si>
    <t>K366-380.22</t>
  </si>
  <si>
    <t>https://ebookcentral.proquest.com/lib/istinye/detail.action?docID=7070988</t>
  </si>
  <si>
    <t>Model and Mathematics: from the 19th to the 21st Century</t>
  </si>
  <si>
    <t>Trends in the History of Science Ser.</t>
  </si>
  <si>
    <t>Friedman, Michael</t>
  </si>
  <si>
    <t>Recognizing Green Skills Through Non-Formal Learning : A Comparative Study in Asia</t>
  </si>
  <si>
    <t>Education for Sustainability Ser.</t>
  </si>
  <si>
    <t>Pavlova, Margarita</t>
  </si>
  <si>
    <t>Achieving the Paris Climate Agreement Goals : Part 2: Science-Based Target Setting for the Finance Industry -- Net-Zero Sectoral 1. 5˚C Pathways for Real Economy Sectors</t>
  </si>
  <si>
    <t>Teske, Sven</t>
  </si>
  <si>
    <t>The Politics of Bad Governance in Contemporary Russia</t>
  </si>
  <si>
    <t>Gel'man, Vladimir</t>
  </si>
  <si>
    <t>https://ebookcentral.proquest.com/lib/istinye/detail.action?docID=7072640</t>
  </si>
  <si>
    <t>Méliès Boots : Footwear and Film Manufacturing in Second Industrial Revolution Paris</t>
  </si>
  <si>
    <t>Solomon, Matthew</t>
  </si>
  <si>
    <t>https://ebookcentral.proquest.com/lib/istinye/detail.action?docID=7072641</t>
  </si>
  <si>
    <t>While Waiting for Rain : Community, Economy, and Law in a Time of Change</t>
  </si>
  <si>
    <t>Schlegel, John Henry</t>
  </si>
  <si>
    <t>https://ebookcentral.proquest.com/lib/istinye/detail.action?docID=7072642</t>
  </si>
  <si>
    <t>Critical Points for the Organisation of Test Performance Studies in Microbiology : Plant Pathogens As a Case Study</t>
  </si>
  <si>
    <t>Plant Pathology in the 21st Century Ser.</t>
  </si>
  <si>
    <t>Vučurović, Ana</t>
  </si>
  <si>
    <t>Contingent Encounters : Improvisation in Music and Everyday Life</t>
  </si>
  <si>
    <t>DiPiero, Dan</t>
  </si>
  <si>
    <t>https://ebookcentral.proquest.com/lib/istinye/detail.action?docID=7072787</t>
  </si>
  <si>
    <t>Teaching, Research and Academic Careers : An Analysis of the Interrelations and Impacts</t>
  </si>
  <si>
    <t>Checchi, Daniele</t>
  </si>
  <si>
    <t>Die Trade-Offs der Nachhaltigkeit : Eine Forschungsreise Zur Dreiwertigen Logik und Zu Science Constellations</t>
  </si>
  <si>
    <t>Groschupp, Steffen</t>
  </si>
  <si>
    <t>HC79.T4</t>
  </si>
  <si>
    <t>https://ebookcentral.proquest.com/lib/istinye/detail.action?docID=7073231</t>
  </si>
  <si>
    <t>Digital Health Care in Taiwan : Innovations of National Health Insurance</t>
  </si>
  <si>
    <t>Lee, Po-Chang</t>
  </si>
  <si>
    <t>Verwaltung Im Digitalen Zeitalter : Die Rolle Digitaler Kompetenzen in der Personalakquise des Höheren Dienstes</t>
  </si>
  <si>
    <t>Catakli, Derya</t>
  </si>
  <si>
    <t>https://ebookcentral.proquest.com/lib/istinye/detail.action?docID=7073378</t>
  </si>
  <si>
    <t>Moving Across Differences : How Students Engage LGBTQ+ Themes in a High School Literature Class</t>
  </si>
  <si>
    <t>Blackburn, Mollie V.</t>
  </si>
  <si>
    <t>https://ebookcentral.proquest.com/lib/istinye/detail.action?docID=7074114</t>
  </si>
  <si>
    <t>Baltic Hospitality from the Middle Ages to the Twentieth Century : Receiving Strangers in Northeastern Europe</t>
  </si>
  <si>
    <t>Palgrave Studies in Migration History Ser.</t>
  </si>
  <si>
    <t>Nauman, Sari</t>
  </si>
  <si>
    <t>Migration in South America : IMISCOE Regional Reader</t>
  </si>
  <si>
    <t>Herrera, Gioconda</t>
  </si>
  <si>
    <t>Esperanto - Lingua Franca and Language Community</t>
  </si>
  <si>
    <t>Studies in World Language Problems Ser.</t>
  </si>
  <si>
    <t>Fiedler, Sabine</t>
  </si>
  <si>
    <t>Hot-Wall MOCVD of N-polar Group-III Nitride Materials and High Electron Mobility Transistor Structures</t>
  </si>
  <si>
    <t>Zhang, Hengfang</t>
  </si>
  <si>
    <t>https://ebookcentral.proquest.com/lib/istinye/detail.action?docID=7075905</t>
  </si>
  <si>
    <t>Forest Bioeconomy and Climate Change</t>
  </si>
  <si>
    <t>Hetemäki, Lauri</t>
  </si>
  <si>
    <t>Planning Cities in Africa : Current Issues and Future Prospects of Urban Governance and Planning</t>
  </si>
  <si>
    <t>Alem Gebregiorgis, Genet</t>
  </si>
  <si>
    <t>Consumer Decision Neuroscience : Ausgewählte Beiträge</t>
  </si>
  <si>
    <t>Gier, Nadine R.</t>
  </si>
  <si>
    <t>HF5410-5417.5</t>
  </si>
  <si>
    <t>https://ebookcentral.proquest.com/lib/istinye/detail.action?docID=7076046</t>
  </si>
  <si>
    <t>Urinary Stents : Current State and Future Perspectives</t>
  </si>
  <si>
    <t>Soria, Federico</t>
  </si>
  <si>
    <t>Creating Chaos Online : Disinformation and Subverted Post-Publics</t>
  </si>
  <si>
    <t>Zelenkauskaite, Asta</t>
  </si>
  <si>
    <t>https://ebookcentral.proquest.com/lib/istinye/detail.action?docID=7076090</t>
  </si>
  <si>
    <t>Manuscript and Print in the Islamic Tradition</t>
  </si>
  <si>
    <t>Reese, Scott</t>
  </si>
  <si>
    <t>https://ebookcentral.proquest.com/lib/istinye/detail.action?docID=7076296</t>
  </si>
  <si>
    <t>International Handbook of Practical Theology</t>
  </si>
  <si>
    <t>Weyel, Birgit</t>
  </si>
  <si>
    <t>Gender in der Deutschsprachigen Kinder- und Jugendliteratur : Vom Mittelalter Bis Zur Gegenwart</t>
  </si>
  <si>
    <t>Willms, Weertje</t>
  </si>
  <si>
    <t>https://ebookcentral.proquest.com/lib/istinye/detail.action?docID=7076300</t>
  </si>
  <si>
    <t>On the Way to The (un)Known ? : The Ottoman Empire in Travelogues (C. 1450-1900)</t>
  </si>
  <si>
    <t>Studies on Modern Orient Ser.</t>
  </si>
  <si>
    <t>Gruber, Doris</t>
  </si>
  <si>
    <t>Primitive Thinking : Figuring Alterity in German Modernity</t>
  </si>
  <si>
    <t>Gess, Nicola</t>
  </si>
  <si>
    <t>Unruly Narrative : Private Property, Self-Making, and Toni Morrison's a Mercy</t>
  </si>
  <si>
    <t>Spatzek, Samira</t>
  </si>
  <si>
    <t>813.54</t>
  </si>
  <si>
    <t>https://ebookcentral.proquest.com/lib/istinye/detail.action?docID=7076311</t>
  </si>
  <si>
    <t>Photographing Central Asia : From the Periphery of the Russian Empire to Global Presence</t>
  </si>
  <si>
    <t>Gorshenina, Svetlana</t>
  </si>
  <si>
    <t>Staatsorganisationsrecht : Klausur- und Examenswissen</t>
  </si>
  <si>
    <t>Chiofalo, Valentina</t>
  </si>
  <si>
    <t>Juden und Ihre Nachbarn : Die Wissenschaft des Judentums Im Kontext Von Diaspora und Migration</t>
  </si>
  <si>
    <t>Schoor, Kerstin</t>
  </si>
  <si>
    <t>Culture As Soft Power : Bridging Cultural Relations, Intellectual Cooperation, and Cultural Diplomacy</t>
  </si>
  <si>
    <t>Carbó-Catalan, Elisabet</t>
  </si>
  <si>
    <t>Digital History : Konzepte, Methoden und Kritiken Digitaler Geschichtswissenschaft</t>
  </si>
  <si>
    <t>Döring, Karoline Dominika</t>
  </si>
  <si>
    <t>On Electrified Fluid Power Systems in Mobile Machinery</t>
  </si>
  <si>
    <t>Kärnell, Samuel</t>
  </si>
  <si>
    <t>https://ebookcentral.proquest.com/lib/istinye/detail.action?docID=7076547</t>
  </si>
  <si>
    <t>Moraliska Illusioner</t>
  </si>
  <si>
    <t>Hansson, Kajsa</t>
  </si>
  <si>
    <t>https://ebookcentral.proquest.com/lib/istinye/detail.action?docID=7076549</t>
  </si>
  <si>
    <t>On Machine Learning-Based Control for Energy Management in Construction Machines</t>
  </si>
  <si>
    <t>Raduenz, Henrique</t>
  </si>
  <si>
    <t>https://ebookcentral.proquest.com/lib/istinye/detail.action?docID=7076551</t>
  </si>
  <si>
    <t>Does God Intend That Sin Occur?</t>
  </si>
  <si>
    <t>Hart, Matthew J.</t>
  </si>
  <si>
    <t>Der Staat Als ,Guter Auftraggeber'? Öffentliche Auftragsvergabe Zwischen Vermarktlichung und Sozialpolitisierung</t>
  </si>
  <si>
    <t>Jaehrling, Karen</t>
  </si>
  <si>
    <t>Psychology, Learning, Technology : First International Conference, PLT 2022, Foggia, Italy, January 19-21, 2022, Revised Selected Papers</t>
  </si>
  <si>
    <t>Limone, Pierpaolo</t>
  </si>
  <si>
    <t>Youth Suicide Prevention and Intervention : Best Practices and Policy Implications</t>
  </si>
  <si>
    <t>Advances in Child and Family Policy and Practice Ser.</t>
  </si>
  <si>
    <t>Ackerman, John P.</t>
  </si>
  <si>
    <t>Die Individuelle Mathematische Kreativität Von Schulkindern : Theoretische Grundlegung und Empirische Befunde Zur Kreativität Von Erstklässler*innen</t>
  </si>
  <si>
    <t>Bruhn, Svenja</t>
  </si>
  <si>
    <t>https://ebookcentral.proquest.com/lib/istinye/detail.action?docID=7077634</t>
  </si>
  <si>
    <t>Migration and Domestic Work : IMISCOE Short Reader</t>
  </si>
  <si>
    <t>Marchetti, Sabrina</t>
  </si>
  <si>
    <t>https://ebookcentral.proquest.com/lib/istinye/detail.action?docID=7077649</t>
  </si>
  <si>
    <t>Analysis of Reaction-Diffusion Models with the Taxis Mechanism</t>
  </si>
  <si>
    <t>Ke, Yuanyuan</t>
  </si>
  <si>
    <t>Kosten der Hubschraubergestützten Notfallversorgung : Innovationsbasierte Szenarioanalyse und Empfehlungen Zur Gestaltung Von Luftrettungssystemen</t>
  </si>
  <si>
    <t>Gesundheitsmanagement und Gesundheitsökonomik Ser.</t>
  </si>
  <si>
    <t>Röper, Johann W. A.</t>
  </si>
  <si>
    <t>Past, Present and Future of a Habitable Earth : The Development Strategy of Earth Science 2021 To 2030</t>
  </si>
  <si>
    <t>Res. Group Dev Strategy of Earth Science</t>
  </si>
  <si>
    <t>Moralische Dimensionen der Verletzlichkeit des Menschen : Interdisziplinäre Perspektiven Auf Einen Anthropologischen Grundbegriff und Seine Relevanz Für Die Medizinethik</t>
  </si>
  <si>
    <t>Coors, Michael</t>
  </si>
  <si>
    <t>https://ebookcentral.proquest.com/lib/istinye/detail.action?docID=7078129</t>
  </si>
  <si>
    <t>Contributions to Improving Feedback and Trust in Automated Testing and Continuous Integration and Delivery</t>
  </si>
  <si>
    <t>Ahmad, Azeem</t>
  </si>
  <si>
    <t>https://ebookcentral.proquest.com/lib/istinye/detail.action?docID=7078255</t>
  </si>
  <si>
    <t>Prediktionsmetoder För Högdimensionella Data Med Censurerade Kovariater</t>
  </si>
  <si>
    <t>Svahn, Caroline</t>
  </si>
  <si>
    <t>https://ebookcentral.proquest.com/lib/istinye/detail.action?docID=7078256</t>
  </si>
  <si>
    <t>Rethinking Secular Time in Victorian England</t>
  </si>
  <si>
    <t>Histories of the Sacred and Secular, 1700-2000 Ser.</t>
  </si>
  <si>
    <t>Fisher-Høyrem, Stefan</t>
  </si>
  <si>
    <t>261.56</t>
  </si>
  <si>
    <t>https://ebookcentral.proquest.com/lib/istinye/detail.action?docID=7078310</t>
  </si>
  <si>
    <t>Droplet Dynamics under Extreme Ambient Conditions</t>
  </si>
  <si>
    <t>Fluid Mechanics and Its Applications Ser.</t>
  </si>
  <si>
    <t>Schulte, Kathrin</t>
  </si>
  <si>
    <t>The Pilgrim's Guide to the Workplace</t>
  </si>
  <si>
    <t>Chevez, Agustin</t>
  </si>
  <si>
    <t>https://ebookcentral.proquest.com/lib/istinye/detail.action?docID=7079584</t>
  </si>
  <si>
    <t>Nontoxic: Masculinity, Allyship, and Feminist Philosophy</t>
  </si>
  <si>
    <t>Almassi, Ben</t>
  </si>
  <si>
    <t>H61.15</t>
  </si>
  <si>
    <t>305.31</t>
  </si>
  <si>
    <t>https://ebookcentral.proquest.com/lib/istinye/detail.action?docID=7079588</t>
  </si>
  <si>
    <t>Corporate Diplomacy: How Multinational Corporations Gain Organizational Legitimacy : A Neo-Institutional Public Relations Perspective</t>
  </si>
  <si>
    <t>Organisationskommunikation Ser.</t>
  </si>
  <si>
    <t>Marschlich, Sarah</t>
  </si>
  <si>
    <t>HD59-59.6</t>
  </si>
  <si>
    <t>https://ebookcentral.proquest.com/lib/istinye/detail.action?docID=7079591</t>
  </si>
  <si>
    <t>Managing Great Power Politics : ASEAN, Institutional Strategy, and the South China Sea</t>
  </si>
  <si>
    <t>Global Political Transitions Ser.</t>
  </si>
  <si>
    <t>Koga, Kei</t>
  </si>
  <si>
    <t>JF197</t>
  </si>
  <si>
    <t>https://ebookcentral.proquest.com/lib/istinye/detail.action?docID=7079600</t>
  </si>
  <si>
    <t>Axial Spondyloarthritis: Patient-Reported Impact in Europe</t>
  </si>
  <si>
    <t>Garrido-Cumbrera, Marco</t>
  </si>
  <si>
    <t>Higher Degree by Research : Factors for Indigenous Student Success</t>
  </si>
  <si>
    <t>Anderson, Peter</t>
  </si>
  <si>
    <t>Old Ways for New Days : Indigenous Survival and Agency in Climate Changed Times</t>
  </si>
  <si>
    <t>Nursey-Bray, Melissa</t>
  </si>
  <si>
    <t>Fertility Transition in the Developing World</t>
  </si>
  <si>
    <t>Bongaarts, John</t>
  </si>
  <si>
    <t>Times of Insight: Conscience, Corporations, and the Common Good</t>
  </si>
  <si>
    <t>Issues in Business Ethics Ser.</t>
  </si>
  <si>
    <t>Goodpaster, Kenneth E.</t>
  </si>
  <si>
    <t>https://ebookcentral.proquest.com/lib/istinye/detail.action?docID=7080146</t>
  </si>
  <si>
    <t>Electronic Voting : 7th International Joint Conference, e-Vote-ID 2022, Bregenz, Austria, October 4-7, 2022, Proceedings</t>
  </si>
  <si>
    <t>Reflective Structural Colors and Their Actuation Using Electroactive Conducting Polymers</t>
  </si>
  <si>
    <t>Rossi, Stefano</t>
  </si>
  <si>
    <t>https://ebookcentral.proquest.com/lib/istinye/detail.action?docID=7080425</t>
  </si>
  <si>
    <t>Kinetic Monte Carlo Modelling of Organic Photovoltaic Devices</t>
  </si>
  <si>
    <t>Upreti, Tanvi</t>
  </si>
  <si>
    <t>https://ebookcentral.proquest.com/lib/istinye/detail.action?docID=7080426</t>
  </si>
  <si>
    <t>Making Sense of Immigrant Work Integration : An Organizing Framework</t>
  </si>
  <si>
    <t>International Marketing and Management Research Ser.</t>
  </si>
  <si>
    <t>Nardon, Luciara</t>
  </si>
  <si>
    <t>Constitutional Change in the European Union : Towards a Federal Europe</t>
  </si>
  <si>
    <t>Duff, Andrew</t>
  </si>
  <si>
    <t>An Introduction to the Mechanics of Incompressible Fluids</t>
  </si>
  <si>
    <t>Deville, Michel O.</t>
  </si>
  <si>
    <t>Mathematical Surprises</t>
  </si>
  <si>
    <t>Ben-Ari, Mordechai</t>
  </si>
  <si>
    <t>https://ebookcentral.proquest.com/lib/istinye/detail.action?docID=7081892</t>
  </si>
  <si>
    <t>Data Spaces : Design, Deployment and Future Directions</t>
  </si>
  <si>
    <t>Introduction to Development Engineering : A Framework with Applications from the Field</t>
  </si>
  <si>
    <t>Madon, Temina</t>
  </si>
  <si>
    <t>A Guide to Additive Manufacturing</t>
  </si>
  <si>
    <t>Springer Tracts in Additive Manufacturing Ser.</t>
  </si>
  <si>
    <t>Godec, Damir</t>
  </si>
  <si>
    <t>The Ethical Spirit of EU Values : Status Quo of the Union of Values and Future Direction of Travel</t>
  </si>
  <si>
    <t>Frischhut, Markus</t>
  </si>
  <si>
    <t>KJE901-9796</t>
  </si>
  <si>
    <t>https://ebookcentral.proquest.com/lib/istinye/detail.action?docID=7084979</t>
  </si>
  <si>
    <t>Informal Livelihoods and Governance in South Africa : The Hustle</t>
  </si>
  <si>
    <t>Jinnah, Zaheera</t>
  </si>
  <si>
    <t>JQ1870-3981</t>
  </si>
  <si>
    <t>https://ebookcentral.proquest.com/lib/istinye/detail.action?docID=7084980</t>
  </si>
  <si>
    <t>Values for a Post-Pandemic Future</t>
  </si>
  <si>
    <t>Dennis, Matthew J.</t>
  </si>
  <si>
    <t>Doing Transitions in the Life Course : Processes and Practices</t>
  </si>
  <si>
    <t>Stauber, Barbara</t>
  </si>
  <si>
    <t>Towards a New Enlightenment - The Case for Future-Oriented Humanities</t>
  </si>
  <si>
    <t>THE NEW INSTITUTE.Interventions</t>
  </si>
  <si>
    <t>Gabriel, Markus</t>
  </si>
  <si>
    <t>Novel Foods and Edible Insects in the European Union : An Interdisciplinary Analysis</t>
  </si>
  <si>
    <t>Scaffardi, Lucia</t>
  </si>
  <si>
    <t>Probiotics and Prebiotics in Extremely Preterm Infants</t>
  </si>
  <si>
    <t>Wejryd, Erik</t>
  </si>
  <si>
    <t>https://ebookcentral.proquest.com/lib/istinye/detail.action?docID=7100628</t>
  </si>
  <si>
    <t>Cattle Shipments and Disease Spread Modeling</t>
  </si>
  <si>
    <t>Brommesson, Peter</t>
  </si>
  <si>
    <t>https://ebookcentral.proquest.com/lib/istinye/detail.action?docID=7100629</t>
  </si>
  <si>
    <t>Untersuchungen zum deutschen Vertriebenen- und Flüchtlingsproblem. : Zweite Abteilung: Einzeldarstellungen. II: Albrecht, Gerhard unter Mitarbeit von H.-W. Behnke - R. Burchard: Die wirtschaftliche Eingliederung der Heimatvertriebenen in Hessen.</t>
  </si>
  <si>
    <t>Duncker &amp; Humblot</t>
  </si>
  <si>
    <t>Schriften des Vereins für Socialpolitik</t>
  </si>
  <si>
    <t>Pfister, Bernhard</t>
  </si>
  <si>
    <t>Untersuchungen zum deutschen Vertriebenen- und Flüchtlingsproblem. : Erste Abteilung: Grundfragen. I: Arndt, Helmut: Die volkswirtschaftliche Eingliederung eines Bevölkerungszustromes. Wirtschaftstheoretische Einführung in das Vertriebenen- und Flüchtlingsproblem.</t>
  </si>
  <si>
    <t>Beiträge zur Produktions- und Wachstumstheorie.</t>
  </si>
  <si>
    <t>Krelle, Wilhelm</t>
  </si>
  <si>
    <t>https://ebookcentral.proquest.com/lib/istinye/detail.action?docID=7100832</t>
  </si>
  <si>
    <t>Beiträge zur Theorie der öffentlichen Ausgaben.</t>
  </si>
  <si>
    <t>Timm, Herbert</t>
  </si>
  <si>
    <t>Beiträge zur Theorie der Produktion und der Einkommensverteilung.</t>
  </si>
  <si>
    <t>Schneider, Erich</t>
  </si>
  <si>
    <t>https://ebookcentral.proquest.com/lib/istinye/detail.action?docID=7100834</t>
  </si>
  <si>
    <t>Deutschland und die Weltwirtschaft. : Verhandlungen auf der Tagung des Vereins für Socialpolitik in Bad Nauheim 1954.</t>
  </si>
  <si>
    <t>Albrecht, Gerhard</t>
  </si>
  <si>
    <t>https://ebookcentral.proquest.com/lib/istinye/detail.action?docID=7100835</t>
  </si>
  <si>
    <t>Untersuchungen zum deutschen Vertriebenen- und Flüchtlingsproblem. : Zweite Abteilung: Einzeldarstellungen. V: Edding, Friedrich: Die wirtschaftliche Eingliederung der Vertriebenen und Flüchtlinge in Schleswig-Holstein.</t>
  </si>
  <si>
    <t>Untersuchungen einzelner Entwicklungsländer. : Peru, Tunesien, Ägypten und Syrien.</t>
  </si>
  <si>
    <t>Stucken, Rudolf</t>
  </si>
  <si>
    <t>Entwicklungsbedingungen und Entwicklungschancen der Republik Sudan.</t>
  </si>
  <si>
    <t>Untersuchungen zum deutschen Vertriebenen- und Flüchtlingsproblem. : Zweite Abteilung: Einzeldarstellungen. IV: Esenwein-Rothe, Ingeborg: Die Eingliederung der Flüchtlinge in die Stadtstaaten Bremen und Hamburg.</t>
  </si>
  <si>
    <t>Wirtschaftsverbände und Wirtschaftspolitik. : Esenwein-Rothe, Ingeborg: Die Wirtschaftsverbände von 1933 bis 1945.</t>
  </si>
  <si>
    <t>Predöhl, Andreas</t>
  </si>
  <si>
    <t>Kommunale Finanzen und Finanzausgleich.</t>
  </si>
  <si>
    <t>Beiträge zur Multiplikatortheorie.</t>
  </si>
  <si>
    <t>Zur Grundlegung wirtschaftspolitischer Konzeptionen.</t>
  </si>
  <si>
    <t>Seraphim, Hans-Jürgen</t>
  </si>
  <si>
    <t>https://ebookcentral.proquest.com/lib/istinye/detail.action?docID=7100843</t>
  </si>
  <si>
    <t>Optimales Wachstum und Optimale Standortverteilung.</t>
  </si>
  <si>
    <t>https://ebookcentral.proquest.com/lib/istinye/detail.action?docID=7100844</t>
  </si>
  <si>
    <t>Kapitalbildung und Kapitalverwendung. : Verhandlungen auf der Tagung des Vereins für Socialpolitik in Salzburg 1952.</t>
  </si>
  <si>
    <t>Untersuchungen zum deutschen Vertriebenen- und Flüchtlingsproblem. : Zweite Abteilung: Einzeldarstellungen. III: Koerber, Hans Joachim von unter Mitwirkung von Karl C. Thalheim: Die Heimatvertriebenen und die Flüchtlinge aus der Sowjetzone in Westberlin.</t>
  </si>
  <si>
    <t>Untersuchungen zum deutschen Vertriebenen- und Flüchtlingsproblem. : Zweite Abteilung: Einzeldarstellungen. IX: Kollai, Helmut R.: Die Eingliederung der Vertriebenen und Zuwanderer in Niedersachsen.</t>
  </si>
  <si>
    <t>Lohnhöhe und Beschäftigung.</t>
  </si>
  <si>
    <t>Probleme der Finanzierung von Investitionen in Entwicklungsländern.</t>
  </si>
  <si>
    <t>https://ebookcentral.proquest.com/lib/istinye/detail.action?docID=7100849</t>
  </si>
  <si>
    <t>Untersuchungen zum deutschen Vertriebenen- und Flüchtlingsproblem. : Zweite Abteilung: Einzeldarstellungen. X: Müller, Erwin: Die Heimatvertriebenen in Baden-Württemberg.</t>
  </si>
  <si>
    <t>Volkswirtschaftliche Probleme des deutschen Außenhandels. : Bericht über die erste Mitgliederversammlung des Vereins für Socialpolitik.</t>
  </si>
  <si>
    <t>Probleme des öffentlichen Budgets.</t>
  </si>
  <si>
    <t>Jecht, Horst</t>
  </si>
  <si>
    <t>https://ebookcentral.proquest.com/lib/istinye/detail.action?docID=7100852</t>
  </si>
  <si>
    <t>Weltwirtschaftliche Probleme der Gegenwart. : Verhandlungen auf der Tagung des Vereins für Socialpolitik im Ostseebad Travemünde 1964.</t>
  </si>
  <si>
    <t>Probleme des räumlichen Gleichgewichts in der Wirtschaftswissenschaft. : Verhandlungen auf der Tagung des Vereins für Socialpolitik aus Anlaß der 175. Wiederkehr des Geburtstages von J. H. v. Thünen in Göttingen 1958.</t>
  </si>
  <si>
    <t>Hoffmann, Walther G.</t>
  </si>
  <si>
    <t>Probleme der Willensbildung und der wirtschaftspolitischen Führung.</t>
  </si>
  <si>
    <t>https://ebookcentral.proquest.com/lib/istinye/detail.action?docID=7100855</t>
  </si>
  <si>
    <t>Probleme der Wirtschaftspolitik in Entwicklungsländern. : Beiträge zu Fragen der Entwicklungsplanung und regionalen Integration.</t>
  </si>
  <si>
    <t>Guth, Wilfried</t>
  </si>
  <si>
    <t>Untersuchungen zum deutschen Vertriebenen- und Flüchtlingsproblem. : Erste Abteilung: Grundfragen. II: Schmölders, Günter unter Mitarbeit von H. Müller - H. Friederichs: Finanzierungsprobleme im Zusammenhang mit der wirtschaftlichen Eingliederung der Heimatvertriebenen.</t>
  </si>
  <si>
    <t>Untersuchungen zum deutschen Vertriebenen- und Flüchtlingsproblem. : Erste Abteilung: Grundfragen. III: Reichling, Gerhard: Die Heimatvertriebenen im Spiegel der Statistik.</t>
  </si>
  <si>
    <t>Wirtschaftsverbände und Wirtschaftspolitik. : Schmölders, Günter (wissenschaftl. Ltg.): Das Selbstbild der Verbände. Empirische Erhebung über die Verhaltensweisen der Verbände in ihrer Bedeutung für die wirtschaftspolitische Willensbildung in der Bundesrepublik Deutschland.</t>
  </si>
  <si>
    <t>Weippert, Georg</t>
  </si>
  <si>
    <t>Untersuchungen zum deutschen Vertriebenen- und Flüchtlingsproblem. : Zweite Abteilung: Einzeldarstellungen. I: Seraphim, Peter-Heinz: Die Heimatvertriebenen in der Sowjetzone.</t>
  </si>
  <si>
    <t>Die Stellung von Landwirtschaft und Industrie im Wachstumsprozeß der Entwicklungsländer.</t>
  </si>
  <si>
    <t>https://ebookcentral.proquest.com/lib/istinye/detail.action?docID=7100861</t>
  </si>
  <si>
    <t>Strukturwandlungen einer wachsenden Wirtschaft. : Verhandlungen auf der Tagung des Vereins für Socialpolitik in Luzern 1962. Bd. I.</t>
  </si>
  <si>
    <t>Neumark, Fritz</t>
  </si>
  <si>
    <t>Zur Theorie und Praxis der Mitbestimmung. : Bd. 2.</t>
  </si>
  <si>
    <t>Weddigen, Walter</t>
  </si>
  <si>
    <t>Strukturwandlungen einer wachsenden Wirtschaft. : Verhandlungen auf der Tagung des Vereins für Socialpolitik in Luzern 1962. Bd. II.</t>
  </si>
  <si>
    <t>Untersuchungen zur sozialen Gestaltung der Wirtschaftsordnung.</t>
  </si>
  <si>
    <t>Wirtschaftsverbände und Wirtschaftspolitik. : Pütz, Theodor (wissenschaftl. Ltg.): Verbände und Wirtschaftspolitik in Österreich.</t>
  </si>
  <si>
    <t>Untersuchungen zum deutschen Vertriebenen- und Flüchtlingsproblem. : Zweite Abteilung: Einzeldarstellungen. VII: Wagner, Helmut: Die Heimatvertriebenen und Sowjetzonenflüchtlinge in Rheinland-Pfalz.</t>
  </si>
  <si>
    <t>Das Verhältnis der Wirtschaftswissenschaft zur Rechtswissenschaft, Soziologie und Statistik. : Verhandlungen auf der Arbeitstagung des Vereins für Socialpolitik in Würzburg, Oktober 1963.</t>
  </si>
  <si>
    <t>Raiser, Ludwig</t>
  </si>
  <si>
    <t>Wandlungen der Wirtschaftsstruktur in der Bundesrepublik Deutschland.</t>
  </si>
  <si>
    <t>König, Heinz</t>
  </si>
  <si>
    <t>Rationale Wirtschaftspolitik und Planung in der Wirtschaft von heute. : Verhandlungen auf der Tagung des Vereins für Socialpolitik in Hannover 1966.</t>
  </si>
  <si>
    <t>https://ebookcentral.proquest.com/lib/istinye/detail.action?docID=7100870</t>
  </si>
  <si>
    <t>Die Wirtschaftssysteme der Staaten Osteuropas und der Volksrepublik China. : Untersuchungen der Entstehung, Entfaltung und Wandlung sozialistischer Wirtschaftssysteme. Bd. I.</t>
  </si>
  <si>
    <t>Die Wirtschaftssysteme der Staaten Osteuropas und der Volksrepublik China. : Untersuchungen der Entstehung, Entfaltung und Wandlung sozialistischer Wirtschaftssysteme. Bd. II.</t>
  </si>
  <si>
    <t>Einzelhandel und Handwerk 1965 und 1975. : Absatz und Fläche.</t>
  </si>
  <si>
    <t>Schriften des Rheinisch-Westfälischen Instituts für Wirtschaftsforschung</t>
  </si>
  <si>
    <t>Beckermann, Theo</t>
  </si>
  <si>
    <t>Beiträge zur Regionalpolitik.</t>
  </si>
  <si>
    <t>Schneider, Hans K.</t>
  </si>
  <si>
    <t>https://ebookcentral.proquest.com/lib/istinye/detail.action?docID=7100874</t>
  </si>
  <si>
    <t>Beiträge zur Theorie der Außenwirtschaft.</t>
  </si>
  <si>
    <t>Bombach, Gottfried</t>
  </si>
  <si>
    <t>Beiträge zur Wachstumspolitik.</t>
  </si>
  <si>
    <t>Grundlagen der Wettbewerbspolitik.</t>
  </si>
  <si>
    <t>Grundsatzprobleme wirtschaftspolitischer Beratung. : Das Beispiel der Stabilisierungspolitik. Verhandlungen auf der Tagung des Vereins für Socialpolitik in Baden-Baden 1967.</t>
  </si>
  <si>
    <t>https://ebookcentral.proquest.com/lib/istinye/detail.action?docID=7100878</t>
  </si>
  <si>
    <t>Probleme der Haushalts- und Finanzplanung.</t>
  </si>
  <si>
    <t>Haller, Heinz</t>
  </si>
  <si>
    <t>Lohnpolitik und Einkommensverteilung. : Verhandlungen auf der Tagung des Vereins für Socialpolitik in Berlin 1968.</t>
  </si>
  <si>
    <t>Arndt, Helmut</t>
  </si>
  <si>
    <t>Der ökonomische Differenzierungsprozeß im heutigen Handwerk.</t>
  </si>
  <si>
    <t>Schlaghecken, Arnim</t>
  </si>
  <si>
    <t>https://ebookcentral.proquest.com/lib/istinye/detail.action?docID=7100881</t>
  </si>
  <si>
    <t>Die Vorausschätzung von Brancheninvestitionen mit Hilfe von Faktor-Output-Relationen.</t>
  </si>
  <si>
    <t>Stürmer, Wilhelmine</t>
  </si>
  <si>
    <t>https://ebookcentral.proquest.com/lib/istinye/detail.action?docID=7100882</t>
  </si>
  <si>
    <t>Wachstumsprobleme in den osteuropäischen Volkswirtschaften. : Bd. I.</t>
  </si>
  <si>
    <t>Wachstumsprobleme in den osteuropäischen Volkswirtschaften. : Bd. II.</t>
  </si>
  <si>
    <t>Zur Problematik der Sozialinvestitionen.</t>
  </si>
  <si>
    <t>Sanmann, Horst</t>
  </si>
  <si>
    <t>https://ebookcentral.proquest.com/lib/istinye/detail.action?docID=7100885</t>
  </si>
  <si>
    <t>Theorie und Praxis der Infrastrukturpolitik.</t>
  </si>
  <si>
    <t>Jochimsen, Reimut</t>
  </si>
  <si>
    <t>Voraussetzungen einer globalen Entwicklungspolitik und Beiträge zur Kosten- und Nutzenanalyse.</t>
  </si>
  <si>
    <t>Meimberg, Rudolf</t>
  </si>
  <si>
    <t>Grundfragen der Infrastrukturplanung für wachsende Wirtschaften. : Verhandlungen auf der Tagung des Vereins für Socialpolitik in Innsbruck 1970.</t>
  </si>
  <si>
    <t>Methoden der mittelfristigen Steuervorausschätzung. : Zur mittelfristigen Entwicklung des Steueraufkommens in der Bundesrepublik Deutschland.</t>
  </si>
  <si>
    <t>Roth, Albert</t>
  </si>
  <si>
    <t>Der Private Verbrauch in der Bundesrepublik Deutschland. : Verflechtungstabellen nach Ausgabearten und Branchen 1950 - 1967.</t>
  </si>
  <si>
    <t>Rau, Rainer</t>
  </si>
  <si>
    <t>https://ebookcentral.proquest.com/lib/istinye/detail.action?docID=7100890</t>
  </si>
  <si>
    <t>Probleme der Staatsverschuldung.</t>
  </si>
  <si>
    <t>Rationalisierung durch Kartelle?</t>
  </si>
  <si>
    <t>Hoppmann, Erich</t>
  </si>
  <si>
    <t>Aspekte der Friedensforschung und Entscheidungsprobleme in der Sozialpolitik.</t>
  </si>
  <si>
    <t>https://ebookcentral.proquest.com/lib/istinye/detail.action?docID=7100893</t>
  </si>
  <si>
    <t>Investitions- und Industrialisierungsprobleme in Entwicklungsländern.</t>
  </si>
  <si>
    <t>https://ebookcentral.proquest.com/lib/istinye/detail.action?docID=7100894</t>
  </si>
  <si>
    <t>Beiträge zu Wirtschaftswachstum und Wirtschaftsstruktur im 16. und 19. Jahrhundert.</t>
  </si>
  <si>
    <t>Fischer, Wolfram</t>
  </si>
  <si>
    <t>https://ebookcentral.proquest.com/lib/istinye/detail.action?docID=7100895</t>
  </si>
  <si>
    <t>Studien zur Geldtheorie und monetäre Ökonometrie.</t>
  </si>
  <si>
    <t>https://ebookcentral.proquest.com/lib/istinye/detail.action?docID=7100896</t>
  </si>
  <si>
    <t>Neue Wege der Wirtschaftspolitik.</t>
  </si>
  <si>
    <t>Dürr, Ernst</t>
  </si>
  <si>
    <t>https://ebookcentral.proquest.com/lib/istinye/detail.action?docID=7100897</t>
  </si>
  <si>
    <t>Branchenstruktur und Wachstumsaussichten in Hessen.</t>
  </si>
  <si>
    <t>Thoben, Christa</t>
  </si>
  <si>
    <t>Der Staatssektor in der Input-Output-Rechnung. : Verflechtungstabellen für die Bundesrepublik Deutschland nach Aufgabenbereichen und Branchen 1954 - 1967.</t>
  </si>
  <si>
    <t>Komarnicki, Johann</t>
  </si>
  <si>
    <t>Besteuerung und Zahlungsbilanz.</t>
  </si>
  <si>
    <t>Albers, Willi</t>
  </si>
  <si>
    <t>https://ebookcentral.proquest.com/lib/istinye/detail.action?docID=7100902</t>
  </si>
  <si>
    <t>Das Eigenpotential im Entwicklungsprozeß.</t>
  </si>
  <si>
    <t>Priebe, Hermann</t>
  </si>
  <si>
    <t>https://ebookcentral.proquest.com/lib/istinye/detail.action?docID=7100903</t>
  </si>
  <si>
    <t>Information, Motivation und Entscheidung. : Studien zum Vergleich von Wirtschaftssystemen.</t>
  </si>
  <si>
    <t>Watrin, Christian</t>
  </si>
  <si>
    <t>Wachstumszyklen. : Über die neue Form der Konjunkturschwankungen. Theoretische und empirische Beiträge.</t>
  </si>
  <si>
    <t>Ott, Alfred E.</t>
  </si>
  <si>
    <t>https://ebookcentral.proquest.com/lib/istinye/detail.action?docID=7100905</t>
  </si>
  <si>
    <t>Leitbilder und Zielsysteme der Sozialpolitik.</t>
  </si>
  <si>
    <t>https://ebookcentral.proquest.com/lib/istinye/detail.action?docID=7100906</t>
  </si>
  <si>
    <t>Die Konzentration in der Wirtschaft - On Economic Concentration. : Erster Band.</t>
  </si>
  <si>
    <t>Die Konzentration in der Wirtschaft - On Economic Concentration. : Zweiter Band.</t>
  </si>
  <si>
    <t>Öffentliche Finanzwirtschaft und Verteilung I.</t>
  </si>
  <si>
    <t>Beiträge zur Beurteilung von Entwicklungsstrategien.</t>
  </si>
  <si>
    <t>Das Handwerk im Wachstum der Wirtschaft. : Eine statistische Analyse.</t>
  </si>
  <si>
    <t>https://ebookcentral.proquest.com/lib/istinye/detail.action?docID=7100911</t>
  </si>
  <si>
    <t>Struktur- und stabilitätspolitische Probleme in alternativen Wirtschaftssystemen.</t>
  </si>
  <si>
    <t>Probleme der weltwirtschaftlichen Arbeitsteilung. : Verhandlungen auf der Arbeitstagung des Vereins für Socialpolitik und des Instituts für Weltwirtschaft in Kiel 1973.</t>
  </si>
  <si>
    <t>Giersch, Herbert</t>
  </si>
  <si>
    <t>Rationalisierungseffekte der Walzstahlkontore und der Rationalisierungsgruppen.</t>
  </si>
  <si>
    <t>Röper, Burkhardt</t>
  </si>
  <si>
    <t>https://ebookcentral.proquest.com/lib/istinye/detail.action?docID=7100914</t>
  </si>
  <si>
    <t>Öffentliche Finanzwirtschaft und Verteilung II.</t>
  </si>
  <si>
    <t>Studien zum Inflationsproblem.</t>
  </si>
  <si>
    <t>Pütz, Theodor</t>
  </si>
  <si>
    <t>https://ebookcentral.proquest.com/lib/istinye/detail.action?docID=7100916</t>
  </si>
  <si>
    <t>Öffentliche Finanzwirtschaft und Verteilung III.</t>
  </si>
  <si>
    <t>Dreißig, Wilhelmine</t>
  </si>
  <si>
    <t>Vom Kleingewerbe zur Großindustrie. : Quantitativ-regionale und politisch-rechtliche Aspekte zur Erforschung der Wirtschafts- und Gesellschaftsstruktur im 19. Jahrhundert.</t>
  </si>
  <si>
    <t>Winkel, Harald</t>
  </si>
  <si>
    <t>https://ebookcentral.proquest.com/lib/istinye/detail.action?docID=7100918</t>
  </si>
  <si>
    <t>Neue Dimensionen der Arbeitsmarktpolitik in der BRD.</t>
  </si>
  <si>
    <t>Lampert, Heinz</t>
  </si>
  <si>
    <t>Ökonometrische Analyse der Ausgabearten des Privaten Verbrauchs. : Eine ökonometrische Analyse des Privaten Verbrauchs nach Ausgabearten für die Bundesrepublik Deutschland 1950 - 1967.</t>
  </si>
  <si>
    <t>https://ebookcentral.proquest.com/lib/istinye/detail.action?docID=7100920</t>
  </si>
  <si>
    <t>Aktuelle Probleme der Gesundheitspolitik in der BRD.</t>
  </si>
  <si>
    <t>https://ebookcentral.proquest.com/lib/istinye/detail.action?docID=7100921</t>
  </si>
  <si>
    <t>Eigenfinanzierung der Entwicklung.</t>
  </si>
  <si>
    <t>https://ebookcentral.proquest.com/lib/istinye/detail.action?docID=7100922</t>
  </si>
  <si>
    <t>Wettbewerbsprobleme im Kreditgewerbe.</t>
  </si>
  <si>
    <t>https://ebookcentral.proquest.com/lib/istinye/detail.action?docID=7100923</t>
  </si>
  <si>
    <t>Stabilisierungspolitik in der Marktwirtschaft. : Verhandlungen auf der Tagung des Vereins für Socialpolitik in Zürich 1974.</t>
  </si>
  <si>
    <t>Die Bauwirtschaft. : Eine vorwiegend statistische Analyse.</t>
  </si>
  <si>
    <t>Wirtschaftsstrukturelle Bestandsaufnahme für das Ruhrgebiet.</t>
  </si>
  <si>
    <t>Kruck, Roswitha</t>
  </si>
  <si>
    <t>Öffentliche Finanzwirtschaft und Verteilung IV.</t>
  </si>
  <si>
    <t>Die Bedeutung gesellschaftlicher Veränderungen für die Willensbildung im Unternehmen. : Verhandlungen auf der Arbeitstagung des Vereins für Socialpolitik in Aachen 1975.</t>
  </si>
  <si>
    <t>Albach, Horst</t>
  </si>
  <si>
    <t>Probleme der nationalsozialistischen Wirtschaftspolitik.</t>
  </si>
  <si>
    <t>Henning, Friedrich-Wilhelm</t>
  </si>
  <si>
    <t>https://ebookcentral.proquest.com/lib/istinye/detail.action?docID=7100929</t>
  </si>
  <si>
    <t>Integration der Entwicklungsländer in eine instabile Weltwirtschaft – Probleme, Chancen, Gefahren.</t>
  </si>
  <si>
    <t>Urff, Winfried von</t>
  </si>
  <si>
    <t>https://ebookcentral.proquest.com/lib/istinye/detail.action?docID=7100930</t>
  </si>
  <si>
    <t>Wachstum und Strukturbildung bei Ausländerbeschäftigung.</t>
  </si>
  <si>
    <t>Lamberts, Willi</t>
  </si>
  <si>
    <t>https://ebookcentral.proquest.com/lib/istinye/detail.action?docID=7100931</t>
  </si>
  <si>
    <t>Ökonomische Probleme der Umweltschutzpolitik.</t>
  </si>
  <si>
    <t>Issing, Otmar</t>
  </si>
  <si>
    <t>https://ebookcentral.proquest.com/lib/istinye/detail.action?docID=7100932</t>
  </si>
  <si>
    <t>Soziale Probleme der modernen Industriegesellschaft. : Verhandlungen auf der Arbeitstagung des Vereins für Socialpolitik in Augsburg 1976.</t>
  </si>
  <si>
    <t>Külp, Bernhard</t>
  </si>
  <si>
    <t>Der Einzelhandel 1959 - 1985.</t>
  </si>
  <si>
    <t>Öffentliche Finanzwirtschaft und Verteilung V.</t>
  </si>
  <si>
    <t>Strukturdiagnose in der Marktwirtschaft.</t>
  </si>
  <si>
    <t>https://ebookcentral.proquest.com/lib/istinye/detail.action?docID=7100936</t>
  </si>
  <si>
    <t>Wachstum, Einkommensverteilung und Beschäftigung in Entwicklungsländern.</t>
  </si>
  <si>
    <t>Die Problematik der Vollbeschäftigung. : Verhandlungen auf der Tagung des Vereins für Socialpolitik in Bad Pyrmont 1950.</t>
  </si>
  <si>
    <t>Die Berliner Wirtschaft zwischen Ost und West. : Die Reform der Sozialpolitik durch einen deutschen Sozialplan. Verhandlungen auf der Sondertagung des Vereins für Socialpolitik in Berlin 1952.</t>
  </si>
  <si>
    <t>Die Verflechtung der Sozialleistungen. : Ergebnisse einer Stichprobe.</t>
  </si>
  <si>
    <t>Mackenroth, Gerhard</t>
  </si>
  <si>
    <t>Einkommensbildung und Einkommensverteilung. : Verhandlungen auf der Tagung des Vereins für Socialpolitik in Köln 1956.</t>
  </si>
  <si>
    <t>Finanz- und währungspolitische Bedingungen stetigen Wirtschaftswachstums. : Verhandlungen auf der Tagung des Vereins für Socialpolitik in Baden-Baden 1958.</t>
  </si>
  <si>
    <t>Zur Neuen Sozialen Frage.</t>
  </si>
  <si>
    <t>Widmaier, Hans Peter</t>
  </si>
  <si>
    <t>https://ebookcentral.proquest.com/lib/istinye/detail.action?docID=7100963</t>
  </si>
  <si>
    <t>Einkommensverteilung und technischer Fortschritt.</t>
  </si>
  <si>
    <t>Probleme des Finanzausgleichs I.</t>
  </si>
  <si>
    <t>Die Konzentration in der Wirtschaft. : Verhandlungen auf der Tagung des Vereins für Socialpolitik in Bad Kissingen 1960.</t>
  </si>
  <si>
    <t>Ökonomische Verfügungsrechte und Allokationsmechanismen in Wirtschaftssystemen.</t>
  </si>
  <si>
    <t>Schenk, Karl-Ernst</t>
  </si>
  <si>
    <t>https://ebookcentral.proquest.com/lib/istinye/detail.action?docID=7100969</t>
  </si>
  <si>
    <t>Zur Theorie und Praxis der Mitbestimmung. : Bd. 1.</t>
  </si>
  <si>
    <t>https://ebookcentral.proquest.com/lib/istinye/detail.action?docID=7100970</t>
  </si>
  <si>
    <t>Diagnose und Prognose als wirtschaftswissenschaftliche Methodenprobleme. : Verhandlungen auf der Arbeitstagung des Vereins für Socialpolitik in Garmisch-Partenkirchen 1961.</t>
  </si>
  <si>
    <t>Borchardt, Knut</t>
  </si>
  <si>
    <t>Theorien des einzelwirtschaftlichen und des gesamtwirtschaftlichen Wachstums.</t>
  </si>
  <si>
    <t>https://ebookcentral.proquest.com/lib/istinye/detail.action?docID=7100973</t>
  </si>
  <si>
    <t>Neuere Entwicklungen in den Wirtschaftswissenschaften. : Verhandlungen auf der Arbeitstagung des Vereins für Socialpolitik in Münster 1977.</t>
  </si>
  <si>
    <t>Helmstädter, Ernst</t>
  </si>
  <si>
    <t>https://ebookcentral.proquest.com/lib/istinye/detail.action?docID=7100976</t>
  </si>
  <si>
    <t>Aktuelle Probleme der Arbeitslosigkeit.</t>
  </si>
  <si>
    <t>Recurrent Education und Berufliche Flexibilitätsforschung.</t>
  </si>
  <si>
    <t>Edding, Friedrich</t>
  </si>
  <si>
    <t>Grundfragen der Gesetzgebungslehre, : erörtert anhand neuerer Gesetzgebungsvorhaben insbesondere der Neuregelung des Bergschadensrechts.</t>
  </si>
  <si>
    <t>Schriftenreihe zur Rechtssoziologie und Rechtstatsachenforschung</t>
  </si>
  <si>
    <t>Krems, Burkhardt</t>
  </si>
  <si>
    <t>https://ebookcentral.proquest.com/lib/istinye/detail.action?docID=7100982</t>
  </si>
  <si>
    <t>Staat und Wirtschaft. : Verhandlungen auf der Arbeitstagung des Vereins für Socialpolitik in Hamburg 1978.</t>
  </si>
  <si>
    <t>Weizsäcker, Carl Christian von</t>
  </si>
  <si>
    <t>Marketing im Handwerk.</t>
  </si>
  <si>
    <t>Zimmermann, Thomas</t>
  </si>
  <si>
    <t>https://ebookcentral.proquest.com/lib/istinye/detail.action?docID=7100984</t>
  </si>
  <si>
    <t>Die Sicherung des Arbeitsplatzes. : Lohntheoretische und arbeitsmarktpolitische Beiträge.</t>
  </si>
  <si>
    <t>Herder-Dorneich, Philipp</t>
  </si>
  <si>
    <t>Entwicklung und Aufgaben von Versicherungen und Banken in der Industrialisierung.</t>
  </si>
  <si>
    <t>https://ebookcentral.proquest.com/lib/istinye/detail.action?docID=7100986</t>
  </si>
  <si>
    <t>Lenkungsprobleme und Inflation in Planwirtschaften.</t>
  </si>
  <si>
    <t>https://ebookcentral.proquest.com/lib/istinye/detail.action?docID=7100987</t>
  </si>
  <si>
    <t>Probleme des Finanzausgleichs II.</t>
  </si>
  <si>
    <t>Pohmer, Dieter</t>
  </si>
  <si>
    <t>Wettbewerb in der pharmazeutischen Industrie.</t>
  </si>
  <si>
    <t>https://ebookcentral.proquest.com/lib/istinye/detail.action?docID=7100989</t>
  </si>
  <si>
    <t>Staatliche Umverteilungspolitik in historischer Perspektive. : Beiträge zur Entwicklung des Staatsinterventionismus in Deutschland und Österreich.</t>
  </si>
  <si>
    <t>Blaich, Fritz</t>
  </si>
  <si>
    <t>Erschöpfbare Ressourcen. : Verhandlungen auf der Arbeitstagung der Gesellschaft für Wirtschafts- und Sozialwissenschaften - Verein für Socialpolitik - in Mannheim vom 24. - 26. September 1979.</t>
  </si>
  <si>
    <t>Siebert, Horst</t>
  </si>
  <si>
    <t>https://ebookcentral.proquest.com/lib/istinye/detail.action?docID=7100991</t>
  </si>
  <si>
    <t>Das Handwerk in der Bundesrepublik Deutschland.</t>
  </si>
  <si>
    <t>https://ebookcentral.proquest.com/lib/istinye/detail.action?docID=7100992</t>
  </si>
  <si>
    <t>Geldpolitik, Zins und Staatsverschuldung.</t>
  </si>
  <si>
    <t>Ehrlicher, Werner</t>
  </si>
  <si>
    <t>https://ebookcentral.proquest.com/lib/istinye/detail.action?docID=7100993</t>
  </si>
  <si>
    <t>Die Umverteilungswirkungen der Staatstätigkeit bei den wichtigsten Haushaltstypen.</t>
  </si>
  <si>
    <t>Karrenberg, Hanns</t>
  </si>
  <si>
    <t>Konzept und Kritik des Humankapitalansatzes.</t>
  </si>
  <si>
    <t>Clement, Werner</t>
  </si>
  <si>
    <t>https://ebookcentral.proquest.com/lib/istinye/detail.action?docID=7100995</t>
  </si>
  <si>
    <t>Zur Marxistischen und Neuen Politischen Ökonomie.</t>
  </si>
  <si>
    <t>Hedtkamp, Günter</t>
  </si>
  <si>
    <t>Beiträge zur Industrialisierungs- und Handelspolitik der Entwicklungsländer.</t>
  </si>
  <si>
    <t>Timmermann, Vincenz</t>
  </si>
  <si>
    <t>Zur Prognoseleistung ökonometrischer Konjunkturmodelle für die Bundesrepublik Deutschland.</t>
  </si>
  <si>
    <t>Heilemann, Ullrich</t>
  </si>
  <si>
    <t>https://ebookcentral.proquest.com/lib/istinye/detail.action?docID=7100998</t>
  </si>
  <si>
    <t>Internationale Anpassungsprozesse.</t>
  </si>
  <si>
    <t>Woll, Artur</t>
  </si>
  <si>
    <t>Anreiz- und Kontrollmechanismen in Wirtschaftssystemen I.</t>
  </si>
  <si>
    <t>https://ebookcentral.proquest.com/lib/istinye/detail.action?docID=7101000</t>
  </si>
  <si>
    <t>Entwicklungsprobleme einer Region: Das Beispiel Rheinland und Westfalen im 19. Jahrhundert.</t>
  </si>
  <si>
    <t>https://ebookcentral.proquest.com/lib/istinye/detail.action?docID=7101001</t>
  </si>
  <si>
    <t>Beiträge zum Äquivalenzprinzip und zur Zweckbindung öffentlicher Einnahmen.</t>
  </si>
  <si>
    <t>https://ebookcentral.proquest.com/lib/istinye/detail.action?docID=7101002</t>
  </si>
  <si>
    <t>Wert- und Präferenzprobleme in den Sozialwissenschaften.</t>
  </si>
  <si>
    <t>Tietz, Reinhard</t>
  </si>
  <si>
    <t>Dynamische Theorie der Sozialpolitik.</t>
  </si>
  <si>
    <t>https://ebookcentral.proquest.com/lib/istinye/detail.action?docID=7101004</t>
  </si>
  <si>
    <t>Die Mißbrauchsaufsicht vor dem Hintergrund der Entwicklungen der neueren Wettbewerbstheorie.</t>
  </si>
  <si>
    <t>https://ebookcentral.proquest.com/lib/istinye/detail.action?docID=7101005</t>
  </si>
  <si>
    <t>Die Rolle des Staates für die wirtschaftliche Entwicklung.</t>
  </si>
  <si>
    <t>https://ebookcentral.proquest.com/lib/istinye/detail.action?docID=7101006</t>
  </si>
  <si>
    <t>Information in der Wirtschaft. : Verhandlungen auf der Arbeitstagung des Vereins für Socialpolitik in Graz 1981.</t>
  </si>
  <si>
    <t>Streißler, Erich</t>
  </si>
  <si>
    <t>https://ebookcentral.proquest.com/lib/istinye/detail.action?docID=7101007</t>
  </si>
  <si>
    <t>Anreiz- und Kontrollmechanismen in Wirtschaftssystemen II.</t>
  </si>
  <si>
    <t>https://ebookcentral.proquest.com/lib/istinye/detail.action?docID=7101008</t>
  </si>
  <si>
    <t>Arbeitsmarkt und Arbeitsmarktpolitik.</t>
  </si>
  <si>
    <t>Zur optimalen Besteuerung.</t>
  </si>
  <si>
    <t>https://ebookcentral.proquest.com/lib/istinye/detail.action?docID=7101010</t>
  </si>
  <si>
    <t>Ordnungspolitische Fragen zum Nord-Süd-Konflikt.</t>
  </si>
  <si>
    <t>Simonis, Udo Ernst</t>
  </si>
  <si>
    <t>Aktuelle Wege der Wirtschaftspolitik.</t>
  </si>
  <si>
    <t>https://ebookcentral.proquest.com/lib/istinye/detail.action?docID=7101012</t>
  </si>
  <si>
    <t>Determinanten der räumlichen Entwicklung.</t>
  </si>
  <si>
    <t>Müller, J. Heinz</t>
  </si>
  <si>
    <t>https://ebookcentral.proquest.com/lib/istinye/detail.action?docID=7101013</t>
  </si>
  <si>
    <t>Beiträge zum Problem der Schattenwirtschaft.</t>
  </si>
  <si>
    <t>https://ebookcentral.proquest.com/lib/istinye/detail.action?docID=7101014</t>
  </si>
  <si>
    <t>Finanzsysteme: Ideal- und Realtypen - Gesundheitswesen und Hochschulbildung.</t>
  </si>
  <si>
    <t>Häuser, Karl</t>
  </si>
  <si>
    <t>Entwicklungsländer in der Finanzkrise. : Probleme und Perspektiven.</t>
  </si>
  <si>
    <t>https://ebookcentral.proquest.com/lib/istinye/detail.action?docID=7101016</t>
  </si>
  <si>
    <t>Staatsfinanzierung im Wandel. : Verhandlungen auf der Jahrestagung des Vereins für Socialpolitik in Köln 1982.</t>
  </si>
  <si>
    <t>Hansmeyer, Karl-Heinrich</t>
  </si>
  <si>
    <t>Geld- und Währungsordnung.</t>
  </si>
  <si>
    <t>Richter, Rudolf</t>
  </si>
  <si>
    <t>Devisenmarktinterventionen der Zentralbanken.</t>
  </si>
  <si>
    <t>Normengeleitetes Verhalten in den Sozialwissenschaften.</t>
  </si>
  <si>
    <t>Todt, Horst</t>
  </si>
  <si>
    <t>Wachstumsverlangsamung und Konjunkturzyklen in unterschiedlichen Wirtschaftssystemen.</t>
  </si>
  <si>
    <t>Schüller, Alfred</t>
  </si>
  <si>
    <t>https://ebookcentral.proquest.com/lib/istinye/detail.action?docID=7101021</t>
  </si>
  <si>
    <t>Selbstverwaltung als ordnungspolitisches Problem des Sozialstaates II.</t>
  </si>
  <si>
    <t>Winterstein, Helmut</t>
  </si>
  <si>
    <t>https://ebookcentral.proquest.com/lib/istinye/detail.action?docID=7101022</t>
  </si>
  <si>
    <t>Folgekosten von Entwicklungsprojekten - Probleme und Konsequenzen für eine effizientere Entwicklungspolitik.</t>
  </si>
  <si>
    <t>Koch, Walter A. S.</t>
  </si>
  <si>
    <t>https://ebookcentral.proquest.com/lib/istinye/detail.action?docID=7101023</t>
  </si>
  <si>
    <t>Externe Verschuldung - interne Anpassung. : Entwicklungsländer in der Finanzkrise.</t>
  </si>
  <si>
    <t>https://ebookcentral.proquest.com/lib/istinye/detail.action?docID=7101024</t>
  </si>
  <si>
    <t>Produktivitätsentwicklung staatlicher Leistungen.</t>
  </si>
  <si>
    <t>Stahlkrise - Ist der Staat gefordert? : Tagungsband zum RWI-Symposion vom 19. 3. 1984. Vorb. und Ltg. des Symposions: Helmut Wienert.</t>
  </si>
  <si>
    <t>Wirtschaftsforschung, Rheinisch-Westfälisches Instituts für</t>
  </si>
  <si>
    <t>Nordrhein-Westfalen in der Krise - Krise in Nordrhein-Westfalen? : Tagungsband zum RWI-Symposium vom 24. und 25.10.1984. Wiss. Ltg.: Willi Lamberts. Org. Ltg.: Matthias Köppel.</t>
  </si>
  <si>
    <t>Wirtschaftsforschung, Rheinisch-Westfälisches Institut für</t>
  </si>
  <si>
    <t>https://ebookcentral.proquest.com/lib/istinye/detail.action?docID=7101027</t>
  </si>
  <si>
    <t>Probleme der Bildungsfinanzierung.</t>
  </si>
  <si>
    <t>Brinkmann, Gerhard</t>
  </si>
  <si>
    <t>https://ebookcentral.proquest.com/lib/istinye/detail.action?docID=7101028</t>
  </si>
  <si>
    <t>Ethik und Wirtschaftswissenschaft.</t>
  </si>
  <si>
    <t>Enderle, Georges</t>
  </si>
  <si>
    <t>Budgetpolitik im Wandel.</t>
  </si>
  <si>
    <t>https://ebookcentral.proquest.com/lib/istinye/detail.action?docID=7101030</t>
  </si>
  <si>
    <t>China im Konflikt zwischen verschiedenen Ordnungskonzeptionen.</t>
  </si>
  <si>
    <t>https://ebookcentral.proquest.com/lib/istinye/detail.action?docID=7101031</t>
  </si>
  <si>
    <t>Strukturpolitische Probleme der Automobil-Industrie unter dem Aspekt des Wettbewerbs.</t>
  </si>
  <si>
    <t>https://ebookcentral.proquest.com/lib/istinye/detail.action?docID=7101032</t>
  </si>
  <si>
    <t>Sozialpolitik in der Beschäftigungskrise I.</t>
  </si>
  <si>
    <t>https://ebookcentral.proquest.com/lib/istinye/detail.action?docID=7101033</t>
  </si>
  <si>
    <t>Probleme und Perspektiven der weltwirtschaftlichen Entwicklung. : Jahrestagung des Vereins für Socialpolitik in Travemünde 1984.</t>
  </si>
  <si>
    <t>https://ebookcentral.proquest.com/lib/istinye/detail.action?docID=7101034</t>
  </si>
  <si>
    <t>Beiträge zur Bevölkerungsökonomie.</t>
  </si>
  <si>
    <t>Felderer, Bernhard</t>
  </si>
  <si>
    <t>https://ebookcentral.proquest.com/lib/istinye/detail.action?docID=7101035</t>
  </si>
  <si>
    <t>Die internationale Schuldenkrise. : Ursachen - Konsequenzen - Historische Erfahrungen.</t>
  </si>
  <si>
    <t>Gutowski, Armin</t>
  </si>
  <si>
    <t>https://ebookcentral.proquest.com/lib/istinye/detail.action?docID=7101036</t>
  </si>
  <si>
    <t>Entwicklungstheorie - Entwicklungspraxis. : Eine kritische Bilanzierung.</t>
  </si>
  <si>
    <t>https://ebookcentral.proquest.com/lib/istinye/detail.action?docID=7101037</t>
  </si>
  <si>
    <t>Transfer-Einkommen und Einkommensverteilung.</t>
  </si>
  <si>
    <t>Zeppernick, Ralf</t>
  </si>
  <si>
    <t>https://ebookcentral.proquest.com/lib/istinye/detail.action?docID=7101038</t>
  </si>
  <si>
    <t>Stadtwachstum, Industrialisierung, Sozialer Wandel. : Beiträge zur Erforschung der Urbanisierung im 19. und 20. Jahrhundert.</t>
  </si>
  <si>
    <t>Teuteberg, Hans-Jürgen</t>
  </si>
  <si>
    <t>https://ebookcentral.proquest.com/lib/istinye/detail.action?docID=7101039</t>
  </si>
  <si>
    <t>Sozialpolitik in der Beschäftigungskrise II.</t>
  </si>
  <si>
    <t>https://ebookcentral.proquest.com/lib/istinye/detail.action?docID=7101040</t>
  </si>
  <si>
    <t>Nationale Wege der Inflationsbekämpfung.</t>
  </si>
  <si>
    <t>Werner, Josua</t>
  </si>
  <si>
    <t>Wandlungen der Besteuerung.</t>
  </si>
  <si>
    <t>https://ebookcentral.proquest.com/lib/istinye/detail.action?docID=7101042</t>
  </si>
  <si>
    <t>Ökonomie des Gesundheitswesens. : Jahrestagung des Vereins für Socialpolitik in Saarbrücken 1985.</t>
  </si>
  <si>
    <t>Gäfgen, Gérard</t>
  </si>
  <si>
    <t>https://ebookcentral.proquest.com/lib/istinye/detail.action?docID=7101043</t>
  </si>
  <si>
    <t>Geldpolitische Regelbindung: theoretische Entwicklungen und empirische Befunde.</t>
  </si>
  <si>
    <t>https://ebookcentral.proquest.com/lib/istinye/detail.action?docID=7101044</t>
  </si>
  <si>
    <t>Wettbewerb im Medienbereich.</t>
  </si>
  <si>
    <t>https://ebookcentral.proquest.com/lib/istinye/detail.action?docID=7101045</t>
  </si>
  <si>
    <t>Kapitaldeckungsverfahren versus Umlageverfahren. : Demographische Entwicklung und Finanzierung von Altersversicherung und Familienlastenausgleich.</t>
  </si>
  <si>
    <t>Die Familie als Gegenstand sozialwissenschaftlicher Forschung.</t>
  </si>
  <si>
    <t>Kapitalmarkt und Finanzierung. : Jahrestagung des Vereins für Socialpolitik, Gesellschaft für Wirtschafts- und Sozialwissenschaften, in München vom 15. - 17. September 1986.</t>
  </si>
  <si>
    <t>Schneider, Dieter</t>
  </si>
  <si>
    <t>https://ebookcentral.proquest.com/lib/istinye/detail.action?docID=7101048</t>
  </si>
  <si>
    <t>Beiträge zu ökonomischen Problemen des Föderalismus.</t>
  </si>
  <si>
    <t>Schmidt, Kurt</t>
  </si>
  <si>
    <t>https://ebookcentral.proquest.com/lib/istinye/detail.action?docID=7101049</t>
  </si>
  <si>
    <t>Theoriebildung und empirische Forschung im Systemvergleich.</t>
  </si>
  <si>
    <t>https://ebookcentral.proquest.com/lib/istinye/detail.action?docID=7101050</t>
  </si>
  <si>
    <t>Probleme der ländlichen Entwicklung in der Dritten Welt.</t>
  </si>
  <si>
    <t>Körner, Heiko</t>
  </si>
  <si>
    <t>https://ebookcentral.proquest.com/lib/istinye/detail.action?docID=7101051</t>
  </si>
  <si>
    <t>Bildung, Beruf, Arbeitsmarkt.</t>
  </si>
  <si>
    <t>Bodenhöfer, Hans-Joachim</t>
  </si>
  <si>
    <t>Familienlastenausgleich und demographische Entwicklung.</t>
  </si>
  <si>
    <t>https://ebookcentral.proquest.com/lib/istinye/detail.action?docID=7101053</t>
  </si>
  <si>
    <t>Wechselkursstabilisierung und Währungskooperation. : Mit einem Vorwort von Jürgen Siebke.</t>
  </si>
  <si>
    <t>Regulierung und Deregulierung im Bereich der Sozialpolitik.</t>
  </si>
  <si>
    <t>Thiemeyer, Theo</t>
  </si>
  <si>
    <t>https://ebookcentral.proquest.com/lib/istinye/detail.action?docID=7101055</t>
  </si>
  <si>
    <t>Wettbewerb und Anpassung in der Stahlindustrie.</t>
  </si>
  <si>
    <t>https://ebookcentral.proquest.com/lib/istinye/detail.action?docID=7101056</t>
  </si>
  <si>
    <t>Beschäftigungsprobleme hochentwickelter Volkswirtschaften. : Jahrestagung des Vereins für Socialpolitik, Gesellschaft für Wirtschafts- und Sozialwissenschaften, in Berlin vom 14. - 16. September 1987.</t>
  </si>
  <si>
    <t>Scherf, Harald</t>
  </si>
  <si>
    <t>Probleme der Konjunkturtheorie im ausgehenden 19. Jahrhundert. : Studien zur Entwicklung der ökonomischen Theorie VII.</t>
  </si>
  <si>
    <t>Schefold, Bertram</t>
  </si>
  <si>
    <t>https://ebookcentral.proquest.com/lib/istinye/detail.action?docID=7101058</t>
  </si>
  <si>
    <t>Regulierung und Wettbewerb im europäischen Luftverkehr.</t>
  </si>
  <si>
    <t>Gröner, Helmut</t>
  </si>
  <si>
    <t>https://ebookcentral.proquest.com/lib/istinye/detail.action?docID=7101059</t>
  </si>
  <si>
    <t>Wettbewerbsprobleme öffentlich- und privatrechtlicher Medien.</t>
  </si>
  <si>
    <t>https://ebookcentral.proquest.com/lib/istinye/detail.action?docID=7101060</t>
  </si>
  <si>
    <t>Einkommensverteilung und Bevölkerungsentwicklung.</t>
  </si>
  <si>
    <t>Deutsche Nationalökonomie in der Zwischenkriegszeit. : Studien zur Entwicklung der ökonomischen Theorie VIII.</t>
  </si>
  <si>
    <t>Probleme der Finanzgeschichte des 19. und 20. Jahrhunderts.</t>
  </si>
  <si>
    <t>Petzina, Dietmar</t>
  </si>
  <si>
    <t>https://ebookcentral.proquest.com/lib/istinye/detail.action?docID=7101063</t>
  </si>
  <si>
    <t>Regionale Beschäftigung und Technologieentwicklung.</t>
  </si>
  <si>
    <t>Böventer, Edwin von</t>
  </si>
  <si>
    <t>https://ebookcentral.proquest.com/lib/istinye/detail.action?docID=7101064</t>
  </si>
  <si>
    <t>Währungsreform und Soziale Marktwirtschaft. : Erfahrungen und Perspektiven nach 40 Jahren. Jahrestagung des Vereins für Socialpolitik, Gesellschaft für Wirtschafts- und Sozialwissenschaften, in Freiburg i. Br. vom 5. - 7. Oktober 1988.</t>
  </si>
  <si>
    <t>Strukturelle Anpassung altindustrieller Regionen im internationalen Vergleich.</t>
  </si>
  <si>
    <t>Hamm, Rüdiger</t>
  </si>
  <si>
    <t>Schattenwirtschaft und Strukturwandel in der Bundesrepublik Deutschland.</t>
  </si>
  <si>
    <t>Döhrn, Roland</t>
  </si>
  <si>
    <t>https://ebookcentral.proquest.com/lib/istinye/detail.action?docID=7101067</t>
  </si>
  <si>
    <t>Einbeziehung von Umweltindikatoren in die Regionalpolitik.</t>
  </si>
  <si>
    <t>Karl, Helmut</t>
  </si>
  <si>
    <t>Friedrich List: Voraussetzungen und Folgen. : Studien zur Entwicklung der ökonomischen Theorie X.</t>
  </si>
  <si>
    <t>https://ebookcentral.proquest.com/lib/istinye/detail.action?docID=7101069</t>
  </si>
  <si>
    <t>Möglichkeiten und Grenzen der Steuerung von Rückstandsmaterialströmen über den Abfallbeseitigungspreis.</t>
  </si>
  <si>
    <t>Hecht, Dieter</t>
  </si>
  <si>
    <t>Die Stahlindustrie in der DDR.</t>
  </si>
  <si>
    <t>Wienert, Helmut</t>
  </si>
  <si>
    <t>https://ebookcentral.proquest.com/lib/istinye/detail.action?docID=7101071</t>
  </si>
  <si>
    <t>Die Darstellung der Wirtschaft und der Wirtschaftswissenschaften in der Belletristik. : Studien zur Entwicklung der ökonomischen Theorie XI.</t>
  </si>
  <si>
    <t>https://ebookcentral.proquest.com/lib/istinye/detail.action?docID=7101072</t>
  </si>
  <si>
    <t>Politische Maßnahmen zur Verbesserung von Standortqualitäten.</t>
  </si>
  <si>
    <t>Klemmer, Paul</t>
  </si>
  <si>
    <t>Konsumstruktur, Umweltbewußtsein und Umweltpolitik. : Eine makroökonomische Analyse des Zusammenhanges in ausgewählten Konsumbereichen.</t>
  </si>
  <si>
    <t>Wenke, Martin</t>
  </si>
  <si>
    <t>Konflikte um Standorte für Abfallbehandlungs- und -beseitigungsanlagen. : Ursachen und Lösungsansätze aus ökonomischer Sicht.</t>
  </si>
  <si>
    <t>Werbeck, Nicola</t>
  </si>
  <si>
    <t>Ausländische Selbständige in der Bundesrepublik : unter besonderer Berücksichtigung von Entwicklungsperspektiven in den neuen Bundesländern.</t>
  </si>
  <si>
    <t>Loeffelholz, Hans Dietrich von</t>
  </si>
  <si>
    <t>Die Tarifierung elektrischer Energie. : Eine kritische Analyse aus ökonomischer Sicht.</t>
  </si>
  <si>
    <t>Werbeck, Thomas</t>
  </si>
  <si>
    <t>Krisenmanagement in der Stahlindustrie. : Eine theoretische und empirische Analyse der europäischen Stahlpolitik 1975 bis 1988.</t>
  </si>
  <si>
    <t>Verkehrsinfrastrukturpolitik in der Marktwirtschaft. : Eine institutionenökonomische Analyse.</t>
  </si>
  <si>
    <t>Wink, Rüdiger</t>
  </si>
  <si>
    <t>Regionales Innovationsmanagement unter den Bedingungen einer regionalisierten Strukturpolitik. : Das Beispiel der altindustriellen Regionen Nord-Pas-de-Calais und Emscher-Lippe.</t>
  </si>
  <si>
    <t>Feldotto, Petra</t>
  </si>
  <si>
    <t>https://ebookcentral.proquest.com/lib/istinye/detail.action?docID=7101080</t>
  </si>
  <si>
    <t>Das politische Denken von Christian Thomasius. : Staat, Gesellschaft, Bürger.</t>
  </si>
  <si>
    <t>Beiträge zur Politischen Wissenschaft</t>
  </si>
  <si>
    <t>Kühnel, Martin</t>
  </si>
  <si>
    <t>Legal Linguistics Beyond Borders: Language and Law in a World of Media, Globalisation and Social Conflicts. : Relaunching the International Language and Law Association (ILLA).</t>
  </si>
  <si>
    <t>Sprache und Medialität des Rechts - Language and Media of Law</t>
  </si>
  <si>
    <t>Vogel, Friedemann</t>
  </si>
  <si>
    <t>https://ebookcentral.proquest.com/lib/istinye/detail.action?docID=7101167</t>
  </si>
  <si>
    <t>Der König und sein Beichtvater. : Friedrich Wilhelm IV. und Carl Wilhelm Saegert. Briefwechsel 1848 bis 1856. Red.: Mathias Friedel.</t>
  </si>
  <si>
    <t>Deutsche Geschichtsquellen des 19. und 20. Jahrhunderts</t>
  </si>
  <si>
    <t>Baumgart, Winfried</t>
  </si>
  <si>
    <t>Carl von Schubert (1882–1947). : Sein Beitrag zur internationalen Politik in der Ära der Weimarer Republik. Ausgewählte Dokumente. Mit einer biographischen Einleitung von Martin Kröger.</t>
  </si>
  <si>
    <t>Kröger, Martin</t>
  </si>
  <si>
    <t>Ein preußischer Gesandter in München. : Georg Freiherr von Werthern. Tagebuch und politische Korrespondenz mit Bismarck 1867–1888. Red.: Mathias Friedel.</t>
  </si>
  <si>
    <t>Briefe eines Intellektuellen 1886–1937. : Hrsg. von Thomas Kroll - Friedrich Lenger - Michael Schellenberger.</t>
  </si>
  <si>
    <t>Lenger, Friedrich</t>
  </si>
  <si>
    <t>Menschen, die ich kannte. : Erinnerungen eines Achtzigjährigen.</t>
  </si>
  <si>
    <t>Vinattieri, Wiebke Fastenrath</t>
  </si>
  <si>
    <t>Fritz Hartung – Korrespondenz eines Historikers zwischen Kaiserreich und zweiter Nachkriegszeit</t>
  </si>
  <si>
    <t>Kraus, Hans-Christof</t>
  </si>
  <si>
    <t>https://ebookcentral.proquest.com/lib/istinye/detail.action?docID=7101180</t>
  </si>
  <si>
    <t>Der Grundsatz digitaler Souveränität. : Eine Untersuchung zur Zulässigkeit des Einbindens privater IT-Dienstleister in die Aufgabenwahrnehmung der öffentlichen Verwaltung.</t>
  </si>
  <si>
    <t>Schriften zum Öffentlichen Recht</t>
  </si>
  <si>
    <t>Ernst, Christian</t>
  </si>
  <si>
    <t>https://ebookcentral.proquest.com/lib/istinye/detail.action?docID=7101181</t>
  </si>
  <si>
    <t>Untersuchungen über die Lebenskosten in der Schweiz. : Untersuchungen über Preisbildung. Abteilung C: Kosten der Lebenshaltung. Erster Teil. (Schriften des Vereins für Sozialpolitik 146-I).</t>
  </si>
  <si>
    <t>Duncker &amp; Humblot reprints</t>
  </si>
  <si>
    <t>Bauer, Stephan</t>
  </si>
  <si>
    <t>https://ebookcentral.proquest.com/lib/istinye/detail.action?docID=7101182</t>
  </si>
  <si>
    <t>Geschichte des Vereins für Sozialpolitik 1872–1932. : Im Auftrage des Liquidationsausschusses verfaßt vom Schriftführer. (Schriften des Vereins für Sozialpolitik, Band 188).</t>
  </si>
  <si>
    <t>Boese, Franz</t>
  </si>
  <si>
    <t>Moderne Organisationsformen der öffentlichen Unternehmung. : Zweiter Teil: Deutsches Reich. Mit elf Beiträgen. (Schriften des Vereins für Sozialpolitik, Band 176-II).</t>
  </si>
  <si>
    <t>Landmann, Julius</t>
  </si>
  <si>
    <t>https://ebookcentral.proquest.com/lib/istinye/detail.action?docID=7101184</t>
  </si>
  <si>
    <t>Die Arbeitslosigkeit der Gegenwart. : Zweiter Teil: Deutsches Reich I. (Schriften des Vereins für Sozialpolitik, Band 185-II).</t>
  </si>
  <si>
    <t>Saitzew, Manuel</t>
  </si>
  <si>
    <t>Die Arbeitslosigkeit der Gegenwart. : Dritter Teil: Deutsches Reich II. (Schriften des Vereins für Sozialpolitik, Band 185-III).</t>
  </si>
  <si>
    <t>Die betriebliche Sozialpolitik in der westdeutschen Großeisenindustrie. : Die betriebliche Sozialpolitik einzelner Industriezweige, zweiter Teil. Hrsg. von Goetz Briefs. (Schriften des Vereins für Sozialpolitik, Band 186-II).</t>
  </si>
  <si>
    <t>Zur Reform des Actiengesellschaftswesens. : Drei Gutachten auf Veranlassung der Eisenacher Versammlung zur Besprechung der socialen Frage. (Schriften des Vereins für Socialpolitik I).</t>
  </si>
  <si>
    <t>Socialpolitik, Verein für</t>
  </si>
  <si>
    <t>https://ebookcentral.proquest.com/lib/istinye/detail.action?docID=7101188</t>
  </si>
  <si>
    <t>Ueber Fabrikgesetzgebung, Schiedsgerichte und Einigungsämter. : Gutachten auf Veranlassung der Eisenacher Versammlung zur Besprechung der socialen Frage. (Schriften des Vereins für Socialpolitik II).</t>
  </si>
  <si>
    <t>https://ebookcentral.proquest.com/lib/istinye/detail.action?docID=7101189</t>
  </si>
  <si>
    <t>Die Personalbesteuerung. : Gutachten auf Veranlassung der Eisenacher Versammlung zur Besprechung der socialen Frage. (Schriften des Vereins für Socialpolitik III).</t>
  </si>
  <si>
    <t>https://ebookcentral.proquest.com/lib/istinye/detail.action?docID=7101190</t>
  </si>
  <si>
    <t>Verhandlungen des Vereins für Socialpolitik am 12. und 13. October 1873. : Auf Grund der stenographischen Niederschrift hrsg. vom Ständigen Ausschuß. (Schriften des Vereins für Socialpolitik IV).</t>
  </si>
  <si>
    <t>Ueber Alters- und Invalidencassen für Arbeiter. : Gutachten auf Veranlassung des Vereins für Socialpolitik. Im Anhang der Entwurf zu einem Gesetz betr. die gegenseitigen Hülfscassen. (Schriften des Vereins für Socialpolitik V).</t>
  </si>
  <si>
    <t>https://ebookcentral.proquest.com/lib/istinye/detail.action?docID=7101192</t>
  </si>
  <si>
    <t>Ueber Betheiligung der Arbeiter am Unternehmergewinn. : Gutachten auf Veranlassung des Vereins für Socialpolitik. (Schriften des Vereins für Socialpolitik VI).</t>
  </si>
  <si>
    <t>https://ebookcentral.proquest.com/lib/istinye/detail.action?docID=7101193</t>
  </si>
  <si>
    <t>Ueber Bestrafung des Arbeitsvertragsbruches. : Gutachten auf Veranlassung des Vereins für Socialpolitik. (Schriften des Vereins für Socialpolitik VII).</t>
  </si>
  <si>
    <t>https://ebookcentral.proquest.com/lib/istinye/detail.action?docID=7101194</t>
  </si>
  <si>
    <t>Die progressive Einkommensteuer im Staats- und Gemeinde-Haushalt. : Gutachten über Personalbesteuerung, auf Veranlassung des Vereins für Socialpolitik. (Schriften des Vereins für Socialpolitik VIII).</t>
  </si>
  <si>
    <t>Neumann, Friedrich Julius</t>
  </si>
  <si>
    <t>https://ebookcentral.proquest.com/lib/istinye/detail.action?docID=7101195</t>
  </si>
  <si>
    <t>Verhandlungen der zweiten Generalversammlung des Vereins für Socialpolitik am 11. und 12. October 1874. : Auf Grund der stenographischen Niederschrift hrsg. vom Ständigen Ausschuß. (Schriften des Vereins für Socialpolitik IX).</t>
  </si>
  <si>
    <t>Die Reform des Lehrlingswesens. : Sechszehn Gutachten und Berichte veröffentlicht vom Verein für Socialpolitik. (Schriften des Vereins für Socialpolitik X).</t>
  </si>
  <si>
    <t>https://ebookcentral.proquest.com/lib/istinye/detail.action?docID=7101197</t>
  </si>
  <si>
    <t>Verhandlungen der dritten Generalversammlung des Vereins für Socialpolitik am 10., 11. und 12. October 1875. : Auf Grund der stenographischen Niederschrift hrsg. vom Ständigen Ausschuß. (Schriften des Vereins für Socialpolitik XI).</t>
  </si>
  <si>
    <t>Die Communalsteuerfrage. : Zehn Gutachten und Berichte veröffentlicht vom Verein für Socialpolitik. (Schriften des Vereins für Socialpolitik XII).</t>
  </si>
  <si>
    <t>https://ebookcentral.proquest.com/lib/istinye/detail.action?docID=7101199</t>
  </si>
  <si>
    <t>Das Verfahren bei Enquêten über sociale Verhältnisse. : Drei Gutachten nebst einem Anhang. (Schriften des Vereins für Socialpolitik XIII).</t>
  </si>
  <si>
    <t>https://ebookcentral.proquest.com/lib/istinye/detail.action?docID=7101200</t>
  </si>
  <si>
    <t>Verhandlungen der fünften Generalversammlung des Vereins für Socialpolitik am 8., 9. und 10. October 1877. : Auf Grund der stenographischen Niederschrift hrsg. vom Ständigen Ausschuß. (Schriften des Vereins für Socialpolitik XIV).</t>
  </si>
  <si>
    <t>Das Gewerbliche Fortbildungswesen. : Sieben Gutachten und Berichte veröffentlicht vom Verein für Socialpolitik. (Schriften des Vereins für Socialpolitik XV).</t>
  </si>
  <si>
    <t>https://ebookcentral.proquest.com/lib/istinye/detail.action?docID=7101202</t>
  </si>
  <si>
    <t>Verhandlungen der sechsten Generalversammlung des Vereins für Socialpolitik über die Zolltarifvorlagen am 21. und 22. April 1879 in Frankfurt a.M. : Auf Grund der stenographischen Niederschrift hrsg. vom Ständigen Ausschuß. (Schriften des Vereins für Socialpolitik XVI).</t>
  </si>
  <si>
    <t>https://ebookcentral.proquest.com/lib/istinye/detail.action?docID=7101203</t>
  </si>
  <si>
    <t>Die Amerikanischen Gewerkvereine. : (Schriften des Vereins für Socialpolitik XVIII).</t>
  </si>
  <si>
    <t>Farnam, Henry W.</t>
  </si>
  <si>
    <t>https://ebookcentral.proquest.com/lib/istinye/detail.action?docID=7101204</t>
  </si>
  <si>
    <t>Gewerkvereine und Unternehmerverbände in Frankreich. : Ein Beitrag zur Kenntnis der socialen Bewegung. (Schriften des Vereins für Socialpolitik XVII).</t>
  </si>
  <si>
    <t>Lexis, Wilhelm</t>
  </si>
  <si>
    <t>https://ebookcentral.proquest.com/lib/istinye/detail.action?docID=7101205</t>
  </si>
  <si>
    <t>Die Haftpflichtfrage. : Gutachten und Berichte veröffentlicht vom Verein für Socialpolitik. (Schriften des Vereins für Socialpolitik XIX).</t>
  </si>
  <si>
    <t>https://ebookcentral.proquest.com/lib/istinye/detail.action?docID=7101206</t>
  </si>
  <si>
    <t>Das Erbrecht und die Grundeigenthumsvertheilung im Deutschen Reiche. : Ein socialwirthschaftlicher Beitrag zur Kritik und Reform des deutschen Erbrechts. Erste Abtheilung: Die Vertheilung des landwirthschaftlich benutzten Grundeigenthums und das gemeine Erbrecht. (Schriften des Vereins für Socialpolitik XX).</t>
  </si>
  <si>
    <t>Miaskowski, August von</t>
  </si>
  <si>
    <t>https://ebookcentral.proquest.com/lib/istinye/detail.action?docID=7101207</t>
  </si>
  <si>
    <t>Verhandlungen der am 9. und 10. October 1882 in Frankfurt a.M. abgehaltenen Generalversammlung des Vereins für Socialpolitik über Grundeigenthumsvertheilung und Erbrechtsreform</t>
  </si>
  <si>
    <t>Bäuerliche Zustände in Deutschland. : Berichte veröffentlicht vom Verein für Socialpolitik. Erster Band. (Schriften des Vereins für Socialpolitik XXII).</t>
  </si>
  <si>
    <t>https://ebookcentral.proquest.com/lib/istinye/detail.action?docID=7101209</t>
  </si>
  <si>
    <t>Bäuerliche Zustände in Deutschland. : Berichte veröffentlicht vom Verein für Socialpolitik. Zweiter Band. (Schriften des Vereins für Socialpolitik XXIII).</t>
  </si>
  <si>
    <t>https://ebookcentral.proquest.com/lib/istinye/detail.action?docID=7101210</t>
  </si>
  <si>
    <t>Bäuerliche Zustände in Deutschland. : Berichte veröffentlicht vom Verein für Socialpolitik. Dritter Band. (Schriften des Vereins für Socialpolitik XXIV).</t>
  </si>
  <si>
    <t>https://ebookcentral.proquest.com/lib/istinye/detail.action?docID=7101211</t>
  </si>
  <si>
    <t>Das Erbrecht und die Grundeigenthumsvertheilung im Deutschen Reiche. : Ein socialwirthschaftlicher Beitrag zur Kritik und Reform des deutschen Erbrechts. Zweite Abtheilung: Das Familienfideicommiß, das landwirthschaftliche Erbgut und das Anerbenrecht. (Schriften des Vereins für Socialpolitik XXV).</t>
  </si>
  <si>
    <t>https://ebookcentral.proquest.com/lib/istinye/detail.action?docID=7101212</t>
  </si>
  <si>
    <t>Die Arbeiterversicherung in Frankreich. : (Schriften des Vereins für Socialpolitik XXVI).</t>
  </si>
  <si>
    <t>Osten, Max von der</t>
  </si>
  <si>
    <t>https://ebookcentral.proquest.com/lib/istinye/detail.action?docID=7101213</t>
  </si>
  <si>
    <t>Agrarische Zustände in Frankreich und England. : Auf Grund der neueren Enquêten dargestellt. (Schriften des Vereins für Socialpolitik XXVII).</t>
  </si>
  <si>
    <t>Reitzenstein, Friedrich Frhr. von</t>
  </si>
  <si>
    <t>Verhandlungen der am 6. und 7. October 1884 in Frankfurt a.M. abgehaltenen Generalversammlung des Vereins für Socialpolitik über Maßregeln der Gesetzgebung und Verwaltung zur Erhaltung des bäuerlichen Grundbesitzes : und über die Einwirkung der Organisation unserer höheren und mittleren Schulen auf das sociale Leben und die Erwerbsthätigkeit der Nation. Auf Grund der stenogr. Niederschrift hrsg. vom Ständigen Ausschuß. (Schriften des Vereins für Socialpolitik XXVIII).</t>
  </si>
  <si>
    <t>https://ebookcentral.proquest.com/lib/istinye/detail.action?docID=7101215</t>
  </si>
  <si>
    <t>Agrarische Zustände in Italien. : Auf Grund der jüngsten Enquête und anderer offizieller Quellen dargestellt. (Schriften des Vereins für Socialpolitik XXIX).</t>
  </si>
  <si>
    <t>Eheberg, Karl Theodor</t>
  </si>
  <si>
    <t>https://ebookcentral.proquest.com/lib/istinye/detail.action?docID=7101216</t>
  </si>
  <si>
    <t>Die Wohnungsnoth der ärmeren Klassen in deutschen Großstädten und Vorschläge zu deren Abhülfe. : Erster Band. Gutachten und Berichte hrsg. im Auftrage des Vereins für Socialpolitik. (Schriften des Vereins für Socialpolitik XXX).</t>
  </si>
  <si>
    <t>Die Wohnungsnoth der ärmeren Klassen in deutschen Großstädten und Vorschläge zu deren Abhülfe. : Zweiter Band. Gutachten und Berichte hrsg. im Auftrage des Vereins für Socialpolitik. (Schriften des Vereins für Socialpolitik XXXI).</t>
  </si>
  <si>
    <t>Zur inneren Kolonisation in Deutschland. : Erfahrungen und Vorschläge hrsg. im Auftrage des Vereins für Socialpolitik. (Schriften des Vereins für Socialpolitik XXXII).</t>
  </si>
  <si>
    <t>Verhandlungen der am 24. und 25. September 1886 in Frankfurt a.M. abgehaltenen Generalversammlung des Vereins für Socialpolitik über die Wohnungsverhältnisse der ärmeren Klassen in deutschen Großstädten : und über innere Kolonisation mit Rücksicht auf die Erhaltung und Vermehrung des mittleren und kleineren ländlichen Grundbesitzes. Auf Grund der stenographischen Niederschrift hrsg. vom Ständigen Ausschuß. (Schriften des Vereins für Socialpolitik XXXIII).</t>
  </si>
  <si>
    <t>Die Vorbildung zum höheren Verwaltungsdienste in den deutschen Staaten, Oesterreich und Frankreich. : Berichte und Gutachten veröffentlicht vom Verein für Socialpolitik. (Schriften des Vereins für Socialpolitik XXXIV).</t>
  </si>
  <si>
    <t>https://ebookcentral.proquest.com/lib/istinye/detail.action?docID=7101221</t>
  </si>
  <si>
    <t>Der Wucher auf dem Lande. : Berichte und Gutachten veröffentlicht vom Verein für Socialpolitik. (Schriften des Vereins für Socialpolitik XXXV).</t>
  </si>
  <si>
    <t>Der Einfluß des Zwischenhandels auf die Preise auf Grund der Preisentwicklung im aachener Kleinhandel. : Untersuchungen über den Einfluß der distributiven Gewerbe auf die Preise, erstes Heft. (Schriften des Vereins für Socialpolitik XXXVI).</t>
  </si>
  <si>
    <t>Borght, Richard van der</t>
  </si>
  <si>
    <t>https://ebookcentral.proquest.com/lib/istinye/detail.action?docID=7101223</t>
  </si>
  <si>
    <t>Litteratur, heutige Zustände und Entstehung der deutschen Hausindustrie. : Nach den vorliegenden gedruckten Quellen. Die deutsche Hausindustrie, erster Band. (Schriften des Vereins für Socialpolitik XXXIX).</t>
  </si>
  <si>
    <t>Stieda, Wilhelm</t>
  </si>
  <si>
    <t>https://ebookcentral.proquest.com/lib/istinye/detail.action?docID=7101224</t>
  </si>
  <si>
    <t>Die Hausindustrie im nördlichen Thüringen. : Berichte. Die deutsche Hausindustrie, zweiter Band. (Schriften des Vereins für Socialpolitik XL).</t>
  </si>
  <si>
    <t>https://ebookcentral.proquest.com/lib/istinye/detail.action?docID=7101225</t>
  </si>
  <si>
    <t>Berichte aus der Hausindustrie im südwestlichen Deutschland. : Die deutsche Hausindustrie, dritter Band. (Schriften des Vereins für Socialpolitik XLI).</t>
  </si>
  <si>
    <t>https://ebookcentral.proquest.com/lib/istinye/detail.action?docID=7101226</t>
  </si>
  <si>
    <t>Berichte aus der Hausindustrie in Berlin, Osnabrück, im Fichtelgebirge und in Schlesien. : Die deutsche Hausindustrie, vierter Band. (Schriften des Vereins für Socialpolitik XLII).</t>
  </si>
  <si>
    <t>https://ebookcentral.proquest.com/lib/istinye/detail.action?docID=7101227</t>
  </si>
  <si>
    <t>Die Landgemeinde in den östlichen Provinzen Preußens und die Versuche, eine Landgemeindeordnung zu schaffen. : (Schriften des Vereins für Socialpolitik XLIII).</t>
  </si>
  <si>
    <t>Keil, Friedrich</t>
  </si>
  <si>
    <t>Berichte über die Zustände und die Reform des ländlichen Gemeindewesens in Preußen. : (Schriften des Vereins für Socialpolitik XLIV).</t>
  </si>
  <si>
    <t>Arbeitseinstellungen und Fortbildung des Arbeitsvertrags. : Berichte im Auftrage des Vereins für Socialpolitik hrsg. und eingel. von Lujo Brentano. (Schriften des Vereins für Socialpolitik XLV).</t>
  </si>
  <si>
    <t>Brentano, Lujo</t>
  </si>
  <si>
    <t>Arbeiter-Ausschüsse in der deutschen Industrie. : Gutachten, Berichte, Statuten hrsg. im Auftrage des Vereins für Socialpolitik. (Schriften des Vereins für Socialpolitik XLVI).</t>
  </si>
  <si>
    <t>https://ebookcentral.proquest.com/lib/istinye/detail.action?docID=7101231</t>
  </si>
  <si>
    <t>Verhandlungen der am 26. und 27. September 1890 in Frankfurt a.M. abgehaltenen Generalversammlung des Vereins für Socialpolitik über die Reform der Landgemeindeordnung in Preußen : und über Arbeitseinstellungen und die Fortbildung des Arbeitsvertrags. Auf Grund der stenographischen Niederschrift hrsg. vom Ständigen Ausschuß. (Schriften des Vereins für Socialpolitik XLVII).</t>
  </si>
  <si>
    <t>Die Hausindustrie in der Stadt Leipzig und ihrer Umgebung. : Die deutsche Hausindustrie, fünfter Band. (Schriften des Vereins für Socialpolitik XLVIII).</t>
  </si>
  <si>
    <t>Lehr, Adolf</t>
  </si>
  <si>
    <t>https://ebookcentral.proquest.com/lib/istinye/detail.action?docID=7101233</t>
  </si>
  <si>
    <t>Die Ideen der deutschen Handelspolitik von 1860 bis 1891. : Die Handelspolitik der wichtigeren Kulturstaaten in den letzten Jahrzehnten, zweiter Band. (Schriften des Vereins für Socialpolitik L).</t>
  </si>
  <si>
    <t>https://ebookcentral.proquest.com/lib/istinye/detail.action?docID=7101234</t>
  </si>
  <si>
    <t>Die Handelspolitik Nordamerikas, Italiens, Österreichs, Belgiens, der Niederlande, Dänemarks, Schwedens und Norwegens, Rußlands und der Schweiz in den letzten Jahrzehnten sowie die deutsche Handelsstatistik von 1880 bis 1890. : Berichte und Gutachten veröffentlicht vom Verein für Socialpolitik. Die Handelspolitik der wichtigeren Kulturstaaten in den letzten Jahrzehnten, erster Band. (Schriften des Vereins für Socialpolitik XLIX).</t>
  </si>
  <si>
    <t>https://ebookcentral.proquest.com/lib/istinye/detail.action?docID=7101235</t>
  </si>
  <si>
    <t>Die Handelspolitik der Balkanstaaten Rumänien, Serbien und Bulgarien, Spaniens und Frankreichs in den letzten Jahrzehnten. : Berichte und Gutachten veröffentlicht vom Verein für Socialpolitik. Die Handelspolitik der wichtigeren Kulturstaaten in den letzten Jahrzehnten, dritter Band. (Schriften des Vereins für Socialpolitik LI).</t>
  </si>
  <si>
    <t>https://ebookcentral.proquest.com/lib/istinye/detail.action?docID=7101236</t>
  </si>
  <si>
    <t>Auswanderung und Auswanderungspolitik in Deutschland. : Berichte über die Entwicklung und den gegenwärtigen Zustand des Auswanderungswesens in den Einzelstaaten und im Reich. Im Auftrage des Vereins für Socialpolitik hrsg. (Schriften des Vereins für Socialpolitik LII).</t>
  </si>
  <si>
    <t>Philippovich, Eugen von</t>
  </si>
  <si>
    <t>Die Verhältnisse der Landarbeiter in Nordwestdeutschland, Württemberg, Baden und in den Reichslanden. : Geschildert auf Grund der vom Verein für Socialpolitik veranstalteten Erhebungen. Mit einem Anhang: Zur Statistik der deutschen Landarbeiter. Die Verhältnisse der Landarbeiter in Deutschland, erster Band. (Schriften des Vereins für Socialpolitik LIII).</t>
  </si>
  <si>
    <t>Die Verhältnisse der Landarbeiter in Hohenzollern, im Reg.-Bez. Wiesbaden, in Thüringen, Bayern, im Großherzogtum Hessen, Reg.-Bez. Kassel, Königreich Sachsen, in den Provinzen Schleswig-Holstein, Sachsen und Hannover südl. Teil, in den Herzogtümern : Braunschweig und Anhalt, in der Rheinprovinz und im Fürstentum Birkenfeld. Geschildert auf Grund der vom Ver. f. Socialpol. veranst. Erhebungen. Die Verhältnisse der Landarbeiter in Deutschland, zweiter Band. (Schriften des Vereins für Socialpolitik LIV).</t>
  </si>
  <si>
    <t>Die Verhältnisse der Landarbeiter im ostelbischen Deutschland (Preußische Provinzen Ost- und Westpreußen, Pommern, Posen, Schlesien, Brandenburg, Großherzogtümer Mecklenburg, Kreis Herzogtum Lauenburg). : Dargestellt auf Grund der vom Verein für Socialpolitik veranstalteten Erhebungen. Die Verhältnisse der Landarbeiter in Deutschland, dritter Band. (Schriften des Vereins für Socialpolitik LV).</t>
  </si>
  <si>
    <t>Weber, Max</t>
  </si>
  <si>
    <t>Die innere Kolonisation im östlichen Deutschland. : (Schriften des Vereins für Socialpolitik LVI).</t>
  </si>
  <si>
    <t>Die Handelspolitik Englands und seiner Kolonien in den letzten Jahrzehnten. : Die Handelspolitik der wichtigeren Kulturstaaten in den letzten Jahrzehnten, vierter Band. (Schriften des Vereins für Socialpolitik LVII).</t>
  </si>
  <si>
    <t>https://ebookcentral.proquest.com/lib/istinye/detail.action?docID=7101242</t>
  </si>
  <si>
    <t>Verhandlungen der am 20. und 21. März 1893 in Berlin abgehaltenen Generalversammlung des Vereins für Socialpolitik über die ländliche Arbeiterfrage und über die Bodenbesitzverteilung und die Sicherung des Kleingrundbesitzes. : Auf Grund der stenographischen Niederschrift hrsg. vom Ständigen Ausschuß. (Schriften des Vereins für Socialpolitik LVIII).</t>
  </si>
  <si>
    <t>Die englischen Landarbeiter in den letzten hundert Jahren und die Einhegungen. : Mit einem Anhange über die ländlichen socialen Verhältnisse in Dänemark und Schweden von William Scharling und Pontus Fahlbeck. (Schriften des Vereins für Socialpolitik LIX).</t>
  </si>
  <si>
    <t>Hasbach, Wilhelm</t>
  </si>
  <si>
    <t>Über wirtschaftliche Kartelle in Deutschland und im Auslande. : Fünfzehn Schilderungen nebst einer Anzahl Statuten und Beilagen. (Schriften des Vereins für Socialpolitik LX).</t>
  </si>
  <si>
    <t>https://ebookcentral.proquest.com/lib/istinye/detail.action?docID=7101245</t>
  </si>
  <si>
    <t>Verhandlungen der am 28. und 29. September 1894 in Wien abgehaltenen Generalversammlung des Vereins für Socialpolitik über die Kartelle und über das ländliche Erbrecht. : Auf Grund der stenographischen Niederschrift hrsg. vom Ständigen Ausschuß. (Schriften des Vereins für Socialpolitik LXI).</t>
  </si>
  <si>
    <t>Untersuchungen über die Lage des Handwerks in Deutschland mit besonderer Rücksicht auf seine Konkurrenzfähigkeit gegenüber der Großindustrie. : Erster Band: Königreich Preußen. Erster Teil. (Schriften des Vereins für Socialpolitik LXII).</t>
  </si>
  <si>
    <t>https://ebookcentral.proquest.com/lib/istinye/detail.action?docID=7101247</t>
  </si>
  <si>
    <t>Untersuchungen über die Lage des Handwerks in Deutschland mit besonderer Rücksicht auf seine Konkurrenzfähigkeit gegenüber der Großindustrie. : Zweiter Band: Königreich Sachsen: Arbeiten aus dem Volkswirthschaftlich-statistischen Seminar der Universität Leipzig. Erster Teil. (Schriften des Vereins für Socialpolitik LXIII).</t>
  </si>
  <si>
    <t>https://ebookcentral.proquest.com/lib/istinye/detail.action?docID=7101248</t>
  </si>
  <si>
    <t>Untersuchungen über die Lage des Handwerks in Deutschland mit besonderer Rücksicht auf seine Konkurrenzfähigkeit gegenüber der Großindustrie. : Dritter Band: Süddeutschland. (Schriften des Vereins für Socialpolitik LXIV).</t>
  </si>
  <si>
    <t>https://ebookcentral.proquest.com/lib/istinye/detail.action?docID=7101249</t>
  </si>
  <si>
    <t>Untersuchungen über die Lage des Handwerks in Deutschland mit besonderer Rücksicht auf seine Konkurrenzfähigkeit gegenüber der Großindustrie. : Vierter Band: Königreich Preußen. Zweiter Teil. (Schriften des Vereins für Socialpolitik LXV).</t>
  </si>
  <si>
    <t>https://ebookcentral.proquest.com/lib/istinye/detail.action?docID=7101250</t>
  </si>
  <si>
    <t>Untersuchungen über die Lage des Handwerks in Deutschland mit besonderer Rücksicht auf seine Konkurrenzfähigkeit gegenüber der Großindustrie. : Fünfter Band: Königreich Sachsen: Arbeiten aus dem Volkswirthschaftlich-statistischen Seminar der Universität Leipzig. Zweiter Teil. (Schriften des Vereins für Socialpolitik LXVI).</t>
  </si>
  <si>
    <t>https://ebookcentral.proquest.com/lib/istinye/detail.action?docID=7101251</t>
  </si>
  <si>
    <t>Untersuchungen über die Lage des Handwerks in Deutschland mit besonderer Rücksicht auf seine Konkurrenzfähigkeit gegenüber der Großindustrie. : Sechster Band: Königreich Sachsen. Dritter Teil. (Schriften des Vereins für Socialpolitik LXVII).</t>
  </si>
  <si>
    <t>https://ebookcentral.proquest.com/lib/istinye/detail.action?docID=7101252</t>
  </si>
  <si>
    <t>Untersuchungen über die Lage des Handwerks in Deutschland mit besonderer Rücksicht auf seine Konkurrenzfähigkeit gegenüber der Großindustrie. : Siebenter Band: Königreich Preußen. Dritter Teil. (Schriften des Vereins für Socialpolitik LXVIII).</t>
  </si>
  <si>
    <t>https://ebookcentral.proquest.com/lib/istinye/detail.action?docID=7101253</t>
  </si>
  <si>
    <t>Untersuchungen über die Lage des Handwerks in Deutschland mit besonderer Rücksicht auf seine Konkurrenzfähigkeit gegenüber der Großindustrie. : Achter Band: Süddeutschland. Zweiter Teil. (Schriften des Vereins für Socialpolitik LXIX).</t>
  </si>
  <si>
    <t>https://ebookcentral.proquest.com/lib/istinye/detail.action?docID=7101254</t>
  </si>
  <si>
    <t>Untersuchungen über die Lage des Handwerks in Deutschland mit besonderer Rücksicht auf seine Konkurrenzfähigkeit gegenüber der Großindustrie. : Neunter Band: Verschiedene Staaten. Mit einem Verzeichnis der Mitarbeiter, einem Orts- und Sachregister. (Schriften des Vereins für Socialpolitik LXX).</t>
  </si>
  <si>
    <t>https://ebookcentral.proquest.com/lib/istinye/detail.action?docID=7101255</t>
  </si>
  <si>
    <t>Untersuchungen über die Lage des Handwerks in Österreich mit besonderer Rücksicht auf seine Konkurrenzfähigkeit gegenüber der Großindustrie. : (Schriften des Vereins für Socialpolitik LXXI).</t>
  </si>
  <si>
    <t>https://ebookcentral.proquest.com/lib/istinye/detail.action?docID=7101256</t>
  </si>
  <si>
    <t>Englische Auswanderung und Auswanderungspolitik : im neunzehnten Jahrhundert. Von Karl Rathgen – Einwanderung und Einwanderungsgesetzgebung in Nordamerika und Brasilien. Von Richmond Mayo-Smith - Rudolph A. Hehl. (Schriften des Vereins für Socialpolitik LXXII).</t>
  </si>
  <si>
    <t>Rathgen, Karl</t>
  </si>
  <si>
    <t>Der Personalkredit des ländlichen Kleingrundbesitzes in Deutschland. : Berichte und Gutachten veröffentlicht vom Verein für Socialpolitik. Erster Band: Süddeutschland. (Schriften des Vereins für Socialpolitik LXXIII).</t>
  </si>
  <si>
    <t>Der Personalkredit des ländlichen Kleingrundbesitzes in Deutschland. : Berichte und Gutachten veröffentlicht vom Verein für Socialpolitik. Zweiter Band: Mittel- und Norddeutschland. (Schriften des Vereins für Socialpolitik LXXIV).</t>
  </si>
  <si>
    <t>Der Personalkredit des ländlichen Kleingrundbesitzes in Österreich. : Berichte und Gutachten veröffentlicht vom Verein für Socialpolitik. (Schriften des Vereins für Socialpolitik LXXV).</t>
  </si>
  <si>
    <t>Verhandlungen der am 23., 24. und 25. September 1897 in Köln a. Rh. abgehaltenen Generalversammlung des Vereins für Socialpolitik über die Handwerkerfrage, den ländlichen Personalkredit : und die Handhabung des Vereins- und Koalitionsrechts der Arbeiter im Deutschen Reiche. Auf Grund der stenographischen Niederschrift hrsg. vom Ständigen Ausschuß. (Schriften des Vereins für Socialpolitik LXXVI).</t>
  </si>
  <si>
    <t>Untersuchungen über die Lage des Hausiergewerbes in Deutschland. : Erster Band. (Schriften des Vereins für Socialpolitik LXXVII).</t>
  </si>
  <si>
    <t>Untersuchungen über die Lage des Hausiergewerbes in Deutschland. : Zweiter Band: Westerwälder Hausierer und Landgänger. Von Johann Plenge. (Schriften des Vereins für Socialpolitik LXXVIII).</t>
  </si>
  <si>
    <t>Untersuchungen über die Lage des Hausiergewerbes in Deutschland. : Dritter Band. (Schriften des Vereins für Socialpolitik LXXIX).</t>
  </si>
  <si>
    <t>Untersuchungen über die Lage des Hausiergewerbes in Deutschland. : Vierter Band. (Schriften des Vereins für Socialpolitik LXXX).</t>
  </si>
  <si>
    <t>Untersuchungen über die Lage des Hausiergewerbes in Deutschland. : Fünfter Band. Mit einem Sachregister über die Bände 77–81. (Schriften des Vereins für Socialpolitik LXXXI).</t>
  </si>
  <si>
    <t>Untersuchungen über die Lage des Hausiergewerbes in Österreich. : (Schriften des Vereins für Socialpolitik LXXXII).</t>
  </si>
  <si>
    <t>Untersuchungen über die Lage des Hausiergewerbes in Schweden, Italien, Großbritannien und der Schweiz. : (Schriften des Vereins für Socialpolitik LXXXIII).</t>
  </si>
  <si>
    <t>Hausindustrie und Heimarbeit in Deutschland und Österreich. : Erster Band: Süddeutschland und Schlesien. (Schriften des Vereins für Socialpolitik LXXXIV).</t>
  </si>
  <si>
    <t>Hausindustrie und Heimarbeit in Deutschland und Österreich. : Dritter Band: Mittel- und Westdeutschland – Österreich. (Schriften des Vereins für Socialpolitik LXXXVI).</t>
  </si>
  <si>
    <t>Hausindustrie und Heimarbeit in Deutschland und Österreich. : Zweiter Band: Die Hausindustrie der Frauen in Berlin. (Schriften des Vereins für Socialpolitik LXXXV).</t>
  </si>
  <si>
    <t>Hausindustrie und Heimarbeit in Deutschland und Österreich. : Vierter Band: Gesetzgebung, Statistik und Übersichten. (Schriften des Vereins für Socialpolitik LXXXVII).</t>
  </si>
  <si>
    <t>Verhandlungen der am 25., 26. und 27. September 1899 in Breslau abgehaltenen Generalversammlung des Vereins für Socialpolitik über die Hausindustrie und ihre gesetzliche Regelung, die Lage des Hausiergewerbes : und die Entwicklungstendenzen im modernen Kleinhandel. Auf Grund der stenographischen Niederschrift hrsg. vom Ständigen Ausschuß. (Schriften des Vereins für Socialpolitik LXXXVIII).</t>
  </si>
  <si>
    <t>Eisenbahntarife und Wasserfrachten. : Studien zur Frage der Gebührenerhebung auf Binnenwasserstraßen. Im Auftrage des Vereins für Socialpolitik hrsg. und eingel. von Walther Lotz. (Schriften des Vereins für Socialpolitik LXXXIX).</t>
  </si>
  <si>
    <t>Beiträge zur neuesten Handelspolitik Deutschlands. : Zweiter Band. Hrsg. vom Verein für Socialpolitik. (Schriften des Vereins für Socialpolitik XCI).</t>
  </si>
  <si>
    <t>https://ebookcentral.proquest.com/lib/istinye/detail.action?docID=7101275</t>
  </si>
  <si>
    <t>Beiträge zur neuesten Handelspolitik Deutschlands. : Erster Band. Hrsg. vom Verein für Socialpolitik. (Schriften des Vereins für Socialpolitik XC).</t>
  </si>
  <si>
    <t>https://ebookcentral.proquest.com/lib/istinye/detail.action?docID=7101276</t>
  </si>
  <si>
    <t>Beiträge zur neuesten Handelspolitik Deutschlands. : Dritter Band. Hrsg. vom Verein für Socialpolitik. (Schriften des Vereins für Socialpolitik XCII).</t>
  </si>
  <si>
    <t>https://ebookcentral.proquest.com/lib/istinye/detail.action?docID=7101277</t>
  </si>
  <si>
    <t>Beiträge zur neuesten Handelspolitik Österreichs. : Hrsg. vom Verein für Socialpolitik. (Schriften des Vereins für Socialpolitik XCIII).</t>
  </si>
  <si>
    <t>https://ebookcentral.proquest.com/lib/istinye/detail.action?docID=7101278</t>
  </si>
  <si>
    <t>Neue Untersuchungen über die Wohnungsfrage in Deutschland und im Ausland. : Erster Band: Deutschland und Österreich. Erste Abteilung. Hrsg. vom Verein für Socialpolitik. (Schriften des Vereins für Socialpolitik XCIV).</t>
  </si>
  <si>
    <t>https://ebookcentral.proquest.com/lib/istinye/detail.action?docID=7101279</t>
  </si>
  <si>
    <t>Neue Untersuchungen über die Wohnungsfrage in Deutschland und im Ausland. : Erster Band: Deutschland und Österreich. Zweite Abteilung. Hrsg. vom Verein für Socialpolitik. (Schriften des Vereins für Socialpolitik XCV).</t>
  </si>
  <si>
    <t>https://ebookcentral.proquest.com/lib/istinye/detail.action?docID=7101280</t>
  </si>
  <si>
    <t>Neue Untersuchungen über die Wohnungsfrage in Deutschland und im Ausland. : Dritter Band: Schweiz, England, Frankreich, Belgien, Vereinigte Staaten, Rußland, Norwegen, Schweden, Dänemark. Hrsg. vom Verein für Socialpolitik. (Schriften des Vereins für Socialpolitik XCVII).</t>
  </si>
  <si>
    <t>Neue Untersuchungen über die Wohnungsfrage in Deutschland und im Ausland. : Zweiter Band: Deutschland und Österreich. Hrsg. vom Verein für Socialpolitik. (Schriften des Vereins für Socialpolitik XCVI).</t>
  </si>
  <si>
    <t>Verhandlungen des Vereins für Socialpolitik über die Wohnungsfrage und die Handelspolitik. : (Verhandlungen der Generalversammlung in München, 23., 24. und 25. September 1901. Auf Grund der stenographischen Niederschrift hrsg. vom Ständigen Ausschuß.) (Schriften des Vereins für Socialpolitik XCVIII).</t>
  </si>
  <si>
    <t>Die Schiffahrt der deutschen Ströme. : Untersuchungen über deren Abgabenwesen, Regulierungskosten und Verkehrsverhältnisse. Erster Band. Vom Verein für Socialpolitik herausgegeben. (Schriften des Vereins für Socialpolitik C).</t>
  </si>
  <si>
    <t>https://ebookcentral.proquest.com/lib/istinye/detail.action?docID=7101284</t>
  </si>
  <si>
    <t>Untersuchungen über die Lage der Angestellten und Arbeiter in den Verkehrsgewerben. : Hrsg. vom Verein für Socialpolitik. (Schriften des Vereins für Socialpolitik XCIX).</t>
  </si>
  <si>
    <t>https://ebookcentral.proquest.com/lib/istinye/detail.action?docID=7101285</t>
  </si>
  <si>
    <t>Die Schiffahrt der deutschen Ströme. : Untersuchungen über deren Abgabenwesen, Regulierungskosten und Verkehrsverhältnisse. Zweiter Band: Geschichtliche Entwicklung der Rheinschiffahrt im XIX. Jahrhundert. Im Auftr. des Ver. für Socialpolitik hrsg. (Schriften des Vereins für Socialpolitik CI).</t>
  </si>
  <si>
    <t>Gothein, Eberhard</t>
  </si>
  <si>
    <t>Die Schiffahrt der deutschen Ströme. : Untersuchungen über deren Abgabenwesen, Regulierungskosten und Verkehrsverhältnisse. Dritter Band. Im Auftrage des Vereins für Socialpolitik herausgegeben. (Schriften des Vereins für Socialpolitik CII).</t>
  </si>
  <si>
    <t>https://ebookcentral.proquest.com/lib/istinye/detail.action?docID=7101287</t>
  </si>
  <si>
    <t>Die wirtschaftliche und technische Entwicklung der Seeschiffahrt von der Mitte des 19. Jahrhunderts bis auf die Gegenwart. : Mit einer Vorbemerkung von Ernst Francke. (Die Lage der in der Seeschiffahrt beschäftigten Arbeiter. Erster Band). (Schriften des Vereins für Socialpolitik CIII).</t>
  </si>
  <si>
    <t>Fitger, Emil</t>
  </si>
  <si>
    <t>Die Lage der in der Seeschiffahrt beschäftigten Arbeiter. : Zweiter Band, erste Abteilung. (Schriften des Vereins für Socialpolitik CIV-1).</t>
  </si>
  <si>
    <t>https://ebookcentral.proquest.com/lib/istinye/detail.action?docID=7101289</t>
  </si>
  <si>
    <t>Die Lage der in der Seeschiffahrt beschäftigten Arbeiter. : Zweiter Band, zweite Abteilung: Die Lage der in der Seeschiffahrt beschäftigten Arbeiter in Österreich. (Schriften des Vereins für Socialpolitik CIV-2).</t>
  </si>
  <si>
    <t>https://ebookcentral.proquest.com/lib/istinye/detail.action?docID=7101290</t>
  </si>
  <si>
    <t>Die Störungen im deutschen Wirtschaftsleben während der Jahre 1900 ff. : Zweiter Band: Montan- und Eisenindustrie. Vom Verein für Socialpolitik herausgegeben. (Schriften des Vereins für Socialpolitik CVI).</t>
  </si>
  <si>
    <t>https://ebookcentral.proquest.com/lib/istinye/detail.action?docID=7101291</t>
  </si>
  <si>
    <t>Die Störungen im deutschen Wirtschaftsleben während der Jahre 1900 ff. : Erster Band: Textilindustrie. Vom Verein für Socialpolitik herausgegeben. (Schriften des Vereins für Socialpolitik CV).</t>
  </si>
  <si>
    <t>https://ebookcentral.proquest.com/lib/istinye/detail.action?docID=7101292</t>
  </si>
  <si>
    <t>Die Störungen im deutschen Wirtschaftsleben während der Jahre 1900 ff. : Dritter Band: Maschinenindustrie – Elektrotechnische Industrie – Schiffsbaugewerbe – Papierindustrie. Vom Verein für Socialpolitik herausgegeben. (Schriften des Vereins für Socialpolitik CVII).</t>
  </si>
  <si>
    <t>https://ebookcentral.proquest.com/lib/istinye/detail.action?docID=7101293</t>
  </si>
  <si>
    <t>Die Störungen im deutschen Wirtschaftsleben während der Jahre 1900 ff. : Vierter Band: Verkehrsgewerbe. Vom Verein für Socialpolitik herausgegeben. (Schriften des Vereins für Socialpolitik CVIII).</t>
  </si>
  <si>
    <t>https://ebookcentral.proquest.com/lib/istinye/detail.action?docID=7101294</t>
  </si>
  <si>
    <t>Die Störungen im deutschen Wirtschaftsleben während der Jahre 1900 ff. : Fünfter Band: Die Krisis auf dem Arbeitsmarkte. Vom Verein für Socialpolitik herausgegeben. (Schriften des Vereins für Socialpolitik CIX).</t>
  </si>
  <si>
    <t>https://ebookcentral.proquest.com/lib/istinye/detail.action?docID=7101295</t>
  </si>
  <si>
    <t>Die Störungen im deutschen Wirtschaftsleben während der Jahre 1900 ff. : Siebenter Band: Hypothekenbanken – Immobiliarverhältnisse – Baugewerbe. Vom Verein für Socialpolitik herausgegeben. (Schriften des Vereins für Socialpolitik CXI).</t>
  </si>
  <si>
    <t>https://ebookcentral.proquest.com/lib/istinye/detail.action?docID=7101296</t>
  </si>
  <si>
    <t>Verhandlungen des Vereins für Socialpolitik über die Lage der in der Seeschiffahrt beschäftigten Arbeiter und über die Störungen im deutschen Wirtschaftsleben während der Jahre 1900 ff. : (Verhandlungen der Generalversammlung in Hamburg, 14., 15. und 16. September 1903. Auf Grund der stenographischen Niederschrift hrsg. vom Ständigen Ausschuß.) (Schriften des Vereins für Socialpolitik CXIII).</t>
  </si>
  <si>
    <t>Schiffahrtsabgaben. : Erster Teil: Die Rechtslage. Im Auftrag des Vereins für Socialpolitik herausgegeben. (Schriften des Vereins für Socialpolitik CXV-1).</t>
  </si>
  <si>
    <t>Peters, Max</t>
  </si>
  <si>
    <t>Schiffahrtsabgaben. : Zweiter Teil: Die wirtschaftliche Lage. – Dritter Teil: Die verkehrspolitische Lage. Im Auftrag des Vereins für Socialpolitik herausgegeben. (Schriften des Vereins für Socialpolitik CXV-2+3).</t>
  </si>
  <si>
    <t>Verhandlungen des Vereins für Socialpolitik über die finanzielle Behandlung der Binnenwasserstraßen, über das Arbeitsverhältnis in den privaten Riesenbetrieben und das Verhältnis der Kartelle zum Staate. : (Verhandlungen der Generalversammlung in Mannheim, 25., 26. und 27. September 1905. Auf Grund der stenographischen Niederschrift hrsg. vom Ständigen Ausschuß.) (Schriften des Vereins für Socialpolitik 116).</t>
  </si>
  <si>
    <t>Verfassung und Verwaltungsorganisation der Städte. : Erster Band: Königreich Preußen. Erster Band. Im Auftrag des Vereins für Socialpolitik herausgegeben. (Schriften des Vereins für Socialpolitik 117).</t>
  </si>
  <si>
    <t>Verfassung und Verwaltungsorganisation der Städte. : Zweiter Band: Königreich Preußen. Zweiter Band. Im Auftrag des Vereins für Socialpolitik herausgegeben. (Schriften des Vereins für Socialpolitik 118).</t>
  </si>
  <si>
    <t>Preußische Städte im Gebiete des polnischen Nationalitätenkampfes. : Verfassung und Verwaltungsorganisation der Städte. Dritter Band: Königreich Preußen. Dritter Band, erster Teil. (Schriften des Vereins für Socialpolitik 119-I).</t>
  </si>
  <si>
    <t>Bernhard, Ludwig</t>
  </si>
  <si>
    <t>Die Stadt Posen unter preußischer Herrschaft. : Ein Beitrag zur Geschichte des deutschen Ostens. Verfassung und Verwaltungsorganisation der Städte. III. Band: Königreich Preußen. III. Band, 2. Teil. Im Auftrag des Vereins für Socialpolitik hrsg. (Schriften des Vereins für Socialpolitik 119-II).</t>
  </si>
  <si>
    <t>Jaffé, Moritz</t>
  </si>
  <si>
    <t>Verfassung und Verwaltungsorganisation der Städte. : Vierter Band, erstes Heft: Königreich Sachsen. Im Auftrag des Vereins für Socialpolitik herausgegeben. (Schriften des Vereins für Socialpolitik 120-I).</t>
  </si>
  <si>
    <t>Verfassung und Verwaltungsorganisation der Städte. : Vierter Band, zweites Heft: Königreich Württemberg. Im Auftrag des Vereins für Socialpolitik herausgegeben. (Schriften des Vereins für Socialpolitik 120-II).</t>
  </si>
  <si>
    <t>Springer, Eduard</t>
  </si>
  <si>
    <t>Verfassung und Verwaltungsorganisation der Städte. : Vierter Band, drittes Heft: Großherzogtum Baden. Im Auftrag des Vereins für Socialpolitik herausgegeben. (Schriften des Vereins für Socialpolitik 120-III).</t>
  </si>
  <si>
    <t>Verfassung und Verwaltungsorganisation der Städte. : Vierter Band, viertes Heft: Königreich Bayern. Im Auftrag des Vereins für Socialpolitik herausgegeben. (Schriften des Vereins für Socialpolitik 120-IV).</t>
  </si>
  <si>
    <t>Verfassung und Verwaltungsorganisation der Städte. : Vierter Band, fünftes Heft: Die Hansestädte. Im Auftrag des Vereins für Socialpolitik herausgegeben. (Schriften des Vereins für Socialpolitik 120-V).</t>
  </si>
  <si>
    <t>Verfassung und Verwaltungsorganisation der Städte. : Sechster Band: Österreich. Im Auftrag des Vereins für Socialpolitik herausgegeben. (Schriften des Vereins für Socialpolitik 122).</t>
  </si>
  <si>
    <t>Verfassung und Verwaltungsorganisation der Städte. : Fünfter Band: Die Schweiz. Im Auftrag des Vereins für Socialpolitik herausgegeben. (Schriften des Vereins für Socialpolitik 121).</t>
  </si>
  <si>
    <t>Verfassung und Verwaltungsorganisation der Städte. : Siebenter Band: England – Frankreich – Nordamerika. Im Auftrag des Vereins für Socialpolitik herausgegeben. (Schriften des Vereins für Socialpolitik 123).</t>
  </si>
  <si>
    <t>Die Deutschen Arbeitgeber-Verbände. : Im Auftrage des Vereins für Socialpolitik herausgegeben. (Schriften des Vereins für Socialpolitik 124).</t>
  </si>
  <si>
    <t>Kessler, Gerhard</t>
  </si>
  <si>
    <t>https://ebookcentral.proquest.com/lib/istinye/detail.action?docID=7101313</t>
  </si>
  <si>
    <t>Verhandlungen des Vereins für Socialpolitik über die berufsmäßige Vorbildung der volkswirtschaftlichen Beamten und über Verfassung und Verwaltungsorganisation der Städte. : Als Anhang: Nachtrag zu Band 120-II. (Verhandlungen der Generalversammlung in Magdeburg, 30. September, 1. und 2. Oktober 1907. Auf Grund der stenographischen Niederschrift hrsg. vom Ständigen Ausschuß.) (Schriften des Vereins für Socialpolitik 125).</t>
  </si>
  <si>
    <t>Gemeindefinanzen. : Erster Band: System der Gemeindebesteuerung in Hessen, Württemberg, Baden, Elsaß-Lothringen, Bayern, Sachsen, Preußen. Im Auftrag des Vereins für Socialpolitik herausgegeben. (Schriften des Vereins für Socialpolitik 126).</t>
  </si>
  <si>
    <t>https://ebookcentral.proquest.com/lib/istinye/detail.action?docID=7101315</t>
  </si>
  <si>
    <t>Gemeindefinanzen. : Zweiter Band, erster Teil: Einzelfragen der Finanzpolitik der Gemeinden. Im Auftrag des Vereins für Socialpolitik herausgegeben. (Schriften des Vereins für Socialpolitik 127-I).</t>
  </si>
  <si>
    <t>Most, Otto</t>
  </si>
  <si>
    <t>https://ebookcentral.proquest.com/lib/istinye/detail.action?docID=7101316</t>
  </si>
  <si>
    <t>Gemeindefinanzen. : Zweiter Band, dritter Teil: Die Entwicklung und die Probleme des Gemeindeabgabenwesens in den Städten und großen Landgemeinden der preußischen Industriebetriebe. Im Auftr. des Ver. für Socialpolitik hrsg. (Schriften des Vereins für Socialpolitik 127-III).</t>
  </si>
  <si>
    <t>https://ebookcentral.proquest.com/lib/istinye/detail.action?docID=7101317</t>
  </si>
  <si>
    <t>Gemeindefinanzen. : Zweiter Band, zweiter Teil: Die Gemeindefinanzstatistik in Deutschland. Ziele, Wege, Ergebnisse. Im Auftrag des Vereins für Socialpolitik herausgegeben. (Schriften des Vereins für Socialpolitik 127-II).</t>
  </si>
  <si>
    <t>Lücker, Heinrich</t>
  </si>
  <si>
    <t>https://ebookcentral.proquest.com/lib/istinye/detail.action?docID=7101318</t>
  </si>
  <si>
    <t>Gemeindebetriebe. : Neuere Versuche und Erfahrungen über die Ausdehnung der kommunalen Tätigkeit in Deutschland und im Ausland. Erster Band. (Schriften des Vereins für Socialpolitik 128).</t>
  </si>
  <si>
    <t>https://ebookcentral.proquest.com/lib/istinye/detail.action?docID=7101319</t>
  </si>
  <si>
    <t>Die Gemeindebetriebe Münchens. : Gemeindebetriebe – Neuere Versuche und Erfahrungen über die Ausdehnung der kommunalen Tätigkeit in Deutschland und im Ausland. II. Band, 1. Teil. Im Auftr. des Ver. für Socialpol. hrsg. von Carl J. Fuchs. (Schriften des Vereins für Socialpolitik 129-I).</t>
  </si>
  <si>
    <t>Die Gemeindebetriebe der Stadt Düsseldorf. : Gemeindebetriebe – Neuere Versuche und Erfahrungen über die Ausdehnung der kommunalen Tätigkeit in Deutschland und im Ausland. II. Band, 2. Teil. Im Auftr. des Ver. für Socialpol. hrsg. von Carl J. Fuchs. (Schriften des Vereins für Socialpolitik 129-II).</t>
  </si>
  <si>
    <t>Die Gemeindebetriebe der Städte Magdeburg, Naumburg a.S., Frankfurt a.M. : Gemeindebetriebe – Neuere Versuche und Erfahrungen über die Ausdehnung der kommunalen Tätigkeit in Deutschland und im Ausland. Zweiter Band, dritter Teil. (Schriften des Vereins für Socialpolitik 129-III).</t>
  </si>
  <si>
    <t>https://ebookcentral.proquest.com/lib/istinye/detail.action?docID=7101322</t>
  </si>
  <si>
    <t>Die Gemeindebetriebe Mannheims. : Gemeindebetriebe – Neuere Versuche und Erfahrungen über die Ausdehnung der kommunalen Tätigkeit in Deutschland und im Ausland. II. Band, 4. Teil. Im Auftr. des Ver. für Socialpol. hrsg. von Carl J. Fuchs. (Schriften des Vereins für Socialpolitik 129-IV).</t>
  </si>
  <si>
    <t>Die Gemeindebetriebe der Stadt Freiburg im Breisgau. : Gemeindebetriebe – Neuere Versuche und Erfahrungen über die Ausdehnung der kommunalen Tätigkeit in Deutschland und im Ausland. II. Band, 5. Teil. Im Auftr. des Ver. für Socialpol. hrsg. von Carl J. Fuchs. (Schriften des Vereins für Socialpolitik 129-V).</t>
  </si>
  <si>
    <t>Die Gemeindebetriebe der Stadt Remscheid. : Gemeindebetriebe – Neuere Versuche und Erfahrungen über die Ausdehnung der kommunalen Tätigkeit in Deutschland und im Ausland. II. Band, 6. Teil. Im Auftr. des Ver. für Socialpol. hrsg. von Carl J. Fuchs. (Schriften des Vereins für Socialpolitik 129-VI).</t>
  </si>
  <si>
    <t>Die Gemeindebetriebe der Stadt Leipzig. : Gemeindebetriebe – Neuere Versuche und Erfahrungen über die Ausdehnung der kommunalen Tätigkeit in Deutschland und im Ausland. II. Band, 7. Teil. Im Auftr. des Ver. für Socialpol. hrsg. von Carl J. Fuchs. (Schriften des Vereins für Socialpolitik 129-VII).</t>
  </si>
  <si>
    <t>Die Gemeindebetriebe der Stadt Halle a.S. : Gemeindebetriebe – Neuere Versuche und Erfahrungen über die Ausdehnung der kommunalen Tätigkeit in Deutschland und im Ausland. Zweiter Band, achter Teil. (Schriften des Vereins für Socialpolitik 129-VIII).</t>
  </si>
  <si>
    <t>https://ebookcentral.proquest.com/lib/istinye/detail.action?docID=7101327</t>
  </si>
  <si>
    <t>Die Gemeindebetriebe der Stadt Königsberg i.Pr. : Gemeindebetriebe – Neuere Versuche und Erfahrungen über die Ausdehnung der kommunalen Tätigkeit in Deutschland und im Ausland. II. Band, 9. Teil. Im Auftr. des Ver. für Socialpol. hrsg. von Carl J. Fuchs. (Schriften des Vereins für Socialpolitik 129-IX).</t>
  </si>
  <si>
    <t>Die Gemeindebetriebe in den Städten, Kreisen und Landgemeinden des Oberschlesischen Industriebezirks. : Gemeindebetriebe – Neuere Versuche und Erfahrungen über die Ausdehnung der kommunalen Tätigkeit in Deutschland und im Ausland. II. Band, 10. Teil. Im Auftr. des Ver. für Socialpol. hrsg. von Carl J. Fuchs. (Schriften des Vereins für Socialpolitik 129-X)</t>
  </si>
  <si>
    <t>Die Gemeindebetriebe in Österreich. : Gemeindebetriebe – Neuere Versuche und Erfahrungen über die Ausdehnung der kommunalen Tätigkeit in Deutschland und im Ausland. III. Band, 1. Teil. (Schriften des Vereins für Socialpolitik 130-I).</t>
  </si>
  <si>
    <t>Geschichte der modernen Gemeindebetriebe in Italien. : Gemeindebetriebe – Neuere Versuche und Erfahrungen über die Ausdehnung der kommunalen Tätigkeit in Deutschland und im Ausland. III. Band, 2. Teil. Im Auftr. des Ver. für Socialpol. hrsg. von Carl J. Fuchs. (Schriften des Vereins für Socialpolitik 130-II).</t>
  </si>
  <si>
    <t>Gemeindebetriebe in der Schweiz, in Belgien und in Australien. : Gemeindebetriebe – Neuere Versuche und Erfahrungen über die Ausdehnung der kommunalen Tätigkeit in Deutschland und im Ausland. Dritter Band, dritter Teil. (Schriften des Vereins für Socialpolitik 130-III).</t>
  </si>
  <si>
    <t>Gemeindebetriebe in Frankreich und England. : Gemeindebetriebe – Neuere Versuche und Erfahrungen über die Ausdehnung der kommunalen Tätigkeit in Deutschland und im Ausland. Dritter Band, vierter Teil. (Schriften des Vereins für Socialpolitik 130-IV).</t>
  </si>
  <si>
    <t>Die Gemeindebetriebe in Ungarn. : Gemeindebetriebe – Neuere Versuche und Erfahrungen über die Ausdehnung der kommunalen Tätigkeit in Deutschland und im Ausland. III. Band, 5. Teil. Im Auftr. des Ver. für Socialpol. hrsg. von Carl J. Fuchs. (Schriften des Vereins für Socialpolitik 130-V).</t>
  </si>
  <si>
    <t>Auswanderung und Auswanderungspolitik in Österreich. : Im Auftrag des Vereins für Socialpolitik herausgegeben. (Schriften des Vereins für Socialpolitik 131).</t>
  </si>
  <si>
    <t>Caro, Leopold</t>
  </si>
  <si>
    <t>Auslese und Anpassung der Arbeiterschaft der geschlossenen Großindustrie. Dargestellt an den Verhältnissen der "Gladbacher Spinnerei und Weberei" A.-G. zu München-Gladbach im Rheinland. : Untersuchungen über Auslese und Anpassung (Berufswahl und Berufsschicksal) der Arbeiter in den verschiedenen Zweigen der Großindustrie. Erster Band. (Schriften des Vereins für Socialpolitik 133).</t>
  </si>
  <si>
    <t>Bernays, Marie</t>
  </si>
  <si>
    <t>https://ebookcentral.proquest.com/lib/istinye/detail.action?docID=7101336</t>
  </si>
  <si>
    <t>Auslese und Anpassung der Arbeiterschaft in der Elektroindustrie, Buchdruckerei, Feinmechanik und Maschinenindustrie. : Untersuchungen über Auslese und Anpassung (Berufswahl und Berufsschicksal) der Arbeiter in den verschiedenen Zweigen der Großindustrie. Zweiter Band. (Schriften des Vereins für Sozialpolitik 134).</t>
  </si>
  <si>
    <t>https://ebookcentral.proquest.com/lib/istinye/detail.action?docID=7101337</t>
  </si>
  <si>
    <t>Auslese und Anpassung der Arbeiterschaft in der Automobilindustrie und einer Wiener Maschinenfabrik. : Untersuchungen über Auslese und Anpassung (Berufswahl und Berufsschicksal) der Arbeiter in den verschiedenen Zweigen der Großindustrie. Dritter Band, erster Teil. (Schriften des Vereins für Sozialpolitik 135-I).</t>
  </si>
  <si>
    <t>https://ebookcentral.proquest.com/lib/istinye/detail.action?docID=7101338</t>
  </si>
  <si>
    <t>Das Leben der jungen Fabrikmädchen in München. Die soziale und wirtschaftliche Lage ihrer Familie, ihr Berufsleben und ihre persönlichen Verhältnisse. Nach statistischen Erhebungen dargestellt an der Lage von 270 Fabrikarbeiterinnen : im Alter von 14 bis 18 Jahren. Untersuchungen über Auslese und Anpassung (Berufswahl und Berufsschicksal) der Arbeiter in den verschiedenen Zweigen der Großindustrie. Dritter Band, zweiter Teil. (Schriften des Vereins für Sozialpolitik 135-II).</t>
  </si>
  <si>
    <t>Kempf, Rosa</t>
  </si>
  <si>
    <t>https://ebookcentral.proquest.com/lib/istinye/detail.action?docID=7101339</t>
  </si>
  <si>
    <t>Auslese und Anpassung der Arbeiterschaft in der Lederwaren-, Steinzeug- und Textilindustrie. : Untersuchungen über Auslese und Anpassung (Berufswahl und Berufsschicksal) der Arbeiter in den verschiedenen Zweigen der Großindustrie. Dritter Band, dritter Teil. (Schriften des Vereins für Socialpolitik 135-III).</t>
  </si>
  <si>
    <t>https://ebookcentral.proquest.com/lib/istinye/detail.action?docID=7101340</t>
  </si>
  <si>
    <t>Auslese und Anpassung der Arbeiterschaft der geschlossenen Großindustrie. Dargestellt an den Verhältnissen einer Luckenwalder Wollhutfabrik. : Untersuchungen über Auslese und Anpassung (Berufswahl und Berufsschicksal) der Arbeiter in den verschiedenen Zweigen der Großindustrie. Dritter Band, vierter Teil. (Schriften des Vereins für Sozialpolitik 135-IV).</t>
  </si>
  <si>
    <t>Herrmann, Elise</t>
  </si>
  <si>
    <t>https://ebookcentral.proquest.com/lib/istinye/detail.action?docID=7101341</t>
  </si>
  <si>
    <t>Untersuchungen über das Volkssparwesen. : Erster Band. Hrsg. vom Verein für Sozialpolitik. (Schriften des Vereins für Sozialpolitik 136).</t>
  </si>
  <si>
    <t>https://ebookcentral.proquest.com/lib/istinye/detail.action?docID=7101342</t>
  </si>
  <si>
    <t>Untersuchungen über das Volkssparwesen. : Zweiter Band. Hrsg. vom Verein für Sozialpolitik. (Schriften des Vereins für Sozialpolitik 137-I).</t>
  </si>
  <si>
    <t>https://ebookcentral.proquest.com/lib/istinye/detail.action?docID=7101343</t>
  </si>
  <si>
    <t>Untersuchungen über das Volkssparwesen. : Dritter Band. Hrsg. vom Verein für Sozialpolitik. (Schriften des Vereins für Sozialpolitik 137-II).</t>
  </si>
  <si>
    <t>https://ebookcentral.proquest.com/lib/istinye/detail.action?docID=7101344</t>
  </si>
  <si>
    <t>Untersuchungen über das Volkssparwesen. : Vierter Band. Hrsg. vom Verein für Sozialpolitik. (Schriften des Vereins für Sozialpolitik 137-III).</t>
  </si>
  <si>
    <t>https://ebookcentral.proquest.com/lib/istinye/detail.action?docID=7101345</t>
  </si>
  <si>
    <t>Untersuchungen über das Versicherungswesen in Deutschland. : Hrsg. vom Verein für Sozialpolitik. (Schriften des Vereins für Sozialpolitik 137-IV).</t>
  </si>
  <si>
    <t>https://ebookcentral.proquest.com/lib/istinye/detail.action?docID=7101346</t>
  </si>
  <si>
    <t>Verhandlungen des Vereins für Sozialpolitik in Nürnberg 1911. I. Fragen der Gemeindebesteuerung – II. Probleme der Arbeiterpsychologie. : (Verhandlungen der Generalversammlung in Nürnberg, 9. und 10. Oktober 1911. Auf Grund der stenograph. Niederschrift hrsg. vom Ständigen Ausschuß.) (Schriften des Vereins für Sozialpolitik 138).</t>
  </si>
  <si>
    <t>Die Verteuerung der Lebensmittel in Berlin im Laufe der letzten 30 Jahre und ihre Bedeutung für den Berliner Arbeiterhaushalt. : Untersuchungen über Preisbildung. Abteilung A: Preisbildung für agrarische Erzeugnisse. Zweiter Teil. Hrsg. von Max Sering. (Schriften des Vereins für Sozialpolitik 139-II).</t>
  </si>
  <si>
    <t>Die Bewegung der Weizenpreise und ihre Ursachen. : Untersuchungen über Preisbildung. Abteilung A: Preisbildung für agrarische Erzeugnisse. Dritter Teil. Hrsg. von Max Sering. (Schriften des Vereins für Sozialpolitik 139-III).</t>
  </si>
  <si>
    <t>Die Fleischversorgung der Stadt München. : Untersuchungen über Preisbildung. Abteilung A: Preisbildung für agrarische Erzeugnisse. Gebiete der intensiven Landwirtschaft. Fünfter Teil. Hrsg. von Max Sering. (Schriften des Vereins für Sozialpolitik 139-V).</t>
  </si>
  <si>
    <t>Die Milchversorgung der Stadt Karlsruhe unter besonderer Berücksichtigung der Produktions- und Preisverhältnisse. : Milchwirtschaftliche Erzeugnisse. Erster Teil. Hrsg. von Philipp Arnold - Max Sering. (Schriften des Vereins für Sozialpolitik 140-I).</t>
  </si>
  <si>
    <t>Arnold, Philipp</t>
  </si>
  <si>
    <t>Die Milchversorgung norddeutscher Städte und Industriegebiete. : Milchwirtschaftliche Erzeugnisse. Zweiter Teil. (Schriften des Vereins für Sozialpolitik 140-II).</t>
  </si>
  <si>
    <t>Produktion, Absatz, Preisbildung von Molkereierzeugnissen. : Untersuchungen über Preisbildung. Abteilung A: Preisbildung bei agrarischen Erzeugnissen. Milchwirtschaftliche Erzeugnisse. Dritter Teil. (Schriften des Vereins für Sozialpolitik 140-III).</t>
  </si>
  <si>
    <t>Die Milchversorgung in Württemberg. : Milchwirtschaftliche Erzeugnisse. Vierter Teil. Hrsg. von Philipp Arnold - Max Sering. (Schriften des Vereins für Sozialpolitik 140-IV).</t>
  </si>
  <si>
    <t>Die gemeinnützige Milchversorgung in Deutschland. : Untersuchungen über Preisbildung. Abteilung A: Preisbildung bei agrarischen Erzeugnissen. Milchwirtschaftliche Erzeugnisse. Fünfter Teil. (Schriften des Vereins für Sozialpolitik 140-V).</t>
  </si>
  <si>
    <t>Die landwirtschaftlichen Produktionsverhältnisse Argentiniens. : Untersuchungen über Preisbildung. Abteilung A: Preisbildung für agrarische Erzeugnisse. Die Exportgebiete der extensiven Landwirtschaft. Erster Teil. Hrsg. von Max Sering. (Schriften des Vereins für Sozialpolitik 141-I).</t>
  </si>
  <si>
    <t>Die Entwicklung der Landwirtschaft in den Vereinigten Staaten von Nordamerika und ihr Einfluß auf die Preisbildung landwirtschaftlicher Erzeugnisse. : Untersuchungen über Preisbildung. Abteilung A: Preisbildung für agrarische Erzeugnisse. Die Exportgebiete der extensiven Landwirtschaft. Zweiter Teil. Hrsg. von Max Sering. (Schriften des Vereins für Sozialpolitik 141-II).</t>
  </si>
  <si>
    <t>Untersuchungen über Preisbildung. : Abteilung B: Preisbildung für gewerbliche Erzeugnisse. Erster Teil. (Schriften des Vereins für Sozialpolitik 142-I).</t>
  </si>
  <si>
    <t>https://ebookcentral.proquest.com/lib/istinye/detail.action?docID=7101358</t>
  </si>
  <si>
    <t>Untersuchungen über Preisbildung. : Abteilung B. Zweiter Teil: Die Preisgestaltung im Druckereigewerbe. (Schriften des Vereins für Sozialpolitik 142-II).</t>
  </si>
  <si>
    <t>Bertenburg, Carl</t>
  </si>
  <si>
    <t>https://ebookcentral.proquest.com/lib/istinye/detail.action?docID=7101359</t>
  </si>
  <si>
    <t>Preisbildung für gewerbliche Erzeugnisse. : Untersuchungen über Preisbildung. Abteilung B. Dritter Teil. (Schriften des Vereins für Sozialpolitik 142-III).</t>
  </si>
  <si>
    <t>Eulenburg, Franz</t>
  </si>
  <si>
    <t>https://ebookcentral.proquest.com/lib/istinye/detail.action?docID=7101360</t>
  </si>
  <si>
    <t>Die Preisentwicklung der Baumwolle und Baumwollfabrikate. : Untersuchungen über Preisbildung. Abteilung B: Preisbildung für gewerbliche Erzeugnisse. Vierter Teil. Hrsg. von Franz Eulenburg. (Schriften des Vereins für Sozialpolitik 142-IV).</t>
  </si>
  <si>
    <t>Die Preisentwicklung in der Steinkohlengasindustrie. : Untersuchungen über Preisbildung. Abteilung B: Preisbildung für gewerbliche Erzeugnisse. Fünfter Teil. Hrsg. von Franz Eulenburg. (Schriften des Vereins für Sozialpolitik 142-V).</t>
  </si>
  <si>
    <t>Preisbildung für gewerbliche Erzeugnisse. : Untersuchungen über Preisbildung. Abteilung B. Sechster Teil. (Schriften des Vereins für Sozialpolitik 143-I).</t>
  </si>
  <si>
    <t>https://ebookcentral.proquest.com/lib/istinye/detail.action?docID=7101363</t>
  </si>
  <si>
    <t>Steinkohlenpreise und Dampfkraftkosten. : Untersuchungen über Preisbildung. Abteilung B: Preisbildung für gewerbliche Erzeugnisse. Zweiter Teil. Hrsg. von Franz Eulenburg. (Schriften des Vereins für Sozialpolitik 143-II).</t>
  </si>
  <si>
    <t>Die Preisbewegung elektrischer Arbeit seit 1898. : Untersuchungen über Preisbildung. Abteilung B: Preisbildung für gewerbliche Erzeugnisse. Dritter Teil. Hrsg. von Franz Eulenburg. (Schriften des Vereins für Sozialpolitik 143-III).</t>
  </si>
  <si>
    <t>Preisbildung gewerblicher Erzeugnisse in Belgien. : Untersuchungen über Preisbildung. Abteilung B: Untersuchungen über Preisbildung gewerblicher Erzeugnisse. Ausland. Erster Teil: Belgien. (Schriften des Vereins für Sozialpolitik 144-I).</t>
  </si>
  <si>
    <t>Mahaim, Ernest</t>
  </si>
  <si>
    <t>https://ebookcentral.proquest.com/lib/istinye/detail.action?docID=7101366</t>
  </si>
  <si>
    <t>Kosten der Lebenshaltung in deutschen Großstädten. : I. Ost- und Norddeutschland. Untersuchungen über Preisbildung. Abteilung C: Kosten der Lebenshaltung. Erster Teil. (Schriften des Vereins für Sozialpolitik 145-I).</t>
  </si>
  <si>
    <t>Kosten der Lebenshaltung in deutschen Großstädten. : II. West- und Süddeutschland. Untersuchungen über Preisbildung. Abteilung C: Kosten der Lebenshaltung. Zweiter Teil. (Schriften des Vereins für Sozialpolitik 145-II).</t>
  </si>
  <si>
    <t>Löhne und Lebenskosten in Westeuropa im 19. Jahrhundert. : (Frankreich, England, Spanien, Belgien). Nebst einem Anhang: Lebenskosten deutscher und westeuropäischer Arbeiter früher und jetzt. (Schriften des Vereins für Sozialpolitik 145-III).</t>
  </si>
  <si>
    <t>Tyszka, Carl von</t>
  </si>
  <si>
    <t>Die Ansiedlung von Europäern in den Tropen. : Zweiter Teil: Mittelamerika, Kleine Antillen, Niederländisch West- und Ostindien. (Schriften des Vereins für Sozialpolitik 147-II).</t>
  </si>
  <si>
    <t>https://ebookcentral.proquest.com/lib/istinye/detail.action?docID=7101370</t>
  </si>
  <si>
    <t>Kosten der Lebenshaltung in deutschen Großstädten. : I. Ost- und Norddeutschland. Zweite Hälfte. Untersuchungen über Preisbildung. Abteilung C: Kosten der Lebenshaltung. Vierter Teil. (Schriften des Vereins für Sozialpolitik 145-IV).</t>
  </si>
  <si>
    <t>Die Ansiedlung von Europäern in den Tropen. : Dritter Teil: Natal, Rhodesien, Britisch-Ostafrika. (Schriften des Vereins für Sozialpolitik 147-III).</t>
  </si>
  <si>
    <t>https://ebookcentral.proquest.com/lib/istinye/detail.action?docID=7101372</t>
  </si>
  <si>
    <t>Britisch-Kassraria und seine deutschen Siedlungen. : Die Ansiedlung von Europäern in den Tropen. Vierter Teil. (Schriften des Vereins für Sozialpolitik 147-IV).</t>
  </si>
  <si>
    <t>Spanuth, Johannes</t>
  </si>
  <si>
    <t>https://ebookcentral.proquest.com/lib/istinye/detail.action?docID=7101373</t>
  </si>
  <si>
    <t>Die deutschen Kolonisten im brasilianischen Staate Espirito Santo. : Die Ansiedlung von Europäern in den Tropen. Fünfter Teil. (Schriften des Vereins für Sozialpolitik 147-V).</t>
  </si>
  <si>
    <t>Wagemann, Ernst</t>
  </si>
  <si>
    <t>https://ebookcentral.proquest.com/lib/istinye/detail.action?docID=7101374</t>
  </si>
  <si>
    <t>Preisbewegung landwirtschaftlicher Güter in einigen Teilen Bayerns während der Jahre 1900 bis 1910. : Erster Teil. Mit einer Einleitung von Lujo Brentano. (Schriften des Vereins für Sozialpolitik 148).</t>
  </si>
  <si>
    <t>https://ebookcentral.proquest.com/lib/istinye/detail.action?docID=7101375</t>
  </si>
  <si>
    <t>Die Konsumvereinsbewegung in Großbritannien. : Untersuchungen über Konsumvereine. Hrsg. von Hugo Thiel - Robert Wilbrandt. Die Konsumvereinsbewegung in den einzelnen Ländern. Erster Teil. (Schriften des Vereins für Sozialpolitik 150-I).</t>
  </si>
  <si>
    <t>Thiel, Hugo</t>
  </si>
  <si>
    <t>Der Einfluß der Golderzeugung auf die Preisbildung 1890–1913. : Erster Teil: Die allgemeine Preisbewegung 1890–1913. Von Wilhelm Gehlhoff. (Schriften des Vereins für Sozialpolitik 149-I).</t>
  </si>
  <si>
    <t>Spiethoff, Arthur</t>
  </si>
  <si>
    <t>Die Konsumvereine in Rußland. : Mit einem Geleitwort von Robert Wilbrandt. Untersuchungen über Konsumvereine. Hrsg. von Carl Johannes Fuchs - Robert Wilbrandt. Die Konsumvereinsbewegung in den einzelnen Ländern. Zweiter Teil. (Schriften des Vereins für Sozialpolitik 150-II).</t>
  </si>
  <si>
    <t>Die Konsumvereine in Holland, Japan, Österreich und der Schweiz. : Untersuchungen über Konsumvereine. Hrsg. von Carl Johannes Fuchs - Robert Wilbrandt. Die Konsumvereinsbewegung in den einzelnen Ländern. Dritter Teil. (Schriften des Vereins für Sozialpolitik 150-III).</t>
  </si>
  <si>
    <t>Die Konsumvereinsbewegung in Deutschland. : Untersuchungen über Konsumvereine. Hrsg. von Carl Johannes Fuchs - Robert Wilbrandt. Die Konsumvereinsbewegung in den einzelnen Ländern. Vierter Teil. (Schriften des Vereins für Sozialpolitik 150-IV).</t>
  </si>
  <si>
    <t>Die Konsumgenossenschaftsbewegung in Frankreich und in den Vereinigten Staaten von Amerika. – Der Internationale Genossenschaftsbund. : Mit einem Schlußwort von Robert Wilbrandt. Untersuchungen über Konsumvereine. Hrsg. von Carl Johannes Fuchs - Robert Wilbrandt. Die Konsumvereinsbewegung in den einzelnen Ländern. Fünfter Teil. (Schriften des Vereins für Sozialpolitik 150-V).</t>
  </si>
  <si>
    <t>Eduard Pfeiffer und die deutsche Konsumgenossenschaftsbewegung. : Untersuchungen über Konsumvereine. Hrsg. von Hugo Thiel - Robert Wilbrandt. Monographien aus dem Konsumvereinswesen. Erster Teil. (Schriften des Vereins für Sozialpolitik 151-I).</t>
  </si>
  <si>
    <t>Einkaufsvereinigungen auf dem Lande. : Untersuchungen über Konsumvereine. Hrsg. von Hugo Thiel - Robert Wilbrandt. Monographien aus dem Konsumvereinswesen. Zweiter Teil. (Schriften des Vereins für Sozialpolitik 151-II).</t>
  </si>
  <si>
    <t>Der Stand der Gesetzgebung über Erwerbs- und Wirtschaftsgenossenschaften in den wichtigsten Kulturländern bei Kriegsausbruch 1914. : Untersuchungen über Konsumvereine. Hrsg. von Hugo Thiel - Robert Wilbrandt. Monographien aus dem Konsumvereinswesen. Dritter Teil. (Schriften des Vereins für Sozialpolitik 151-III).</t>
  </si>
  <si>
    <t>Die geistigen Arbeiter. : Erster Teil: Freies Schriftstellertum und Literaturverlag. (Schriften des Vereins für Sozialpolitik 152-I).</t>
  </si>
  <si>
    <t>Einzheimer, Ludwig</t>
  </si>
  <si>
    <t>Auslese und Anpassung der Arbeiterschaft in der Schuhindustrie und einem oberschlesischen Walzwerke. : Untersuchungen über Auslese und Anpassung (Berufswahl und Berufsschicksal) der Arbeiter in den verschiedenen Zweigen der Großindustrie. Neue Folge. (Schriften des Vereins für Sozialpolitik 153).</t>
  </si>
  <si>
    <t>https://ebookcentral.proquest.com/lib/istinye/detail.action?docID=7101386</t>
  </si>
  <si>
    <t>Die geistigen Arbeiter. : Zweiter Teil: Journalisten und bildende Künstler. (Schriften des Vereins für Sozialpolitik 152-II).</t>
  </si>
  <si>
    <t>Francke, Ernst</t>
  </si>
  <si>
    <t>Das Depositengeschäft der Berliner Großbanken. : Kapitalbildung und Kapitalverwendung. Hrsg. von Hermann Schumacher. Erster Teil. (Schriften des Vereins für Sozialpolitik 154-I).</t>
  </si>
  <si>
    <t>Schumacher, Hermann</t>
  </si>
  <si>
    <t>Die Hypothekenbanken. : Kapitalbildung und Kapitalverwendung. Hrsg. von Hermann Schumacher. Zweiter Teil. (Schriften des Vereins für Sozialpolitik 154-II).</t>
  </si>
  <si>
    <t>Die wirtschaftliche Annäherung zwischen dem Deutschen Reiche und seinen Verbündeten. : Erster Teil. (Schriften des Vereins für Sozialpolitik 155-I).</t>
  </si>
  <si>
    <t>Herkner, Heinrich</t>
  </si>
  <si>
    <t>https://ebookcentral.proquest.com/lib/istinye/detail.action?docID=7101390</t>
  </si>
  <si>
    <t>Die wirtschaftliche Annäherung zwischen dem Deutschen Reiche und seinen Verbündeten. : Dritter Teil: Aussprache in der Sitzung des Ausschusses vom 6. April 1916 zu Berlin. (Schriften des Vereins für Sozialpolitik 155-III).</t>
  </si>
  <si>
    <t>https://ebookcentral.proquest.com/lib/istinye/detail.action?docID=7101391</t>
  </si>
  <si>
    <t>Die wirtschaftliche Annäherung zwischen dem Deutschen Reiche und seinen Verbündeten. : Zweiter Teil. (Schriften des Vereins für Sozialpolitik 155-II).</t>
  </si>
  <si>
    <t>https://ebookcentral.proquest.com/lib/istinye/detail.action?docID=7101392</t>
  </si>
  <si>
    <t>Die Neuordnung der deutschen Finanzwirtschaft. : Zweiter Teil. (Schriften des Vereins für Sozialpolitik 156-II).</t>
  </si>
  <si>
    <t>https://ebookcentral.proquest.com/lib/istinye/detail.action?docID=7101393</t>
  </si>
  <si>
    <t>Die Neuordnung der deutschen Finanzwirtschaft. : Dritter Teil: Aussprache in der Sitzung des Ausschusses vom 17. April 1918 zu Berlin. (Schriften des Vereins für Sozialpolitik 156-III).</t>
  </si>
  <si>
    <t>https://ebookcentral.proquest.com/lib/istinye/detail.action?docID=7101394</t>
  </si>
  <si>
    <t>Englische und preußische Steuerveranlagung. : Ein Vergleich des englischen mit dem preußischen System der Einkommensbesteuerung (Quellenprinzip contra Empfängerprinzip). Neue Beiträge zur Neuordnung der dt. Finanzwirtschaft II. Hrsg. v. H. Herkner. (Schriften des Vereins für Sozialpolitik 157-II).</t>
  </si>
  <si>
    <t>Verhandlungen des Vereins für Sozialpolitik in Regensburg 1919 zu den Wirtschaftsbeziehungen zwischen dem Deutschen Reiche und Deutsch-Österreich und zur Sozialisierungsfrage. : (Verhandlungen der Generalversammlung in Regensburg, 15. und 16. September 1919). Auf Grund der stenograph. Niederschrift hrsg. vom Vorstande. (Schriften des Vereins für Sozialpolitik 159).</t>
  </si>
  <si>
    <t>Die Reform der staatswissenschaftlichen Studien. : Fünfzig Gutachten. (Schriften des Vereins für Sozialpolitik 160).</t>
  </si>
  <si>
    <t>Jastrow, Ignaz</t>
  </si>
  <si>
    <t>Verhandlungen des Vereins für Sozialpolitik in Kiel 1920. : Die Reform der staatswissenschaftlichen Studien, 2. Teil. (Verhandlungen der außerordentl. Generalversammlung in Kiel, 21. bis 23. September 1920). Auf Grund der stenograph. Niederschrift hrsg. vom Vorstande. (Schriften des Vereins für Sozialpolitik 161).</t>
  </si>
  <si>
    <t>Die geldtheoretische und geldrechtliche Seite des Stabilisierungsproblems. : Gutachten, hrsg. von Emil Lederer - Melchior Palyi, zweiter Teil. Deutsche Zahlungsbilanz und Stabilisierungsfrage, im Auftrage des Vereins veranstaltet von Karl Diehl - Felix Somary. (Schriften des Vereins für Sozialpolitik 164-II).</t>
  </si>
  <si>
    <t>Lederer, Emil</t>
  </si>
  <si>
    <t>Die Zukunft der Sozialpolitik – Die Not der geistigen Arbeiter. Jubiläumstagung des Vereins für Sozialpolitik in Eisenach 1922. : Mit Beiträgen zum 50jährigen Jubiläum des Vereins. (Verhandlungen der Generalversammlung in Eisenach, 20. und 21. September 1922). Auf Grund der stenograph. Niederschrift hrsg. vom Vorstand. (Schriften des Vereins für Sozialpolitik 163).</t>
  </si>
  <si>
    <t>Pläne und Versuche zur Währungssanierung. : Geschichte der Stabilisierungsversuche, hrsg. von Melchior Palyi, zweiter Teil. Deutsche Zahlungsbilanz und Stabilisierungsfrage, im Auftrage des Vereins veranstaltet von Karl Diehl - Felix Somary. (Schriften des Vereins für Sozialpolitik 165-II).</t>
  </si>
  <si>
    <t>Die Devalvierung des österreichischen Papiergeldes im Jahre 1811. Eine finanzgeschichtliche Darstellung nach archivalischen Quellen. : Geschichte der Stabilisierungsversuche, hrsg. von Melchior Palyi, erster Teil. Deutsche Zahlungsbilanz und Stabilisierungsfrage, im Auftrage des Vereins veranstaltet von Karl Diehl - Felix Somary. (Schriften des Vereins für Sozialpolitik 165-I).</t>
  </si>
  <si>
    <t>Das Papiergeld der französischen Revolution 1789–1797. : Aus dem Russ. von F. Schlömer. Geschichte der Stabilisierungsversuche, hrsg. von M. Palyi, dritter Teil. Dt. Zahlungsbilanz und Stabilisierungsfrage, im Auftr. des Ver. veranst. von K. Diehl - F. Somary. (Schriften des Vereins für Sozialpolitik 165-III).</t>
  </si>
  <si>
    <t>Währungsreform in der Tschechoslowakei und in Sowjet-Rußland. : Geschichte der Stabilisierungsversuche, hrsg. von Melchior Palyi, vierter Teil. Deutsche Zahlungsbilanz und Stabilisierungsfrage, im Auftrage des Vereins veranstaltet von Karl Diehl - Felix Somary. (Schriften des Vereins für Sozialpolitik 165-IV).</t>
  </si>
  <si>
    <t>Die Politik der Reichsbank und die Reichsschatzanweisungen nach dem Kriege. : Zweiter Teil, hrsg. von Franz Eulenburg. Deutsche Zahlungsbilanz und Stabilisierungsfrage, im Auftrage des Vereins veranstaltet von Karl Diehl - Felix Somary. (Schriften des Vereins für Sozialpolitik 166-II).</t>
  </si>
  <si>
    <t>Probleme der deutschen Zahlungsbilanz. : Erster Teil, hrsg. von Moritz Julius Bonn. Deutsche Zahlungsbilanz und Stabilisierungsfrage, im Auftrage des Vereins veranstaltet von Karl Diehl - Felix Somary. (Schriften des Vereins für Sozialpolitik 167-I).</t>
  </si>
  <si>
    <t>Bonn, Moritz Julius</t>
  </si>
  <si>
    <t>Zahlungsbilanz und Lebensfähigkeit Österreichs. : Zweiter Teil, hrsg. von Moritz Julius Bonn. Deutsche Zahlungsbilanz und Stabilisierungsfrage, im Auftrage des Vereins veranstaltet von Karl Diehl - Felix Somary. (Schriften des Vereins für Sozialpolitik 167-II).</t>
  </si>
  <si>
    <t>Steuerbelastung und Wiedergutmachung. Ein Beitrag zur Reparationsfrage. : Finanzwissenschaftliche Untersuchungen, hrsg. von Walther Lotz, erster Teil. Deutsche Zahlungsbilanz und Stabilisierungsfrage, im Auftrage des Vereins veranstaltet von Karl Diehl - Felix Somary. (Schriften des Vereins für Sozialpolitik 168-I).</t>
  </si>
  <si>
    <t>Besteuerung und Geldentwertung. : Finanzwissenschaftliche Untersuchungen, hrsg. von Walther Lotz, zweiter Teil. Deutsche Zahlungsbilanz und Stabilisierungsfrage, im Auftrage des Vereins veranstaltet von Karl Diehl - Felix Somary. (Schriften des Vereins für Sozialpolitik 168-II).</t>
  </si>
  <si>
    <t>Geldentwertung und Stabilisierung in ihren Einflüssen auf die soziale Entwicklung in Österreich. : (Schriften des Vereins für Sozialpolitik 169).</t>
  </si>
  <si>
    <t>Bunzel, Julius</t>
  </si>
  <si>
    <t>Theorie des Klassenkampfs – Handelspolitik – Währungsfrage. : Verhandlungen des Vereins für Sozialpolitik in Stuttgart, 24.–26. September 1924. Auf Grund der stenographischen Niederschrift hrsg. vom Vorstand. (Schriften des Vereins für Sozialpolitik 170).</t>
  </si>
  <si>
    <t>Neue Grundlagen der Handelspolitik. : Wissenschaftliche Gutachten. Erster Teil: Deutschland. (Schriften des Vereins für Sozialpolitik 171-I).</t>
  </si>
  <si>
    <t>https://ebookcentral.proquest.com/lib/istinye/detail.action?docID=7101412</t>
  </si>
  <si>
    <t>Neue Grundlagen der Handelspolitik. : Wissenschaftliche Gutachten. Zweiter Teil: Ausland. (Schriften des Vereins für Sozialpolitik 171-II).</t>
  </si>
  <si>
    <t>https://ebookcentral.proquest.com/lib/istinye/detail.action?docID=7101413</t>
  </si>
  <si>
    <t>Neue Grundlagen der Handelspolitik. : Wissenschaftliche Gutachten. Dritter Teil: Weltwirtschaft I. (Schriften des Vereins für Sozialpolitik 171-III.1).</t>
  </si>
  <si>
    <t>https://ebookcentral.proquest.com/lib/istinye/detail.action?docID=7101414</t>
  </si>
  <si>
    <t>Neue Grundlagen der Handelspolitik. : Wissenschaftliche Gutachten. Dritter Teil: Weltwirtschaft II. (Schriften des Vereins für Sozialpolitik 171-III.2).</t>
  </si>
  <si>
    <t>https://ebookcentral.proquest.com/lib/istinye/detail.action?docID=7101415</t>
  </si>
  <si>
    <t>Krisis der Weltwirtschaft – Übervölkerung Westeuropas – Steuerüberwälzung. : Verhandlungen des Vereins für Sozialpolitik in Wien, 23.–25. September 1926. Auf Grund der stenographischen Niederschrift herausgegeben. (Schriften des Vereins für Sozialpolitik 172).</t>
  </si>
  <si>
    <t>Beiträge zur Wirtschaftstheorie. : Wissenschaftliche Gutachten. Erster Teil: Volkseinkommen und Volksvermögen. Begriffskritische Untersuchungen. (Schriften des Vereins für Sozialpolitik 173-I).</t>
  </si>
  <si>
    <t>https://ebookcentral.proquest.com/lib/istinye/detail.action?docID=7101417</t>
  </si>
  <si>
    <t>Beiträge zur Wirtschaftstheorie. : Wissenschaftliche Gutachten. Zweiter Teil: Konjunkturforschung und Konjunkturtheorie. (Schriften des Vereins für Sozialpolitik 173-II).</t>
  </si>
  <si>
    <t>https://ebookcentral.proquest.com/lib/istinye/detail.action?docID=7101418</t>
  </si>
  <si>
    <t>Finanzwissenschaftliche Untersuchungen. : Wissenschaftliche Gutachten. Erster Teil. (Schriften des Vereins für Sozialpolitik 174-I).</t>
  </si>
  <si>
    <t>https://ebookcentral.proquest.com/lib/istinye/detail.action?docID=7101419</t>
  </si>
  <si>
    <t>Finanzsteuern, Zwecksteuern und Zweckzuwendungen von Steuererträgen. : Eine finanztheoretische und finanzpolitische Studie. Finanzwissenschaftliche Untersuchungen, zweiter Teil. Hrsg. von Walther Lotz. (Schriften des Vereins für Sozialpolitik 174-II).</t>
  </si>
  <si>
    <t>Die Auslandskredite in ihrer finanziellen, wirtschaftlichen und sozialen Bedeutung. : Finanzwissenschaftliche Untersuchungen, dritter Teil. Wissenschaftliche Gutachten. (Schriften des Vereins für Sozialpolitik 174-III).</t>
  </si>
  <si>
    <t>https://ebookcentral.proquest.com/lib/istinye/detail.action?docID=7101421</t>
  </si>
  <si>
    <t>Kapitalbildung und Besteuerung. : Finanzwissenschaftliche Untersuchungen, vierter Teil. Wissenschaftliche Gutachten. (Schriften des Vereins für Sozialpolitik 174-IV).</t>
  </si>
  <si>
    <t>https://ebookcentral.proquest.com/lib/istinye/detail.action?docID=7101422</t>
  </si>
  <si>
    <t>Moderne Organisationsformen der öffentlichen Unternehmung. : Erster Teil: Die Aufgaben der öffentlichen Unternehmungen und ihrer Organisationsformen. Mit 8 Beiträgen. (Schriften des Vereins für Sozialpolitik, Band 176-I).</t>
  </si>
  <si>
    <t>https://ebookcentral.proquest.com/lib/istinye/detail.action?docID=7101423</t>
  </si>
  <si>
    <t>Moderne Organisationsformen der öffentlichen Unternehmung. : Dritter Teil: Ausland. Mit sechs Beiträgen. (Schriften des Vereins für Sozialpolitik, Band 176-III).</t>
  </si>
  <si>
    <t>Moderne Organisationsformen der öffentlichen Unternehmung. : Vierter Teil: Reinerträge und Zuschußbedarf der öffentlichen Unternehmungstätigkeit. Von Bruno Moll. (Schriften des Vereins für Sozialpolitik, Band 176-IV).</t>
  </si>
  <si>
    <t>Beiträge zur städtischen Wohn- und Siedelwirtschaft. : Erster Teil: Deutschland: Kritische Gesamtübersichten und allgemeine Probleme. (Schriften des Vereins für Sozialpolitik, Band 177-I).</t>
  </si>
  <si>
    <t>Zimmermann, Waldemar</t>
  </si>
  <si>
    <t>Beiträge zur städtischen Wohn- und Siedelwirtschaft. : Zweiter Teil: Deutschland: Die besonderen Probleme. (Schriften des Vereins für Sozialpolitik, Band 177-II).</t>
  </si>
  <si>
    <t>Beiträge zur städtischen Wohn- und Siedelwirtschaft. : Dritter Teil: Wohnungsfragen in Österreich. (Schriften des Vereins für Sozialpolitik, Band 177-III).</t>
  </si>
  <si>
    <t>Die Vererbung des ländlichen Grundbesitzes in der Nachkriegszeit. : Erster Teil: Deutsches Reich. (Schriften des Vereins für Sozialpolitik, Band 178-I).</t>
  </si>
  <si>
    <t>Die Vererbung des ländlichen Grundbesitzes in der Nachkriegszeit. : Dritter Teil: Die Anerbengesetze in den deutschen und außerdeutschen Ländern. Bearb. von Gustav Wagemann. (Schriften des Vereins für Sozialpolitik, Band 178-III).</t>
  </si>
  <si>
    <t>Wagemann, Gustav</t>
  </si>
  <si>
    <t>Die Vererbung des ländlichen Grundbesitzes in der Nachkriegszeit. : Zweiter Teil: Nachbarländer. (Schriften des Vereins für Sozialpolitik, Band 178-II).</t>
  </si>
  <si>
    <t>Einigungs- und Schiedsgrundsatz. : Begriffliches, Kritisches und Positives zum Schlichtungsproblem. Untersuchungen über das Schlichtungswesen, erster Teil. Hrsg. von Moritz Julius Bonn in Verbindung mit Carl Landauer - Friedrich Lemmer. (Schriften des Vereins für Sozialpolitik 179-I).</t>
  </si>
  <si>
    <t>Das Schlichtungswesen des Auslandes. : Untersuchungen über das Schlichtungswesen, zweiter Teil. (Schriften des Vereins für Sozialpolitik 179-II).</t>
  </si>
  <si>
    <t>Das Kartellproblem. : Beiträge zur Theorie und Praxis. Erster Teil. (Schriften des Vereins für Sozialpolitik 180-I).</t>
  </si>
  <si>
    <t>Das Kartellproblem im Lichte der deutschen Kartelliteratur. : Das Kartellproblem. Beiträge zur Theorie und Praxis. Zweiter Teil. Hrsg. von Emil Lederer unter Mitwirkung von Goetz Briefs - Arthur Feiler - Georg Jahn - Ludwig Mises. (Schriften des Vereins für Sozialpolitik 180-II).</t>
  </si>
  <si>
    <t>Das Kartellproblem. : Beiträge zur Theorie und Praxis. Dritter Teil. (Schriften des Vereins für Sozialpolitik 180-III).</t>
  </si>
  <si>
    <t>Das Deutsche Institut für technische Arbeitsschulung (Dinta). : Probleme der sozialen Werkspolitik, erster Teil. Hrsg. von Goetz Briefs. (Schriften des Vereins für Sozialpolitik 181-I).</t>
  </si>
  <si>
    <t>Grundfragen der betrieblichen Sozialpolitik. : Probleme der sozialen Werkspolitik, dritter Teil. Hrsg. von Goetz Briefs. (Schriften des Vereins für Sozialpolitik 181-III).</t>
  </si>
  <si>
    <t>Grundlagen und Grenzen der Sozialpolitik – Deutsche Agrarnot – Städtische Wohn- und Siedelwirtschaft. : Verhandlungen des Vereins für Sozialpolitik in Königsberg, 24.–26. September 1930. Auf Grund der stenographischen Niederschrift herausgegeben. (Schriften des Vereins für Sozialpolitik 182).</t>
  </si>
  <si>
    <t>https://ebookcentral.proquest.com/lib/istinye/detail.action?docID=7101439</t>
  </si>
  <si>
    <t>Die Beamtenbesoldung im modernen Staat. : Erster Teil. (Schriften des Vereins für Sozialpolitik 184-1).</t>
  </si>
  <si>
    <t>Gerloff, Wilhelm</t>
  </si>
  <si>
    <t>Die Beamtenbesoldung im modernen Staat. : Zweiter Teil. (Schriften des Vereins für Sozialpolitik 184-2).</t>
  </si>
  <si>
    <t>Die Arbeitslosigkeit der Gegenwart. : Vierter Teil: Die Arbeitslosigkeit in der Schweiz. Hrsg. von Manuel Saitzew. (Schriften des Vereins für Sozialpolitik, Band 185-IV).</t>
  </si>
  <si>
    <t>Die betriebliche Sozialpolitik im Ruhrkohlenbergbau. : Die betriebliche Sozialpolitik einzelner Industriezweige, erster Teil. Hrsg. von Goetz Briefs. (Schriften des Vereins für Sozialpolitik, Band 186-I).</t>
  </si>
  <si>
    <t>Das modernisierte Besteuerungsverfahren in Deutschland im Vergleich zu Österreich. : Die verfassungsgemäße Fortentwicklung von E-Government als Herausforderung und Chance für die deutsche Finanzverwaltung.</t>
  </si>
  <si>
    <t>Schriften zum Steuerrecht</t>
  </si>
  <si>
    <t>Schmidt, Christoph</t>
  </si>
  <si>
    <t>https://ebookcentral.proquest.com/lib/istinye/detail.action?docID=7101444</t>
  </si>
  <si>
    <t>Reichskanzler Theobald von Bethmann Hollweg 1909–1921. : Rekonstruktion seines verlorenen Nachlasses. Herausgegeben und bearbeitet von Winfried Baumgart. 2 Teilbände.</t>
  </si>
  <si>
    <t>https://ebookcentral.proquest.com/lib/istinye/detail.action?docID=7101445</t>
  </si>
  <si>
    <t>Maritime Risk Management. : Essays on the History of Marine Insurance, General Average and Sea Loan.</t>
  </si>
  <si>
    <t>Comparative Studies in the History of Insurance Law - Studien zur vergleichenden Geschichte des Versicherungsrechts</t>
  </si>
  <si>
    <t>Rossi, Guido</t>
  </si>
  <si>
    <t>Kameralismus und Merkantilismus. : Studien zur Entwicklung der ökonomischen Theorie XXXIX.</t>
  </si>
  <si>
    <t>Caspari, Volker</t>
  </si>
  <si>
    <t>Zeit in Gesetzen erfasst – G. W. F. Hegels Theorie der Kodifikation.</t>
  </si>
  <si>
    <t>Recht und Philosophie</t>
  </si>
  <si>
    <t>Müller, Michael W.</t>
  </si>
  <si>
    <t>Private Schadensgestaltung als Drittbelastung. : Fangprämien, Vertrags- und Verbandsstrafen: Regressfähige Schadensposten oder unzulässige Rechtsgeschäfte zu Lasten Dritter?</t>
  </si>
  <si>
    <t>Schriften zum Bürgerlichen Recht</t>
  </si>
  <si>
    <t>Odijk, Paul van</t>
  </si>
  <si>
    <t>https://ebookcentral.proquest.com/lib/istinye/detail.action?docID=7101449</t>
  </si>
  <si>
    <t>Korpuslinguistik im Recht. : Theoretische Überlegungen und Fallstudien.</t>
  </si>
  <si>
    <t>Normative Legitimität von Recht, Moral und Menschenrechten im Lichte der positivistischen Trennungsthese.</t>
  </si>
  <si>
    <t>Schriften zur Rechtstheorie</t>
  </si>
  <si>
    <t>Blöchlinger, Moritz</t>
  </si>
  <si>
    <t>https://ebookcentral.proquest.com/lib/istinye/detail.action?docID=7101451</t>
  </si>
  <si>
    <t>Entwicklung der Konjunkturforschung im frühen 20. Jahrhundert. : Studien zur Entwicklung der ökonomischen Theorie XL.</t>
  </si>
  <si>
    <t>Spahn, Peter</t>
  </si>
  <si>
    <t>https://ebookcentral.proquest.com/lib/istinye/detail.action?docID=7101452</t>
  </si>
  <si>
    <t>Deforming the Reform : The Impact of Elites on Romania's Post-Accession Europeanization</t>
  </si>
  <si>
    <t>Contributions to Political Science Ser.</t>
  </si>
  <si>
    <t>Martin-Russu, Luana</t>
  </si>
  <si>
    <t>JN1-9692.2</t>
  </si>
  <si>
    <t>https://ebookcentral.proquest.com/lib/istinye/detail.action?docID=7101854</t>
  </si>
  <si>
    <t>Monte Carlo N-Particle Simulations for Nuclear Detection and Safeguards : An Examples-Based Guide for Students and Practitioners</t>
  </si>
  <si>
    <t>Hendricks, John S.</t>
  </si>
  <si>
    <t>The Search for Ultralight Bosonic Dark Matter</t>
  </si>
  <si>
    <t>Jackson Kimball, Derek F.</t>
  </si>
  <si>
    <t>The Asymmetric Nature of Time : Accounting for the Open Future and the Fixed Past</t>
  </si>
  <si>
    <t>Grandjean, Vincent</t>
  </si>
  <si>
    <t>https://ebookcentral.proquest.com/lib/istinye/detail.action?docID=7102146</t>
  </si>
  <si>
    <t>Small Angle Scattering As a Tool to Study Protein Structure and Interactions</t>
  </si>
  <si>
    <t>Pietras, Zuzanna</t>
  </si>
  <si>
    <t>https://ebookcentral.proquest.com/lib/istinye/detail.action?docID=7103024</t>
  </si>
  <si>
    <t>Kaiser Karl V. und das Heilige Römische Reich</t>
  </si>
  <si>
    <t>Hirzel Verlag</t>
  </si>
  <si>
    <t>Sächsische Akademie der Wissenschaften zu Leipzig</t>
  </si>
  <si>
    <t>Czeguhn, Ignacio</t>
  </si>
  <si>
    <t>Multiplikator, Gleichgewicht, optimale Wachstumsrate und Standortverteilung.</t>
  </si>
  <si>
    <t>https://ebookcentral.proquest.com/lib/istinye/detail.action?docID=7109138</t>
  </si>
  <si>
    <t>Autonome und heteronome Verteilung. : Rechtsordnung staatlicher Lenkung von Produktion und Verteilung.</t>
  </si>
  <si>
    <t>Heinze, Christian</t>
  </si>
  <si>
    <t>Studien zum Marktsozialismus.</t>
  </si>
  <si>
    <t>Wettbewerbsprobleme der Versicherungswirtschaft.</t>
  </si>
  <si>
    <t>https://ebookcentral.proquest.com/lib/istinye/detail.action?docID=7109141</t>
  </si>
  <si>
    <t>Wettbewerbsprobleme der Mineralölwirtschaft im Schatten des OPEC-Kartells.</t>
  </si>
  <si>
    <t>https://ebookcentral.proquest.com/lib/istinye/detail.action?docID=7109142</t>
  </si>
  <si>
    <t>Wettbewerbsprobleme auf dem Markt für Arzneimittel und staatliche Gesundheitspolitik.</t>
  </si>
  <si>
    <t>https://ebookcentral.proquest.com/lib/istinye/detail.action?docID=7109143</t>
  </si>
  <si>
    <t>Selbstverwaltung als ordnungspolitisches Problem des Sozialstaates I.</t>
  </si>
  <si>
    <t>https://ebookcentral.proquest.com/lib/istinye/detail.action?docID=7109144</t>
  </si>
  <si>
    <t>Das Arbeitskräfteangebot zwischen Markt und Plan.</t>
  </si>
  <si>
    <t>https://ebookcentral.proquest.com/lib/istinye/detail.action?docID=7109145</t>
  </si>
  <si>
    <t>Beiträge zur Innovationspolitik.</t>
  </si>
  <si>
    <t>https://ebookcentral.proquest.com/lib/istinye/detail.action?docID=7109146</t>
  </si>
  <si>
    <t>Islam, Justice, and Democracy</t>
  </si>
  <si>
    <t>Religious Engagement in Democratic Politics Ser.</t>
  </si>
  <si>
    <t>Ciftci, Sabri</t>
  </si>
  <si>
    <t>BP173</t>
  </si>
  <si>
    <t>https://ebookcentral.proquest.com/lib/istinye/detail.action?docID=28870493</t>
  </si>
  <si>
    <t>20 More : Selected Stories from Drue Heinz Literature Prize Winners, 2001-2021</t>
  </si>
  <si>
    <t>University of Pittsburgh Press</t>
  </si>
  <si>
    <t>Pitt Drue Heinz Lit Prize Ser.</t>
  </si>
  <si>
    <t>McCafferty, Jane</t>
  </si>
  <si>
    <t>https://ebookcentral.proquest.com/lib/istinye/detail.action?docID=28870497</t>
  </si>
  <si>
    <t>Rolling Transitions and the Role of Intellectual : The Case of Hungary</t>
  </si>
  <si>
    <t>Bozóki, András</t>
  </si>
  <si>
    <t>Architecture and Politics in Africa : Making, Living and Imagining Identities Through Buildings</t>
  </si>
  <si>
    <t>Making and Remaking the African City: Studies in Urban Africa Ser.</t>
  </si>
  <si>
    <t>Tomkinson, Joanne</t>
  </si>
  <si>
    <t>A Story of Conquest and Adventure : The Large Faramarzname</t>
  </si>
  <si>
    <t>Leiden University Press</t>
  </si>
  <si>
    <t>Iranian Studies Ser.</t>
  </si>
  <si>
    <t>van Zutphen, Marjolijn</t>
  </si>
  <si>
    <t>PK6420</t>
  </si>
  <si>
    <t>891/.5511</t>
  </si>
  <si>
    <t>https://ebookcentral.proquest.com/lib/istinye/detail.action?docID=30003731</t>
  </si>
  <si>
    <t>The Rise of the ni&amp;apos</t>
  </si>
  <si>
    <t>Contested Sustainability : The Political Ecology of Conservation and Development in Tanzania</t>
  </si>
  <si>
    <t>Eastern Africa Ser.</t>
  </si>
  <si>
    <t>Ponte, Stefano</t>
  </si>
  <si>
    <t>Reading the Juggler of Notre Dame : Medieval Miracles and Modern Remakings</t>
  </si>
  <si>
    <t>https://ebookcentral.proquest.com/lib/istinye/detail.action?docID=30169224</t>
  </si>
  <si>
    <t>An Outline of Romanticism in the West</t>
  </si>
  <si>
    <t>Isbell, John Claiborne</t>
  </si>
  <si>
    <t>PN751</t>
  </si>
  <si>
    <t>https://ebookcentral.proquest.com/lib/istinye/detail.action?docID=30169225</t>
  </si>
  <si>
    <t>Anthropology of Transformation : From Europe to Asia and Back</t>
  </si>
  <si>
    <t>Buzalka, Juraj</t>
  </si>
  <si>
    <t>Life, Re-Scaled : The Biological Imagination in Twenty-First-Century Literature and Performance</t>
  </si>
  <si>
    <t>Campos, Liliane</t>
  </si>
  <si>
    <t>Sefer Ha-Pardes by Jedaiah Ha-Penini : A Critical Edition with English Translation</t>
  </si>
  <si>
    <t>Torollo, David</t>
  </si>
  <si>
    <t>Neo-Aramaic and Kurdish Folklore from Northern Iraq : A Comparative Anthology with a Sample of Glossed Texts, Volume 2</t>
  </si>
  <si>
    <t>The Merger Mystery : Why Spend Ever More on Mergers When So Many Fail?</t>
  </si>
  <si>
    <t>Meeks, Geoff</t>
  </si>
  <si>
    <t>'Fragile States' in an Unequal World : The Role of the G7+ in International Diplomacy and Development Cooperation</t>
  </si>
  <si>
    <t>de Siqueira, Isabel Rocha</t>
  </si>
  <si>
    <t>https://ebookcentral.proquest.com/lib/istinye/detail.action?docID=30169234</t>
  </si>
  <si>
    <t>The Diaries of Anthony Hewitson, Provincial Journalist, Volume 1 : 1865-1887</t>
  </si>
  <si>
    <t>Neo-Aramaic and Kurdish Folklore from Northern Iraq : A Comparative Anthology with a Sample of Glossed Texts, Volume 1</t>
  </si>
  <si>
    <t>Women and Migration(s) II</t>
  </si>
  <si>
    <t>Brooks, Kalia</t>
  </si>
  <si>
    <t>Second Chance : My Life in Things</t>
  </si>
  <si>
    <t>Rosengarten, Ruth</t>
  </si>
  <si>
    <t>The Power of Music : An Exploration of the Evidence</t>
  </si>
  <si>
    <t>Hallam, Susan</t>
  </si>
  <si>
    <t>The Classical Parthenon : Recovering the Strangeness of the Ancient World</t>
  </si>
  <si>
    <t>The Official Indonesian Qurʾān Translation : The History and Politics of Al-Qur'an Dan Terjemahnya</t>
  </si>
  <si>
    <t>The Global Qur'an Ser.</t>
  </si>
  <si>
    <t>Lukman, Fadhli</t>
  </si>
  <si>
    <t>Diachronic Variation in the Omani Arabic Vernacular of the Al-ʿAwābī District : From Carl Reinhardt (1894) to the Present Day</t>
  </si>
  <si>
    <t>Morano, Roberta</t>
  </si>
  <si>
    <t>https://ebookcentral.proquest.com/lib/istinye/detail.action?docID=30169243</t>
  </si>
  <si>
    <t>A Complete Guide to Maggot Therapy : Clinical Practice, Therapeutic Principles, Production, Distribution, and Ethics</t>
  </si>
  <si>
    <t>Stadler, Frank</t>
  </si>
  <si>
    <t>https://ebookcentral.proquest.com/lib/istinye/detail.action?docID=30169244</t>
  </si>
  <si>
    <t>Fatigue and Peripheral Muscle Dysfunction: Studies on Vitamin d Status, Muscle Metabolism and Systemic Inflammation in Patients with COPD : Aspects of COPD Severity Beyond FEV1 and Exacerbations</t>
  </si>
  <si>
    <t>Kentson, Magnus</t>
  </si>
  <si>
    <t>https://ebookcentral.proquest.com/lib/istinye/detail.action?docID=30180208</t>
  </si>
  <si>
    <t>Deep Learning for Digital Pathology in Limited Data Scenarios</t>
  </si>
  <si>
    <t>Stacke, Karin</t>
  </si>
  <si>
    <t>https://ebookcentral.proquest.com/lib/istinye/detail.action?docID=30180209</t>
  </si>
  <si>
    <t>Early Life Environmental Risk Factors and Gut Microbiota in Juvenile Idiopathic Arthritis : - More Than a Gut Feeling</t>
  </si>
  <si>
    <t>Kindgren, Erik</t>
  </si>
  <si>
    <t>https://ebookcentral.proquest.com/lib/istinye/detail.action?docID=30183726</t>
  </si>
  <si>
    <t>Living Biohybrid Systems Via in Vivo Polymerization of Thiophene Oligomers</t>
  </si>
  <si>
    <t>Dufil, Gwennaël</t>
  </si>
  <si>
    <t>https://ebookcentral.proquest.com/lib/istinye/detail.action?docID=30183727</t>
  </si>
  <si>
    <t>Income and Fuel Price Elasticities of Car Use</t>
  </si>
  <si>
    <t>Berry, Carl</t>
  </si>
  <si>
    <t>https://ebookcentral.proquest.com/lib/istinye/detail.action?docID=30183728</t>
  </si>
  <si>
    <t>Testosterone Analysis in Hair</t>
  </si>
  <si>
    <t>Preinbergs, Julia</t>
  </si>
  <si>
    <t>https://ebookcentral.proquest.com/lib/istinye/detail.action?docID=30192682</t>
  </si>
  <si>
    <t>Neutron Reflectometry Studies of the Hydrated Structure of Polymer Thin Films</t>
  </si>
  <si>
    <t>Nagy, Béla</t>
  </si>
  <si>
    <t>https://ebookcentral.proquest.com/lib/istinye/detail.action?docID=30192683</t>
  </si>
  <si>
    <t>What Makes a Patient Satisfied with Intrathecal Baclofen Treatment for Spasticity : Expectations and Experiences</t>
  </si>
  <si>
    <t>Gunnarsson, Stina</t>
  </si>
  <si>
    <t>https://ebookcentral.proquest.com/lib/istinye/detail.action?docID=30192684</t>
  </si>
  <si>
    <t>Distortion and Subversion : Punk Rock Music and the Protests for Free Public Transportation in Brazil (1996-2011)</t>
  </si>
  <si>
    <t>Lopes de Barros, Rodrigo</t>
  </si>
  <si>
    <t>https://ebookcentral.proquest.com/lib/istinye/detail.action?docID=30202741</t>
  </si>
  <si>
    <t>Surface-Controlled Chemical Vapor Deposition of Silicon Carbide</t>
  </si>
  <si>
    <t>Huang, Jing-Jia</t>
  </si>
  <si>
    <t>https://ebookcentral.proquest.com/lib/istinye/detail.action?docID=30203702</t>
  </si>
  <si>
    <t>Performance and Security Analysis for GPU-Based Applications</t>
  </si>
  <si>
    <t>Horga, Adrian</t>
  </si>
  <si>
    <t>https://ebookcentral.proquest.com/lib/istinye/detail.action?docID=30203703</t>
  </si>
  <si>
    <t>Boolean Complexes of Involutions and Smooth Intervals in Coxeter Groups</t>
  </si>
  <si>
    <t>Umutabazi, Vincent</t>
  </si>
  <si>
    <t>https://ebookcentral.proquest.com/lib/istinye/detail.action?docID=30203704</t>
  </si>
  <si>
    <t>Identification of Nonlinear Marine Systems</t>
  </si>
  <si>
    <t>Ljungberg, Fredrik</t>
  </si>
  <si>
    <t>https://ebookcentral.proquest.com/lib/istinye/detail.action?docID=30203705</t>
  </si>
  <si>
    <t>Advanced Surgeries, Medicines and Materials for Corneal Regeneration</t>
  </si>
  <si>
    <t>Xeroudaki, Maria</t>
  </si>
  <si>
    <t>https://ebookcentral.proquest.com/lib/istinye/detail.action?docID=30203707</t>
  </si>
  <si>
    <t>Studies in the Masoretic Tradition of the Hebrew Bible</t>
  </si>
  <si>
    <t>Crowther, Daniel J.</t>
  </si>
  <si>
    <t>Beware of Non-Supportive Leaders : Moderating Effects of Supportive Leadership on the Risks and Effects of Workplace Bullying</t>
  </si>
  <si>
    <t>Blomberg, Stefan</t>
  </si>
  <si>
    <t>https://ebookcentral.proquest.com/lib/istinye/detail.action?docID=30229626</t>
  </si>
  <si>
    <t>A Divided Old Age Through Research on Digital Technologies</t>
  </si>
  <si>
    <t>Poli, Arianna</t>
  </si>
  <si>
    <t>https://ebookcentral.proquest.com/lib/istinye/detail.action?docID=30229627</t>
  </si>
  <si>
    <t>Interaction Studies in Complex Fluids with Optical Biosensors</t>
  </si>
  <si>
    <t>Carlsson, Jenny</t>
  </si>
  <si>
    <t>https://ebookcentral.proquest.com/lib/istinye/detail.action?docID=30231049</t>
  </si>
  <si>
    <t>The Sleep of the Child - the Parent's Stressor? : A Study Within the ABIS Project</t>
  </si>
  <si>
    <t>Palmstierna, Peder</t>
  </si>
  <si>
    <t>https://ebookcentral.proquest.com/lib/istinye/detail.action?docID=30231050</t>
  </si>
  <si>
    <t>Adults with Cerebral Palsy : Living with a Lifelong Disability</t>
  </si>
  <si>
    <t>Sandström, Karin</t>
  </si>
  <si>
    <t>https://ebookcentral.proquest.com/lib/istinye/detail.action?docID=30231051</t>
  </si>
  <si>
    <t>From Family Language Practices to Family Language Policies : Children As Socializing Agents</t>
  </si>
  <si>
    <t>Kheirkhah, Mina</t>
  </si>
  <si>
    <t>https://ebookcentral.proquest.com/lib/istinye/detail.action?docID=30231053</t>
  </si>
  <si>
    <t>Self Assembled Monolayers for Quartz Crystal Microbalance Based Biosensing</t>
  </si>
  <si>
    <t>Myrskog, Annica</t>
  </si>
  <si>
    <t>https://ebookcentral.proquest.com/lib/istinye/detail.action?docID=30231054</t>
  </si>
  <si>
    <t>Mutational Effects on Protein Structure and Function</t>
  </si>
  <si>
    <t>Carlsson, Jonas</t>
  </si>
  <si>
    <t>https://ebookcentral.proquest.com/lib/istinye/detail.action?docID=30231055</t>
  </si>
  <si>
    <t>The Dynamics of Innovation and Knowledge-Based Regional Development</t>
  </si>
  <si>
    <t>Svensson, Peter</t>
  </si>
  <si>
    <t>https://ebookcentral.proquest.com/lib/istinye/detail.action?docID=30231056</t>
  </si>
  <si>
    <t>Network Analysis and Optimization of Animal Transports</t>
  </si>
  <si>
    <t>Håkansson, Nina</t>
  </si>
  <si>
    <t>https://ebookcentral.proquest.com/lib/istinye/detail.action?docID=30231057</t>
  </si>
  <si>
    <t>Kvalitetsproblem I Svensk Vuxenutbildning : Hur Kvalitetens Mikropolitik Konstrueras I Granskningssamhället</t>
  </si>
  <si>
    <t>Mufic, Johanna</t>
  </si>
  <si>
    <t>https://ebookcentral.proquest.com/lib/istinye/detail.action?docID=30239114</t>
  </si>
  <si>
    <t>A World Without Hunger : Josué de Castro and the History of Geography</t>
  </si>
  <si>
    <t>Davies, Archie</t>
  </si>
  <si>
    <t>The Bible in the Bowls : A Catalogue of Biblical Quotations in Published Jewish Babylonian Aramaic Magic Bowls</t>
  </si>
  <si>
    <t>Waller, Daniel James</t>
  </si>
  <si>
    <t>Engaging with Everyday Sounds</t>
  </si>
  <si>
    <t>Cobussen, Marcel</t>
  </si>
  <si>
    <t>Flavian Responses to Nero's Rome</t>
  </si>
  <si>
    <t>Heerink, 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</si>
</sst>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162"/>
      <scheme val="minor"/>
    </font>
    <font>
      <sz val="11"/>
      <color theme="1"/>
      <name val="Calibri"/>
      <family val="2"/>
      <charset val="162"/>
      <scheme val="minor"/>
    </font>
    <font>
      <sz val="18"/>
      <color theme="3"/>
      <name val="Calibri Light"/>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57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3"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270"/>
  <sheetViews>
    <sheetView tabSelected="1" workbookViewId="0">
      <selection sqref="A1:A1048576"/>
    </sheetView>
  </sheetViews>
  <sheetFormatPr defaultRowHeight="14.5" x14ac:dyDescent="0.35"/>
  <cols>
    <col min="11" max="11" width="24.81640625" customWidth="1"/>
    <col min="12" max="12" width="18.08984375" customWidth="1"/>
  </cols>
  <sheetData>
    <row r="1" spans="1:40" x14ac:dyDescent="0.35">
      <c r="A1" t="s">
        <v>147</v>
      </c>
      <c r="B1" t="s">
        <v>148</v>
      </c>
      <c r="C1" t="s">
        <v>149</v>
      </c>
      <c r="D1" t="s">
        <v>150</v>
      </c>
      <c r="E1" t="s">
        <v>151</v>
      </c>
      <c r="F1" t="s">
        <v>152</v>
      </c>
      <c r="G1" t="s">
        <v>153</v>
      </c>
      <c r="H1" t="s">
        <v>154</v>
      </c>
      <c r="I1" t="s">
        <v>155</v>
      </c>
      <c r="J1" t="s">
        <v>156</v>
      </c>
      <c r="K1" t="s">
        <v>157</v>
      </c>
      <c r="L1" t="s">
        <v>158</v>
      </c>
      <c r="M1" t="s">
        <v>159</v>
      </c>
      <c r="N1" t="s">
        <v>160</v>
      </c>
      <c r="O1" t="s">
        <v>161</v>
      </c>
      <c r="P1" t="s">
        <v>162</v>
      </c>
      <c r="Q1" t="s">
        <v>163</v>
      </c>
      <c r="R1" t="s">
        <v>164</v>
      </c>
      <c r="S1" t="s">
        <v>165</v>
      </c>
      <c r="T1" t="s">
        <v>166</v>
      </c>
      <c r="U1" t="s">
        <v>167</v>
      </c>
      <c r="V1" t="s">
        <v>168</v>
      </c>
      <c r="W1" t="s">
        <v>169</v>
      </c>
      <c r="X1" t="s">
        <v>170</v>
      </c>
      <c r="Y1" t="s">
        <v>171</v>
      </c>
      <c r="Z1" t="s">
        <v>172</v>
      </c>
      <c r="AA1" t="s">
        <v>173</v>
      </c>
      <c r="AB1" t="s">
        <v>174</v>
      </c>
      <c r="AC1" t="s">
        <v>175</v>
      </c>
      <c r="AD1" t="s">
        <v>176</v>
      </c>
      <c r="AE1" t="s">
        <v>177</v>
      </c>
      <c r="AF1" t="s">
        <v>178</v>
      </c>
      <c r="AG1" t="s">
        <v>179</v>
      </c>
      <c r="AH1" t="s">
        <v>180</v>
      </c>
      <c r="AI1" t="s">
        <v>181</v>
      </c>
      <c r="AJ1" t="s">
        <v>182</v>
      </c>
      <c r="AK1" t="s">
        <v>183</v>
      </c>
      <c r="AL1" t="s">
        <v>184</v>
      </c>
      <c r="AM1" t="s">
        <v>185</v>
      </c>
      <c r="AN1" t="s">
        <v>186</v>
      </c>
    </row>
    <row r="2" spans="1:40" x14ac:dyDescent="0.35">
      <c r="A2">
        <v>231315</v>
      </c>
      <c r="B2" t="s">
        <v>187</v>
      </c>
      <c r="C2" t="str">
        <f>"9780719052590"</f>
        <v>9780719052590</v>
      </c>
      <c r="D2" t="str">
        <f>"9781847790248"</f>
        <v>9781847790248</v>
      </c>
      <c r="E2" t="s">
        <v>188</v>
      </c>
      <c r="F2" t="s">
        <v>188</v>
      </c>
      <c r="G2" s="1">
        <v>37800</v>
      </c>
      <c r="H2" s="1">
        <v>38575</v>
      </c>
      <c r="I2" t="s">
        <v>189</v>
      </c>
      <c r="J2">
        <v>1</v>
      </c>
      <c r="K2" t="s">
        <v>190</v>
      </c>
      <c r="L2" t="s">
        <v>191</v>
      </c>
    </row>
    <row r="3" spans="1:40" x14ac:dyDescent="0.35">
      <c r="A3">
        <v>239235</v>
      </c>
      <c r="B3" t="s">
        <v>192</v>
      </c>
      <c r="C3" t="str">
        <f>"9780719064685"</f>
        <v>9780719064685</v>
      </c>
      <c r="D3" t="str">
        <f>"9781847790293"</f>
        <v>9781847790293</v>
      </c>
      <c r="E3" t="s">
        <v>188</v>
      </c>
      <c r="F3" t="s">
        <v>188</v>
      </c>
      <c r="G3" s="1">
        <v>37820</v>
      </c>
      <c r="H3" s="1">
        <v>39611</v>
      </c>
      <c r="I3" t="s">
        <v>189</v>
      </c>
      <c r="J3">
        <v>1</v>
      </c>
      <c r="K3" t="s">
        <v>193</v>
      </c>
      <c r="L3" t="s">
        <v>2</v>
      </c>
    </row>
    <row r="4" spans="1:40" x14ac:dyDescent="0.35">
      <c r="A4">
        <v>242612</v>
      </c>
      <c r="B4" t="s">
        <v>194</v>
      </c>
      <c r="C4" t="str">
        <f>"9780719063725"</f>
        <v>9780719063725</v>
      </c>
      <c r="D4" t="str">
        <f>"9781847790552"</f>
        <v>9781847790552</v>
      </c>
      <c r="E4" t="s">
        <v>188</v>
      </c>
      <c r="F4" t="s">
        <v>188</v>
      </c>
      <c r="G4" s="1">
        <v>37757</v>
      </c>
      <c r="H4" s="1">
        <v>39611</v>
      </c>
      <c r="I4" t="s">
        <v>189</v>
      </c>
      <c r="J4">
        <v>1</v>
      </c>
      <c r="K4" t="s">
        <v>195</v>
      </c>
      <c r="L4" t="s">
        <v>196</v>
      </c>
    </row>
    <row r="5" spans="1:40" x14ac:dyDescent="0.35">
      <c r="A5">
        <v>242613</v>
      </c>
      <c r="B5" t="s">
        <v>197</v>
      </c>
      <c r="C5" t="str">
        <f>"9780719057380"</f>
        <v>9780719057380</v>
      </c>
      <c r="D5" t="str">
        <f>"9781847790330"</f>
        <v>9781847790330</v>
      </c>
      <c r="E5" t="s">
        <v>188</v>
      </c>
      <c r="F5" t="s">
        <v>188</v>
      </c>
      <c r="G5" s="1">
        <v>37728</v>
      </c>
      <c r="H5" s="1">
        <v>39611</v>
      </c>
      <c r="I5" t="s">
        <v>189</v>
      </c>
      <c r="J5">
        <v>2</v>
      </c>
      <c r="L5" t="s">
        <v>198</v>
      </c>
      <c r="M5" t="s">
        <v>199</v>
      </c>
      <c r="N5" t="s">
        <v>200</v>
      </c>
      <c r="O5" t="s">
        <v>201</v>
      </c>
      <c r="P5" t="s">
        <v>202</v>
      </c>
    </row>
    <row r="6" spans="1:40" x14ac:dyDescent="0.35">
      <c r="A6">
        <v>242614</v>
      </c>
      <c r="B6" t="s">
        <v>203</v>
      </c>
      <c r="C6" t="str">
        <f>"9780719062674"</f>
        <v>9780719062674</v>
      </c>
      <c r="D6" t="str">
        <f>"9781847790521"</f>
        <v>9781847790521</v>
      </c>
      <c r="E6" t="s">
        <v>188</v>
      </c>
      <c r="F6" t="s">
        <v>188</v>
      </c>
      <c r="G6" s="1">
        <v>37540</v>
      </c>
      <c r="H6" s="1">
        <v>39612</v>
      </c>
      <c r="I6" t="s">
        <v>189</v>
      </c>
      <c r="J6">
        <v>1</v>
      </c>
      <c r="K6" t="s">
        <v>193</v>
      </c>
      <c r="L6" t="s">
        <v>204</v>
      </c>
    </row>
    <row r="7" spans="1:40" x14ac:dyDescent="0.35">
      <c r="A7">
        <v>242616</v>
      </c>
      <c r="B7" t="s">
        <v>205</v>
      </c>
      <c r="C7" t="str">
        <f>"9780719063640"</f>
        <v>9780719063640</v>
      </c>
      <c r="D7" t="str">
        <f>"9781847790392"</f>
        <v>9781847790392</v>
      </c>
      <c r="E7" t="s">
        <v>188</v>
      </c>
      <c r="F7" t="s">
        <v>188</v>
      </c>
      <c r="G7" s="1">
        <v>37870</v>
      </c>
      <c r="H7" s="1">
        <v>39612</v>
      </c>
      <c r="I7" t="s">
        <v>189</v>
      </c>
      <c r="J7">
        <v>1</v>
      </c>
      <c r="L7" t="s">
        <v>206</v>
      </c>
      <c r="M7" t="s">
        <v>207</v>
      </c>
    </row>
    <row r="8" spans="1:40" x14ac:dyDescent="0.35">
      <c r="A8">
        <v>242617</v>
      </c>
      <c r="B8" t="s">
        <v>208</v>
      </c>
      <c r="C8" t="str">
        <f>"9780719058691"</f>
        <v>9780719058691</v>
      </c>
      <c r="D8" t="str">
        <f>"9781847790255"</f>
        <v>9781847790255</v>
      </c>
      <c r="E8" t="s">
        <v>188</v>
      </c>
      <c r="F8" t="s">
        <v>188</v>
      </c>
      <c r="G8" s="1">
        <v>37730</v>
      </c>
      <c r="H8" s="1">
        <v>39612</v>
      </c>
      <c r="I8" t="s">
        <v>189</v>
      </c>
      <c r="J8">
        <v>1</v>
      </c>
      <c r="L8" t="s">
        <v>209</v>
      </c>
      <c r="M8" t="s">
        <v>210</v>
      </c>
      <c r="N8" t="s">
        <v>211</v>
      </c>
      <c r="O8" s="2">
        <v>32094709049</v>
      </c>
      <c r="P8" t="s">
        <v>212</v>
      </c>
    </row>
    <row r="9" spans="1:40" x14ac:dyDescent="0.35">
      <c r="A9">
        <v>242618</v>
      </c>
      <c r="B9" t="s">
        <v>213</v>
      </c>
      <c r="C9" t="str">
        <f>"9780719057939"</f>
        <v>9780719057939</v>
      </c>
      <c r="D9" t="str">
        <f>"9781847790118"</f>
        <v>9781847790118</v>
      </c>
      <c r="E9" t="s">
        <v>188</v>
      </c>
      <c r="F9" t="s">
        <v>188</v>
      </c>
      <c r="G9" s="1">
        <v>36848</v>
      </c>
      <c r="H9" s="1">
        <v>39612</v>
      </c>
      <c r="I9" t="s">
        <v>189</v>
      </c>
      <c r="J9">
        <v>1</v>
      </c>
      <c r="L9" t="s">
        <v>214</v>
      </c>
    </row>
    <row r="10" spans="1:40" x14ac:dyDescent="0.35">
      <c r="A10">
        <v>242619</v>
      </c>
      <c r="B10" t="s">
        <v>215</v>
      </c>
      <c r="C10" t="str">
        <f>"9780719062322"</f>
        <v>9780719062322</v>
      </c>
      <c r="D10" t="str">
        <f>"9781847790453"</f>
        <v>9781847790453</v>
      </c>
      <c r="E10" t="s">
        <v>188</v>
      </c>
      <c r="F10" t="s">
        <v>188</v>
      </c>
      <c r="G10" s="1">
        <v>37820</v>
      </c>
      <c r="H10" s="1">
        <v>39612</v>
      </c>
      <c r="I10" t="s">
        <v>189</v>
      </c>
      <c r="J10">
        <v>1</v>
      </c>
      <c r="L10" t="s">
        <v>216</v>
      </c>
    </row>
    <row r="11" spans="1:40" x14ac:dyDescent="0.35">
      <c r="A11">
        <v>242620</v>
      </c>
      <c r="B11" t="s">
        <v>217</v>
      </c>
      <c r="C11" t="str">
        <f>"9780719062483"</f>
        <v>9780719062483</v>
      </c>
      <c r="D11" t="str">
        <f>"9781847790477"</f>
        <v>9781847790477</v>
      </c>
      <c r="E11" t="s">
        <v>188</v>
      </c>
      <c r="F11" t="s">
        <v>188</v>
      </c>
      <c r="G11" s="1">
        <v>37770</v>
      </c>
      <c r="H11" s="1">
        <v>39612</v>
      </c>
      <c r="I11" t="s">
        <v>189</v>
      </c>
      <c r="J11">
        <v>1</v>
      </c>
      <c r="L11" t="s">
        <v>218</v>
      </c>
      <c r="M11" t="s">
        <v>219</v>
      </c>
      <c r="N11" t="s">
        <v>220</v>
      </c>
      <c r="O11" t="s">
        <v>221</v>
      </c>
      <c r="P11" t="s">
        <v>222</v>
      </c>
    </row>
    <row r="12" spans="1:40" x14ac:dyDescent="0.35">
      <c r="A12">
        <v>242622</v>
      </c>
      <c r="B12" t="s">
        <v>223</v>
      </c>
      <c r="C12" t="str">
        <f>"9780719063855"</f>
        <v>9780719063855</v>
      </c>
      <c r="D12" t="str">
        <f>"9781847790415"</f>
        <v>9781847790415</v>
      </c>
      <c r="E12" t="s">
        <v>188</v>
      </c>
      <c r="F12" t="s">
        <v>188</v>
      </c>
      <c r="G12" s="1">
        <v>37820</v>
      </c>
      <c r="H12" s="1">
        <v>39612</v>
      </c>
      <c r="I12" t="s">
        <v>189</v>
      </c>
      <c r="J12">
        <v>2</v>
      </c>
      <c r="K12" t="s">
        <v>224</v>
      </c>
      <c r="L12" t="s">
        <v>225</v>
      </c>
    </row>
    <row r="13" spans="1:40" x14ac:dyDescent="0.35">
      <c r="A13">
        <v>242623</v>
      </c>
      <c r="B13" t="s">
        <v>226</v>
      </c>
      <c r="C13" t="str">
        <f>"9780719063862"</f>
        <v>9780719063862</v>
      </c>
      <c r="D13" t="str">
        <f>"9781847790279"</f>
        <v>9781847790279</v>
      </c>
      <c r="E13" t="s">
        <v>188</v>
      </c>
      <c r="F13" t="s">
        <v>188</v>
      </c>
      <c r="G13" s="1">
        <v>37800</v>
      </c>
      <c r="H13" s="1">
        <v>39612</v>
      </c>
      <c r="I13" t="s">
        <v>189</v>
      </c>
      <c r="J13">
        <v>1</v>
      </c>
      <c r="K13" t="s">
        <v>227</v>
      </c>
      <c r="L13" t="s">
        <v>228</v>
      </c>
    </row>
    <row r="14" spans="1:40" x14ac:dyDescent="0.35">
      <c r="A14">
        <v>242624</v>
      </c>
      <c r="B14" t="s">
        <v>229</v>
      </c>
      <c r="C14" t="str">
        <f>"9780719054204"</f>
        <v>9780719054204</v>
      </c>
      <c r="D14" t="str">
        <f>"9781847790323"</f>
        <v>9781847790323</v>
      </c>
      <c r="E14" t="s">
        <v>188</v>
      </c>
      <c r="F14" t="s">
        <v>188</v>
      </c>
      <c r="G14" s="1">
        <v>37728</v>
      </c>
      <c r="H14" s="1">
        <v>39612</v>
      </c>
      <c r="I14" t="s">
        <v>189</v>
      </c>
      <c r="J14">
        <v>1</v>
      </c>
      <c r="K14" t="s">
        <v>230</v>
      </c>
      <c r="L14" t="s">
        <v>231</v>
      </c>
    </row>
    <row r="15" spans="1:40" x14ac:dyDescent="0.35">
      <c r="A15">
        <v>242625</v>
      </c>
      <c r="B15" t="s">
        <v>232</v>
      </c>
      <c r="C15" t="str">
        <f>"9780719063121"</f>
        <v>9780719063121</v>
      </c>
      <c r="D15" t="str">
        <f>"9781847790545"</f>
        <v>9781847790545</v>
      </c>
      <c r="E15" t="s">
        <v>188</v>
      </c>
      <c r="F15" t="s">
        <v>188</v>
      </c>
      <c r="G15" s="1">
        <v>37687</v>
      </c>
      <c r="H15" s="1">
        <v>39612</v>
      </c>
      <c r="I15" t="s">
        <v>189</v>
      </c>
      <c r="J15">
        <v>1</v>
      </c>
      <c r="L15" t="s">
        <v>233</v>
      </c>
      <c r="M15" t="s">
        <v>219</v>
      </c>
      <c r="N15" t="s">
        <v>234</v>
      </c>
      <c r="O15" t="s">
        <v>235</v>
      </c>
      <c r="P15" t="s">
        <v>236</v>
      </c>
    </row>
    <row r="16" spans="1:40" x14ac:dyDescent="0.35">
      <c r="A16">
        <v>242626</v>
      </c>
      <c r="B16" t="s">
        <v>237</v>
      </c>
      <c r="C16" t="str">
        <f>"9780719060700"</f>
        <v>9780719060700</v>
      </c>
      <c r="D16" t="str">
        <f>"9781847790149"</f>
        <v>9781847790149</v>
      </c>
      <c r="E16" t="s">
        <v>188</v>
      </c>
      <c r="F16" t="s">
        <v>188</v>
      </c>
      <c r="G16" s="1">
        <v>37639</v>
      </c>
      <c r="H16" s="1">
        <v>39612</v>
      </c>
      <c r="I16" t="s">
        <v>189</v>
      </c>
      <c r="J16">
        <v>1</v>
      </c>
      <c r="L16" t="s">
        <v>238</v>
      </c>
      <c r="M16" t="s">
        <v>239</v>
      </c>
    </row>
    <row r="17" spans="1:40" x14ac:dyDescent="0.35">
      <c r="A17">
        <v>242627</v>
      </c>
      <c r="B17" t="s">
        <v>240</v>
      </c>
      <c r="C17" t="str">
        <f>"9780719057144"</f>
        <v>9780719057144</v>
      </c>
      <c r="D17" t="str">
        <f>"9781847790439"</f>
        <v>9781847790439</v>
      </c>
      <c r="E17" t="s">
        <v>188</v>
      </c>
      <c r="F17" t="s">
        <v>188</v>
      </c>
      <c r="G17" s="1">
        <v>37870</v>
      </c>
      <c r="H17" s="1">
        <v>39612</v>
      </c>
      <c r="I17" t="s">
        <v>189</v>
      </c>
      <c r="J17">
        <v>1</v>
      </c>
      <c r="K17" t="s">
        <v>241</v>
      </c>
      <c r="L17" t="s">
        <v>242</v>
      </c>
    </row>
    <row r="18" spans="1:40" x14ac:dyDescent="0.35">
      <c r="A18">
        <v>242628</v>
      </c>
      <c r="B18" t="s">
        <v>243</v>
      </c>
      <c r="C18" t="str">
        <f>"9780719057083"</f>
        <v>9780719057083</v>
      </c>
      <c r="D18" t="str">
        <f>"9781847790187"</f>
        <v>9781847790187</v>
      </c>
      <c r="E18" t="s">
        <v>188</v>
      </c>
      <c r="F18" t="s">
        <v>188</v>
      </c>
      <c r="G18" s="1">
        <v>37622</v>
      </c>
      <c r="H18" s="1">
        <v>39612</v>
      </c>
      <c r="I18" t="s">
        <v>189</v>
      </c>
      <c r="J18">
        <v>1</v>
      </c>
      <c r="L18" t="s">
        <v>244</v>
      </c>
    </row>
    <row r="19" spans="1:40" x14ac:dyDescent="0.35">
      <c r="A19">
        <v>242629</v>
      </c>
      <c r="B19" t="s">
        <v>245</v>
      </c>
      <c r="C19" t="str">
        <f>"9780719058271"</f>
        <v>9780719058271</v>
      </c>
      <c r="D19" t="str">
        <f>"9781847790194"</f>
        <v>9781847790194</v>
      </c>
      <c r="E19" t="s">
        <v>188</v>
      </c>
      <c r="F19" t="s">
        <v>188</v>
      </c>
      <c r="G19" s="1">
        <v>37800</v>
      </c>
      <c r="H19" s="1">
        <v>39612</v>
      </c>
      <c r="I19" t="s">
        <v>189</v>
      </c>
      <c r="J19">
        <v>1</v>
      </c>
      <c r="L19" t="s">
        <v>246</v>
      </c>
      <c r="M19" t="s">
        <v>210</v>
      </c>
    </row>
    <row r="20" spans="1:40" x14ac:dyDescent="0.35">
      <c r="A20">
        <v>242630</v>
      </c>
      <c r="B20" t="s">
        <v>247</v>
      </c>
      <c r="C20" t="str">
        <f>"9780719060960"</f>
        <v>9780719060960</v>
      </c>
      <c r="D20" t="str">
        <f>"9781847790156"</f>
        <v>9781847790156</v>
      </c>
      <c r="E20" t="s">
        <v>188</v>
      </c>
      <c r="F20" t="s">
        <v>188</v>
      </c>
      <c r="G20" s="1">
        <v>37639</v>
      </c>
      <c r="H20" s="1">
        <v>39612</v>
      </c>
      <c r="I20" t="s">
        <v>189</v>
      </c>
      <c r="J20">
        <v>1</v>
      </c>
      <c r="L20" t="s">
        <v>248</v>
      </c>
      <c r="M20" t="s">
        <v>249</v>
      </c>
    </row>
    <row r="21" spans="1:40" x14ac:dyDescent="0.35">
      <c r="A21">
        <v>242631</v>
      </c>
      <c r="B21" t="s">
        <v>250</v>
      </c>
      <c r="C21" t="str">
        <f>"9780719062452"</f>
        <v>9780719062452</v>
      </c>
      <c r="D21" t="str">
        <f>"9781847790378"</f>
        <v>9781847790378</v>
      </c>
      <c r="E21" t="s">
        <v>188</v>
      </c>
      <c r="F21" t="s">
        <v>188</v>
      </c>
      <c r="G21" s="1">
        <v>37622</v>
      </c>
      <c r="H21" s="1">
        <v>39612</v>
      </c>
      <c r="I21" t="s">
        <v>189</v>
      </c>
      <c r="J21">
        <v>1</v>
      </c>
      <c r="L21" t="s">
        <v>251</v>
      </c>
      <c r="M21" t="s">
        <v>210</v>
      </c>
      <c r="N21" t="s">
        <v>252</v>
      </c>
      <c r="O21" t="s">
        <v>253</v>
      </c>
      <c r="P21" t="s">
        <v>254</v>
      </c>
    </row>
    <row r="22" spans="1:40" x14ac:dyDescent="0.35">
      <c r="A22">
        <v>242633</v>
      </c>
      <c r="B22" t="s">
        <v>255</v>
      </c>
      <c r="C22" t="str">
        <f>"9780719064289"</f>
        <v>9780719064289</v>
      </c>
      <c r="D22" t="str">
        <f>"9781847790569"</f>
        <v>9781847790569</v>
      </c>
      <c r="E22" t="s">
        <v>188</v>
      </c>
      <c r="F22" t="s">
        <v>188</v>
      </c>
      <c r="G22" s="1">
        <v>37660</v>
      </c>
      <c r="H22" s="1">
        <v>39612</v>
      </c>
      <c r="I22" t="s">
        <v>189</v>
      </c>
      <c r="J22">
        <v>1</v>
      </c>
      <c r="L22" t="s">
        <v>256</v>
      </c>
      <c r="M22" t="s">
        <v>239</v>
      </c>
      <c r="N22" t="s">
        <v>257</v>
      </c>
      <c r="O22" t="s">
        <v>258</v>
      </c>
      <c r="P22" t="s">
        <v>259</v>
      </c>
      <c r="Q22" t="s">
        <v>260</v>
      </c>
      <c r="R22" t="s">
        <v>261</v>
      </c>
      <c r="S22" t="s">
        <v>261</v>
      </c>
      <c r="T22" t="s">
        <v>261</v>
      </c>
      <c r="U22" t="s">
        <v>261</v>
      </c>
      <c r="V22" t="s">
        <v>262</v>
      </c>
      <c r="W22" t="s">
        <v>261</v>
      </c>
      <c r="X22" t="s">
        <v>261</v>
      </c>
      <c r="Y22" t="s">
        <v>261</v>
      </c>
      <c r="AD22" t="s">
        <v>262</v>
      </c>
      <c r="AE22">
        <v>10078513</v>
      </c>
      <c r="AF22">
        <v>71957</v>
      </c>
      <c r="AH22" t="s">
        <v>262</v>
      </c>
      <c r="AI22" t="s">
        <v>262</v>
      </c>
      <c r="AJ22" t="s">
        <v>261</v>
      </c>
      <c r="AK22" t="s">
        <v>261</v>
      </c>
      <c r="AM22" t="s">
        <v>262</v>
      </c>
      <c r="AN22" t="s">
        <v>263</v>
      </c>
    </row>
    <row r="23" spans="1:40" x14ac:dyDescent="0.35">
      <c r="A23">
        <v>242634</v>
      </c>
      <c r="B23" t="s">
        <v>264</v>
      </c>
      <c r="C23" t="str">
        <f>"9780719053467"</f>
        <v>9780719053467</v>
      </c>
      <c r="D23" t="str">
        <f>"9781847790316"</f>
        <v>9781847790316</v>
      </c>
      <c r="E23" t="s">
        <v>188</v>
      </c>
      <c r="F23" t="s">
        <v>188</v>
      </c>
      <c r="G23" s="1">
        <v>37728</v>
      </c>
      <c r="H23" s="1">
        <v>39612</v>
      </c>
      <c r="I23" t="s">
        <v>189</v>
      </c>
      <c r="J23">
        <v>1</v>
      </c>
      <c r="K23" t="s">
        <v>265</v>
      </c>
      <c r="L23" t="s">
        <v>266</v>
      </c>
      <c r="M23" t="s">
        <v>239</v>
      </c>
    </row>
    <row r="24" spans="1:40" x14ac:dyDescent="0.35">
      <c r="A24">
        <v>242635</v>
      </c>
      <c r="B24" t="s">
        <v>267</v>
      </c>
      <c r="C24" t="str">
        <f>"9780719058936"</f>
        <v>9780719058936</v>
      </c>
      <c r="D24" t="str">
        <f>"9781847790200"</f>
        <v>9781847790200</v>
      </c>
      <c r="E24" t="s">
        <v>188</v>
      </c>
      <c r="F24" t="s">
        <v>188</v>
      </c>
      <c r="G24" s="1">
        <v>37687</v>
      </c>
      <c r="H24" s="1">
        <v>39612</v>
      </c>
      <c r="I24" t="s">
        <v>189</v>
      </c>
      <c r="J24">
        <v>1</v>
      </c>
      <c r="L24" t="s">
        <v>268</v>
      </c>
      <c r="M24" t="s">
        <v>239</v>
      </c>
      <c r="N24" t="s">
        <v>269</v>
      </c>
      <c r="O24" t="s">
        <v>270</v>
      </c>
      <c r="P24" t="s">
        <v>271</v>
      </c>
    </row>
    <row r="25" spans="1:40" x14ac:dyDescent="0.35">
      <c r="A25">
        <v>242636</v>
      </c>
      <c r="B25" t="s">
        <v>272</v>
      </c>
      <c r="C25" t="str">
        <f>"9780719063084"</f>
        <v>9780719063084</v>
      </c>
      <c r="D25" t="str">
        <f>"9781847790385"</f>
        <v>9781847790385</v>
      </c>
      <c r="E25" t="s">
        <v>188</v>
      </c>
      <c r="F25" t="s">
        <v>188</v>
      </c>
      <c r="G25" s="1">
        <v>37870</v>
      </c>
      <c r="H25" s="1">
        <v>39612</v>
      </c>
      <c r="I25" t="s">
        <v>189</v>
      </c>
      <c r="J25">
        <v>1</v>
      </c>
      <c r="L25" t="s">
        <v>273</v>
      </c>
      <c r="M25" t="s">
        <v>210</v>
      </c>
      <c r="N25" t="s">
        <v>274</v>
      </c>
      <c r="O25" t="s">
        <v>275</v>
      </c>
      <c r="P25" t="s">
        <v>276</v>
      </c>
      <c r="Q25" t="s">
        <v>260</v>
      </c>
      <c r="R25" t="s">
        <v>261</v>
      </c>
      <c r="S25" t="s">
        <v>261</v>
      </c>
      <c r="T25" t="s">
        <v>261</v>
      </c>
      <c r="U25" t="s">
        <v>261</v>
      </c>
      <c r="V25" t="s">
        <v>262</v>
      </c>
      <c r="W25" t="s">
        <v>261</v>
      </c>
      <c r="X25" t="s">
        <v>261</v>
      </c>
      <c r="Y25" t="s">
        <v>261</v>
      </c>
      <c r="AD25" t="s">
        <v>262</v>
      </c>
      <c r="AE25">
        <v>10075716</v>
      </c>
      <c r="AF25">
        <v>843577</v>
      </c>
      <c r="AH25" t="s">
        <v>262</v>
      </c>
      <c r="AI25" t="s">
        <v>262</v>
      </c>
      <c r="AJ25" t="s">
        <v>261</v>
      </c>
      <c r="AK25" t="s">
        <v>261</v>
      </c>
      <c r="AM25" t="s">
        <v>262</v>
      </c>
      <c r="AN25" t="s">
        <v>277</v>
      </c>
    </row>
    <row r="26" spans="1:40" x14ac:dyDescent="0.35">
      <c r="A26">
        <v>242637</v>
      </c>
      <c r="B26" t="s">
        <v>278</v>
      </c>
      <c r="C26" t="str">
        <f>"9780719060557"</f>
        <v>9780719060557</v>
      </c>
      <c r="D26" t="str">
        <f>"9781847790132"</f>
        <v>9781847790132</v>
      </c>
      <c r="E26" t="s">
        <v>188</v>
      </c>
      <c r="F26" t="s">
        <v>188</v>
      </c>
      <c r="G26" s="1">
        <v>37540</v>
      </c>
      <c r="H26" s="1">
        <v>39612</v>
      </c>
      <c r="I26" t="s">
        <v>189</v>
      </c>
      <c r="J26">
        <v>1</v>
      </c>
      <c r="L26" t="s">
        <v>279</v>
      </c>
      <c r="M26" t="s">
        <v>219</v>
      </c>
    </row>
    <row r="27" spans="1:40" x14ac:dyDescent="0.35">
      <c r="A27">
        <v>242638</v>
      </c>
      <c r="B27" t="s">
        <v>280</v>
      </c>
      <c r="C27" t="str">
        <f>"9780719066023"</f>
        <v>9780719066023</v>
      </c>
      <c r="D27" t="str">
        <f>"9781847790576"</f>
        <v>9781847790576</v>
      </c>
      <c r="E27" t="s">
        <v>188</v>
      </c>
      <c r="F27" t="s">
        <v>188</v>
      </c>
      <c r="G27" s="1">
        <v>37812</v>
      </c>
      <c r="H27" s="1">
        <v>39612</v>
      </c>
      <c r="I27" t="s">
        <v>189</v>
      </c>
      <c r="J27">
        <v>1</v>
      </c>
      <c r="L27" t="s">
        <v>281</v>
      </c>
      <c r="M27" t="s">
        <v>282</v>
      </c>
    </row>
    <row r="28" spans="1:40" x14ac:dyDescent="0.35">
      <c r="A28">
        <v>242639</v>
      </c>
      <c r="B28" t="s">
        <v>283</v>
      </c>
      <c r="C28" t="str">
        <f>"9780719059773"</f>
        <v>9780719059773</v>
      </c>
      <c r="D28" t="str">
        <f>"9781847790507"</f>
        <v>9781847790507</v>
      </c>
      <c r="E28" t="s">
        <v>188</v>
      </c>
      <c r="F28" t="s">
        <v>188</v>
      </c>
      <c r="G28" s="1">
        <v>37623</v>
      </c>
      <c r="H28" s="1">
        <v>39612</v>
      </c>
      <c r="I28" t="s">
        <v>189</v>
      </c>
      <c r="J28">
        <v>1</v>
      </c>
      <c r="K28" t="s">
        <v>284</v>
      </c>
      <c r="L28" t="s">
        <v>285</v>
      </c>
      <c r="M28" t="s">
        <v>210</v>
      </c>
    </row>
    <row r="29" spans="1:40" x14ac:dyDescent="0.35">
      <c r="A29">
        <v>242640</v>
      </c>
      <c r="B29" t="s">
        <v>286</v>
      </c>
      <c r="C29" t="str">
        <f>"9780719063046"</f>
        <v>9780719063046</v>
      </c>
      <c r="D29" t="str">
        <f>"9781847790538"</f>
        <v>9781847790538</v>
      </c>
      <c r="E29" t="s">
        <v>188</v>
      </c>
      <c r="F29" t="s">
        <v>188</v>
      </c>
      <c r="G29" s="1">
        <v>37884</v>
      </c>
      <c r="H29" s="1">
        <v>39612</v>
      </c>
      <c r="I29" t="s">
        <v>189</v>
      </c>
      <c r="J29">
        <v>1</v>
      </c>
      <c r="K29" t="s">
        <v>287</v>
      </c>
      <c r="L29" t="s">
        <v>288</v>
      </c>
    </row>
    <row r="30" spans="1:40" x14ac:dyDescent="0.35">
      <c r="A30">
        <v>242642</v>
      </c>
      <c r="B30" t="s">
        <v>289</v>
      </c>
      <c r="C30" t="str">
        <f>"9780719058493"</f>
        <v>9780719058493</v>
      </c>
      <c r="D30" t="str">
        <f>"9781847790491"</f>
        <v>9781847790491</v>
      </c>
      <c r="E30" t="s">
        <v>188</v>
      </c>
      <c r="F30" t="s">
        <v>188</v>
      </c>
      <c r="G30" s="1">
        <v>37800</v>
      </c>
      <c r="H30" s="1">
        <v>39612</v>
      </c>
      <c r="I30" t="s">
        <v>189</v>
      </c>
      <c r="J30">
        <v>1</v>
      </c>
      <c r="K30" t="s">
        <v>290</v>
      </c>
      <c r="L30" t="s">
        <v>6</v>
      </c>
    </row>
    <row r="31" spans="1:40" x14ac:dyDescent="0.35">
      <c r="A31">
        <v>242643</v>
      </c>
      <c r="B31" t="s">
        <v>291</v>
      </c>
      <c r="C31" t="str">
        <f>"9780719058172"</f>
        <v>9780719058172</v>
      </c>
      <c r="D31" t="str">
        <f>"9781847790125"</f>
        <v>9781847790125</v>
      </c>
      <c r="E31" t="s">
        <v>188</v>
      </c>
      <c r="F31" t="s">
        <v>188</v>
      </c>
      <c r="G31" s="1">
        <v>37581</v>
      </c>
      <c r="H31" s="1">
        <v>39612</v>
      </c>
      <c r="I31" t="s">
        <v>189</v>
      </c>
      <c r="J31">
        <v>1</v>
      </c>
      <c r="L31" t="s">
        <v>292</v>
      </c>
    </row>
    <row r="32" spans="1:40" x14ac:dyDescent="0.35">
      <c r="A32">
        <v>242644</v>
      </c>
      <c r="B32" t="s">
        <v>293</v>
      </c>
      <c r="C32" t="str">
        <f>"9780719059087"</f>
        <v>9780719059087</v>
      </c>
      <c r="D32" t="str">
        <f>"9781847790446"</f>
        <v>9781847790446</v>
      </c>
      <c r="E32" t="s">
        <v>188</v>
      </c>
      <c r="F32" t="s">
        <v>188</v>
      </c>
      <c r="G32" s="1">
        <v>37728</v>
      </c>
      <c r="H32" s="1">
        <v>39612</v>
      </c>
      <c r="I32" t="s">
        <v>189</v>
      </c>
      <c r="J32">
        <v>1</v>
      </c>
      <c r="L32" t="s">
        <v>294</v>
      </c>
    </row>
    <row r="33" spans="1:40" x14ac:dyDescent="0.35">
      <c r="A33">
        <v>242646</v>
      </c>
      <c r="B33" t="s">
        <v>295</v>
      </c>
      <c r="C33" t="str">
        <f>"9780719060519"</f>
        <v>9780719060519</v>
      </c>
      <c r="D33" t="str">
        <f>"9781847790347"</f>
        <v>9781847790347</v>
      </c>
      <c r="E33" t="s">
        <v>188</v>
      </c>
      <c r="F33" t="s">
        <v>188</v>
      </c>
      <c r="G33" s="1">
        <v>37835</v>
      </c>
      <c r="H33" s="1">
        <v>39612</v>
      </c>
      <c r="I33" t="s">
        <v>189</v>
      </c>
      <c r="J33">
        <v>1</v>
      </c>
      <c r="K33" t="s">
        <v>296</v>
      </c>
      <c r="L33" t="s">
        <v>297</v>
      </c>
    </row>
    <row r="34" spans="1:40" x14ac:dyDescent="0.35">
      <c r="A34">
        <v>242647</v>
      </c>
      <c r="B34" t="s">
        <v>298</v>
      </c>
      <c r="C34" t="str">
        <f>"9780719061387"</f>
        <v>9780719061387</v>
      </c>
      <c r="D34" t="str">
        <f>"9781847790354"</f>
        <v>9781847790354</v>
      </c>
      <c r="E34" t="s">
        <v>188</v>
      </c>
      <c r="F34" t="s">
        <v>188</v>
      </c>
      <c r="G34" s="1">
        <v>37749</v>
      </c>
      <c r="H34" s="1">
        <v>39612</v>
      </c>
      <c r="I34" t="s">
        <v>189</v>
      </c>
      <c r="J34">
        <v>1</v>
      </c>
      <c r="L34" t="s">
        <v>299</v>
      </c>
    </row>
    <row r="35" spans="1:40" x14ac:dyDescent="0.35">
      <c r="A35">
        <v>242649</v>
      </c>
      <c r="B35" t="s">
        <v>300</v>
      </c>
      <c r="C35" t="str">
        <f>"9780719062261"</f>
        <v>9780719062261</v>
      </c>
      <c r="D35" t="str">
        <f>"9781847790262"</f>
        <v>9781847790262</v>
      </c>
      <c r="E35" t="s">
        <v>188</v>
      </c>
      <c r="F35" t="s">
        <v>188</v>
      </c>
      <c r="G35" s="1">
        <v>37730</v>
      </c>
      <c r="H35" s="1">
        <v>39612</v>
      </c>
      <c r="I35" t="s">
        <v>189</v>
      </c>
      <c r="J35">
        <v>1</v>
      </c>
      <c r="L35" t="s">
        <v>301</v>
      </c>
    </row>
    <row r="36" spans="1:40" x14ac:dyDescent="0.35">
      <c r="A36">
        <v>242650</v>
      </c>
      <c r="B36" t="s">
        <v>302</v>
      </c>
      <c r="C36" t="str">
        <f>"9780719062308"</f>
        <v>9780719062308</v>
      </c>
      <c r="D36" t="str">
        <f>"9781847790361"</f>
        <v>9781847790361</v>
      </c>
      <c r="E36" t="s">
        <v>188</v>
      </c>
      <c r="F36" t="s">
        <v>188</v>
      </c>
      <c r="G36" s="1">
        <v>37791</v>
      </c>
      <c r="H36" s="1">
        <v>39612</v>
      </c>
      <c r="I36" t="s">
        <v>189</v>
      </c>
      <c r="J36">
        <v>1</v>
      </c>
      <c r="L36" t="s">
        <v>303</v>
      </c>
    </row>
    <row r="37" spans="1:40" x14ac:dyDescent="0.35">
      <c r="A37">
        <v>242651</v>
      </c>
      <c r="B37" t="s">
        <v>304</v>
      </c>
      <c r="C37" t="str">
        <f>"9780719062339"</f>
        <v>9780719062339</v>
      </c>
      <c r="D37" t="str">
        <f>"9781847790163"</f>
        <v>9781847790163</v>
      </c>
      <c r="E37" t="s">
        <v>188</v>
      </c>
      <c r="F37" t="s">
        <v>188</v>
      </c>
      <c r="G37" s="1">
        <v>37539</v>
      </c>
      <c r="H37" s="1">
        <v>39612</v>
      </c>
      <c r="I37" t="s">
        <v>189</v>
      </c>
      <c r="J37">
        <v>1</v>
      </c>
      <c r="K37" t="s">
        <v>195</v>
      </c>
      <c r="L37" t="s">
        <v>1</v>
      </c>
    </row>
    <row r="38" spans="1:40" x14ac:dyDescent="0.35">
      <c r="A38">
        <v>242652</v>
      </c>
      <c r="B38" t="s">
        <v>305</v>
      </c>
      <c r="C38" t="str">
        <f>"9780719062407"</f>
        <v>9780719062407</v>
      </c>
      <c r="D38" t="str">
        <f>"9781847790170"</f>
        <v>9781847790170</v>
      </c>
      <c r="E38" t="s">
        <v>188</v>
      </c>
      <c r="F38" t="s">
        <v>188</v>
      </c>
      <c r="G38" s="1">
        <v>37476</v>
      </c>
      <c r="H38" s="1">
        <v>39612</v>
      </c>
      <c r="I38" t="s">
        <v>189</v>
      </c>
      <c r="J38">
        <v>1</v>
      </c>
      <c r="L38" t="s">
        <v>306</v>
      </c>
    </row>
    <row r="39" spans="1:40" x14ac:dyDescent="0.35">
      <c r="A39">
        <v>242653</v>
      </c>
      <c r="B39" t="s">
        <v>307</v>
      </c>
      <c r="C39" t="str">
        <f>"9780719062414"</f>
        <v>9780719062414</v>
      </c>
      <c r="D39" t="str">
        <f>"9781847790460"</f>
        <v>9781847790460</v>
      </c>
      <c r="E39" t="s">
        <v>188</v>
      </c>
      <c r="F39" t="s">
        <v>188</v>
      </c>
      <c r="G39" s="1">
        <v>37622</v>
      </c>
      <c r="H39" s="1">
        <v>39612</v>
      </c>
      <c r="I39" t="s">
        <v>189</v>
      </c>
      <c r="J39">
        <v>1</v>
      </c>
      <c r="L39" t="s">
        <v>308</v>
      </c>
    </row>
    <row r="40" spans="1:40" x14ac:dyDescent="0.35">
      <c r="A40">
        <v>242655</v>
      </c>
      <c r="B40" t="s">
        <v>309</v>
      </c>
      <c r="C40" t="str">
        <f>"9780719063428"</f>
        <v>9780719063428</v>
      </c>
      <c r="D40" t="str">
        <f>"9781847790224"</f>
        <v>9781847790224</v>
      </c>
      <c r="E40" t="s">
        <v>188</v>
      </c>
      <c r="F40" t="s">
        <v>188</v>
      </c>
      <c r="G40" s="1">
        <v>37800</v>
      </c>
      <c r="H40" s="1">
        <v>39612</v>
      </c>
      <c r="I40" t="s">
        <v>189</v>
      </c>
      <c r="J40">
        <v>1</v>
      </c>
      <c r="L40" t="s">
        <v>310</v>
      </c>
    </row>
    <row r="41" spans="1:40" x14ac:dyDescent="0.35">
      <c r="A41">
        <v>242656</v>
      </c>
      <c r="B41" t="s">
        <v>311</v>
      </c>
      <c r="C41" t="str">
        <f>"9780719063749"</f>
        <v>9780719063749</v>
      </c>
      <c r="D41" t="str">
        <f>"9781847790408"</f>
        <v>9781847790408</v>
      </c>
      <c r="E41" t="s">
        <v>188</v>
      </c>
      <c r="F41" t="s">
        <v>188</v>
      </c>
      <c r="G41" s="1">
        <v>37728</v>
      </c>
      <c r="H41" s="1">
        <v>39661</v>
      </c>
      <c r="I41" t="s">
        <v>189</v>
      </c>
      <c r="J41">
        <v>1</v>
      </c>
      <c r="K41" t="s">
        <v>312</v>
      </c>
      <c r="L41" t="s">
        <v>313</v>
      </c>
    </row>
    <row r="42" spans="1:40" x14ac:dyDescent="0.35">
      <c r="A42">
        <v>242657</v>
      </c>
      <c r="B42" t="s">
        <v>314</v>
      </c>
      <c r="C42" t="str">
        <f>"9780719064869"</f>
        <v>9780719064869</v>
      </c>
      <c r="D42" t="str">
        <f>"9781847790231"</f>
        <v>9781847790231</v>
      </c>
      <c r="E42" t="s">
        <v>188</v>
      </c>
      <c r="F42" t="s">
        <v>188</v>
      </c>
      <c r="G42" s="1">
        <v>37707</v>
      </c>
      <c r="H42" s="1">
        <v>39612</v>
      </c>
      <c r="I42" t="s">
        <v>189</v>
      </c>
      <c r="J42">
        <v>1</v>
      </c>
      <c r="L42" t="s">
        <v>315</v>
      </c>
      <c r="M42" t="s">
        <v>316</v>
      </c>
      <c r="N42" t="s">
        <v>317</v>
      </c>
      <c r="O42" s="2">
        <v>3470709</v>
      </c>
    </row>
    <row r="43" spans="1:40" x14ac:dyDescent="0.35">
      <c r="A43">
        <v>242658</v>
      </c>
      <c r="B43" t="s">
        <v>318</v>
      </c>
      <c r="C43" t="str">
        <f>"9780719064883"</f>
        <v>9780719064883</v>
      </c>
      <c r="D43" t="str">
        <f>"9781847790309"</f>
        <v>9781847790309</v>
      </c>
      <c r="E43" t="s">
        <v>188</v>
      </c>
      <c r="F43" t="s">
        <v>188</v>
      </c>
      <c r="G43" s="1">
        <v>37800</v>
      </c>
      <c r="H43" s="1">
        <v>39661</v>
      </c>
      <c r="I43" t="s">
        <v>189</v>
      </c>
      <c r="J43">
        <v>1</v>
      </c>
      <c r="L43" t="s">
        <v>319</v>
      </c>
    </row>
    <row r="44" spans="1:40" x14ac:dyDescent="0.35">
      <c r="A44">
        <v>298859</v>
      </c>
      <c r="B44" t="s">
        <v>320</v>
      </c>
      <c r="C44" t="str">
        <f>"9781592134908"</f>
        <v>9781592134908</v>
      </c>
      <c r="D44" t="str">
        <f>"9781592134922"</f>
        <v>9781592134922</v>
      </c>
      <c r="E44" t="s">
        <v>321</v>
      </c>
      <c r="F44" t="s">
        <v>321</v>
      </c>
      <c r="G44" s="1">
        <v>39094</v>
      </c>
      <c r="H44" s="1">
        <v>39264</v>
      </c>
      <c r="I44" t="s">
        <v>189</v>
      </c>
      <c r="J44">
        <v>1</v>
      </c>
      <c r="L44" t="s">
        <v>322</v>
      </c>
      <c r="M44" t="s">
        <v>323</v>
      </c>
      <c r="N44" t="s">
        <v>324</v>
      </c>
      <c r="O44" t="s">
        <v>325</v>
      </c>
      <c r="P44" t="s">
        <v>326</v>
      </c>
    </row>
    <row r="45" spans="1:40" x14ac:dyDescent="0.35">
      <c r="A45">
        <v>298869</v>
      </c>
      <c r="B45" t="s">
        <v>327</v>
      </c>
      <c r="C45" t="str">
        <f>"9781592131433"</f>
        <v>9781592131433</v>
      </c>
      <c r="D45" t="str">
        <f>"9781592131457"</f>
        <v>9781592131457</v>
      </c>
      <c r="E45" t="s">
        <v>321</v>
      </c>
      <c r="F45" t="s">
        <v>321</v>
      </c>
      <c r="G45" s="1">
        <v>38517</v>
      </c>
      <c r="H45" s="1">
        <v>39264</v>
      </c>
      <c r="I45" t="s">
        <v>189</v>
      </c>
      <c r="J45">
        <v>1</v>
      </c>
      <c r="L45" t="s">
        <v>328</v>
      </c>
      <c r="M45" t="s">
        <v>329</v>
      </c>
      <c r="N45" t="s">
        <v>330</v>
      </c>
      <c r="O45">
        <v>306</v>
      </c>
      <c r="P45" t="s">
        <v>331</v>
      </c>
    </row>
    <row r="46" spans="1:40" x14ac:dyDescent="0.35">
      <c r="A46">
        <v>298872</v>
      </c>
      <c r="B46" t="s">
        <v>332</v>
      </c>
      <c r="C46" t="str">
        <f>"9781592134717"</f>
        <v>9781592134717</v>
      </c>
      <c r="D46" t="str">
        <f>"9781592134731"</f>
        <v>9781592134731</v>
      </c>
      <c r="E46" t="s">
        <v>321</v>
      </c>
      <c r="F46" t="s">
        <v>321</v>
      </c>
      <c r="G46" s="1">
        <v>38884</v>
      </c>
      <c r="H46" s="1">
        <v>39264</v>
      </c>
      <c r="I46" t="s">
        <v>189</v>
      </c>
      <c r="J46">
        <v>1</v>
      </c>
      <c r="K46" t="s">
        <v>333</v>
      </c>
      <c r="L46" t="s">
        <v>334</v>
      </c>
      <c r="M46" t="s">
        <v>329</v>
      </c>
    </row>
    <row r="47" spans="1:40" x14ac:dyDescent="0.35">
      <c r="A47">
        <v>361675</v>
      </c>
      <c r="B47" t="s">
        <v>335</v>
      </c>
      <c r="C47" t="str">
        <f>"9780813543635"</f>
        <v>9780813543635</v>
      </c>
      <c r="D47" t="str">
        <f>"9780813545608"</f>
        <v>9780813545608</v>
      </c>
      <c r="E47" t="s">
        <v>336</v>
      </c>
      <c r="F47" t="s">
        <v>336</v>
      </c>
      <c r="G47" s="1">
        <v>39700</v>
      </c>
      <c r="H47" s="1">
        <v>39730</v>
      </c>
      <c r="I47" t="s">
        <v>189</v>
      </c>
      <c r="J47">
        <v>1</v>
      </c>
      <c r="K47" t="s">
        <v>337</v>
      </c>
      <c r="L47" t="s">
        <v>338</v>
      </c>
      <c r="M47" t="s">
        <v>339</v>
      </c>
      <c r="N47" t="s">
        <v>340</v>
      </c>
      <c r="O47" s="2">
        <v>6183207543</v>
      </c>
      <c r="Q47" t="s">
        <v>260</v>
      </c>
      <c r="R47" t="s">
        <v>261</v>
      </c>
      <c r="S47" t="s">
        <v>261</v>
      </c>
      <c r="T47" t="s">
        <v>261</v>
      </c>
      <c r="U47" t="s">
        <v>261</v>
      </c>
      <c r="V47" t="s">
        <v>262</v>
      </c>
      <c r="W47" t="s">
        <v>261</v>
      </c>
      <c r="X47" t="s">
        <v>261</v>
      </c>
      <c r="Y47" t="s">
        <v>261</v>
      </c>
      <c r="Z47" t="s">
        <v>341</v>
      </c>
      <c r="AA47" t="s">
        <v>341</v>
      </c>
      <c r="AB47" t="s">
        <v>342</v>
      </c>
      <c r="AC47" t="s">
        <v>343</v>
      </c>
      <c r="AD47" t="s">
        <v>262</v>
      </c>
      <c r="AE47">
        <v>10251805</v>
      </c>
      <c r="AF47">
        <v>180170</v>
      </c>
      <c r="AH47" t="s">
        <v>262</v>
      </c>
      <c r="AI47" t="s">
        <v>261</v>
      </c>
      <c r="AJ47" t="s">
        <v>261</v>
      </c>
      <c r="AK47" t="s">
        <v>261</v>
      </c>
      <c r="AM47" t="s">
        <v>262</v>
      </c>
      <c r="AN47" t="s">
        <v>344</v>
      </c>
    </row>
    <row r="48" spans="1:40" x14ac:dyDescent="0.35">
      <c r="A48">
        <v>364700</v>
      </c>
      <c r="B48" t="s">
        <v>345</v>
      </c>
      <c r="C48" t="str">
        <f>"9783598220388"</f>
        <v>9783598220388</v>
      </c>
      <c r="D48" t="str">
        <f>"9783598440953"</f>
        <v>9783598440953</v>
      </c>
      <c r="E48" t="s">
        <v>346</v>
      </c>
      <c r="F48" t="s">
        <v>346</v>
      </c>
      <c r="G48" s="1">
        <v>39588</v>
      </c>
      <c r="H48" s="1">
        <v>41921</v>
      </c>
      <c r="I48" t="s">
        <v>189</v>
      </c>
      <c r="J48">
        <v>1</v>
      </c>
      <c r="K48" t="s">
        <v>347</v>
      </c>
      <c r="L48" t="s">
        <v>348</v>
      </c>
    </row>
    <row r="49" spans="1:40" x14ac:dyDescent="0.35">
      <c r="A49">
        <v>370720</v>
      </c>
      <c r="B49" t="s">
        <v>349</v>
      </c>
      <c r="C49" t="str">
        <f>"9783598220333"</f>
        <v>9783598220333</v>
      </c>
      <c r="D49" t="str">
        <f>"9783598440281"</f>
        <v>9783598440281</v>
      </c>
      <c r="E49" t="s">
        <v>346</v>
      </c>
      <c r="F49" t="s">
        <v>346</v>
      </c>
      <c r="G49" s="1">
        <v>39308</v>
      </c>
      <c r="H49" s="1">
        <v>41921</v>
      </c>
      <c r="I49" t="s">
        <v>189</v>
      </c>
      <c r="J49">
        <v>2</v>
      </c>
      <c r="K49" t="s">
        <v>347</v>
      </c>
      <c r="L49" t="s">
        <v>350</v>
      </c>
    </row>
    <row r="50" spans="1:40" x14ac:dyDescent="0.35">
      <c r="A50">
        <v>429245</v>
      </c>
      <c r="B50" t="s">
        <v>351</v>
      </c>
      <c r="C50" t="str">
        <f>"9783598220401"</f>
        <v>9783598220401</v>
      </c>
      <c r="D50" t="str">
        <f>"9783598441257"</f>
        <v>9783598441257</v>
      </c>
      <c r="E50" t="s">
        <v>346</v>
      </c>
      <c r="F50" t="s">
        <v>346</v>
      </c>
      <c r="G50" s="1">
        <v>39801</v>
      </c>
      <c r="H50" s="1">
        <v>41921</v>
      </c>
      <c r="I50" t="s">
        <v>189</v>
      </c>
      <c r="J50">
        <v>1</v>
      </c>
      <c r="K50" t="s">
        <v>347</v>
      </c>
      <c r="L50" t="s">
        <v>352</v>
      </c>
    </row>
    <row r="51" spans="1:40" x14ac:dyDescent="0.35">
      <c r="A51">
        <v>429396</v>
      </c>
      <c r="B51" t="s">
        <v>353</v>
      </c>
      <c r="C51" t="str">
        <f>"9783110205411"</f>
        <v>9783110205411</v>
      </c>
      <c r="D51" t="str">
        <f>"9783110210330"</f>
        <v>9783110210330</v>
      </c>
      <c r="E51" t="s">
        <v>346</v>
      </c>
      <c r="F51" t="s">
        <v>346</v>
      </c>
      <c r="G51" s="1">
        <v>39741</v>
      </c>
      <c r="H51" s="1">
        <v>39937</v>
      </c>
      <c r="I51" t="s">
        <v>189</v>
      </c>
      <c r="J51">
        <v>1</v>
      </c>
      <c r="K51" t="s">
        <v>354</v>
      </c>
      <c r="L51" t="s">
        <v>355</v>
      </c>
    </row>
    <row r="52" spans="1:40" x14ac:dyDescent="0.35">
      <c r="A52">
        <v>429425</v>
      </c>
      <c r="B52" t="s">
        <v>356</v>
      </c>
      <c r="C52" t="str">
        <f>"9783110202960"</f>
        <v>9783110202960</v>
      </c>
      <c r="D52" t="str">
        <f>"9783110210682"</f>
        <v>9783110210682</v>
      </c>
      <c r="E52" t="s">
        <v>346</v>
      </c>
      <c r="F52" t="s">
        <v>346</v>
      </c>
      <c r="G52" s="1">
        <v>39741</v>
      </c>
      <c r="H52" s="1">
        <v>39937</v>
      </c>
      <c r="I52" t="s">
        <v>189</v>
      </c>
      <c r="J52">
        <v>1</v>
      </c>
      <c r="K52" t="s">
        <v>354</v>
      </c>
      <c r="L52" t="s">
        <v>357</v>
      </c>
      <c r="M52" t="s">
        <v>329</v>
      </c>
      <c r="N52" t="s">
        <v>358</v>
      </c>
      <c r="O52" s="2">
        <v>306877</v>
      </c>
      <c r="P52" t="s">
        <v>359</v>
      </c>
    </row>
    <row r="53" spans="1:40" x14ac:dyDescent="0.35">
      <c r="A53">
        <v>435506</v>
      </c>
      <c r="B53" t="s">
        <v>360</v>
      </c>
      <c r="C53" t="str">
        <f>"9789089640390"</f>
        <v>9789089640390</v>
      </c>
      <c r="D53" t="str">
        <f>"9789048506149"</f>
        <v>9789048506149</v>
      </c>
      <c r="E53" t="s">
        <v>361</v>
      </c>
      <c r="F53" t="s">
        <v>361</v>
      </c>
      <c r="G53" s="1">
        <v>40827</v>
      </c>
      <c r="H53" s="1">
        <v>40262</v>
      </c>
      <c r="I53" t="s">
        <v>189</v>
      </c>
      <c r="J53">
        <v>1</v>
      </c>
      <c r="L53" t="s">
        <v>362</v>
      </c>
    </row>
    <row r="54" spans="1:40" x14ac:dyDescent="0.35">
      <c r="A54">
        <v>449818</v>
      </c>
      <c r="B54" t="s">
        <v>363</v>
      </c>
      <c r="C54" t="str">
        <f>"9781439900314"</f>
        <v>9781439900314</v>
      </c>
      <c r="D54" t="str">
        <f>"9781439900338"</f>
        <v>9781439900338</v>
      </c>
      <c r="E54" t="s">
        <v>321</v>
      </c>
      <c r="F54" t="s">
        <v>321</v>
      </c>
      <c r="G54" s="1">
        <v>40081</v>
      </c>
      <c r="H54" s="1">
        <v>41361</v>
      </c>
      <c r="I54" t="s">
        <v>189</v>
      </c>
      <c r="J54">
        <v>1</v>
      </c>
      <c r="K54" t="s">
        <v>364</v>
      </c>
      <c r="L54" t="s">
        <v>365</v>
      </c>
      <c r="M54" t="s">
        <v>219</v>
      </c>
      <c r="N54" t="s">
        <v>366</v>
      </c>
      <c r="O54" t="s">
        <v>367</v>
      </c>
      <c r="P54" t="s">
        <v>368</v>
      </c>
      <c r="Q54" t="s">
        <v>260</v>
      </c>
      <c r="R54" t="s">
        <v>262</v>
      </c>
      <c r="S54" t="s">
        <v>261</v>
      </c>
      <c r="T54" t="s">
        <v>261</v>
      </c>
      <c r="U54" t="s">
        <v>262</v>
      </c>
      <c r="V54" t="s">
        <v>262</v>
      </c>
      <c r="W54" t="s">
        <v>261</v>
      </c>
      <c r="X54" t="s">
        <v>262</v>
      </c>
      <c r="Y54" t="s">
        <v>262</v>
      </c>
      <c r="Z54" t="s">
        <v>369</v>
      </c>
      <c r="AA54" t="s">
        <v>370</v>
      </c>
      <c r="AB54" t="s">
        <v>371</v>
      </c>
      <c r="AC54" t="s">
        <v>372</v>
      </c>
      <c r="AD54" t="s">
        <v>262</v>
      </c>
      <c r="AE54">
        <v>10351571</v>
      </c>
      <c r="AF54">
        <v>243731</v>
      </c>
      <c r="AH54" t="s">
        <v>262</v>
      </c>
      <c r="AI54" t="s">
        <v>261</v>
      </c>
      <c r="AJ54" t="s">
        <v>261</v>
      </c>
      <c r="AK54" t="s">
        <v>261</v>
      </c>
      <c r="AM54" t="s">
        <v>262</v>
      </c>
      <c r="AN54" t="s">
        <v>373</v>
      </c>
    </row>
    <row r="55" spans="1:40" x14ac:dyDescent="0.35">
      <c r="A55">
        <v>449832</v>
      </c>
      <c r="B55" t="s">
        <v>374</v>
      </c>
      <c r="C55" t="str">
        <f>"9781439900543"</f>
        <v>9781439900543</v>
      </c>
      <c r="D55" t="str">
        <f>"9781439900567"</f>
        <v>9781439900567</v>
      </c>
      <c r="E55" t="s">
        <v>321</v>
      </c>
      <c r="F55" t="s">
        <v>321</v>
      </c>
      <c r="G55" s="1">
        <v>40114</v>
      </c>
      <c r="H55" s="1">
        <v>40091</v>
      </c>
      <c r="I55" t="s">
        <v>189</v>
      </c>
      <c r="J55">
        <v>1</v>
      </c>
      <c r="K55" t="s">
        <v>375</v>
      </c>
      <c r="L55" t="s">
        <v>376</v>
      </c>
      <c r="M55" t="s">
        <v>329</v>
      </c>
    </row>
    <row r="56" spans="1:40" x14ac:dyDescent="0.35">
      <c r="A56">
        <v>453791</v>
      </c>
      <c r="B56" t="s">
        <v>377</v>
      </c>
      <c r="C56" t="str">
        <f>"9783598220425"</f>
        <v>9783598220425</v>
      </c>
      <c r="D56" t="str">
        <f>"9783598441349"</f>
        <v>9783598441349</v>
      </c>
      <c r="E56" t="s">
        <v>346</v>
      </c>
      <c r="F56" t="s">
        <v>346</v>
      </c>
      <c r="G56" s="1">
        <v>39923</v>
      </c>
      <c r="H56" s="1">
        <v>41921</v>
      </c>
      <c r="I56" t="s">
        <v>189</v>
      </c>
      <c r="J56">
        <v>1</v>
      </c>
      <c r="K56" t="s">
        <v>347</v>
      </c>
      <c r="L56" t="s">
        <v>378</v>
      </c>
      <c r="M56" t="s">
        <v>379</v>
      </c>
      <c r="N56" t="s">
        <v>380</v>
      </c>
      <c r="O56">
        <v>27</v>
      </c>
      <c r="P56" t="s">
        <v>381</v>
      </c>
    </row>
    <row r="57" spans="1:40" x14ac:dyDescent="0.35">
      <c r="A57">
        <v>453858</v>
      </c>
      <c r="B57" t="s">
        <v>382</v>
      </c>
      <c r="C57" t="str">
        <f>"9783598220432"</f>
        <v>9783598220432</v>
      </c>
      <c r="D57" t="str">
        <f>"9783598441677"</f>
        <v>9783598441677</v>
      </c>
      <c r="E57" t="s">
        <v>346</v>
      </c>
      <c r="F57" t="s">
        <v>346</v>
      </c>
      <c r="G57" s="1">
        <v>39923</v>
      </c>
      <c r="H57" s="1">
        <v>41921</v>
      </c>
      <c r="I57" t="s">
        <v>189</v>
      </c>
      <c r="J57">
        <v>1</v>
      </c>
      <c r="K57" t="s">
        <v>347</v>
      </c>
      <c r="L57" t="s">
        <v>383</v>
      </c>
      <c r="M57" t="s">
        <v>379</v>
      </c>
      <c r="N57" t="s">
        <v>384</v>
      </c>
      <c r="O57" t="s">
        <v>385</v>
      </c>
      <c r="P57" t="s">
        <v>386</v>
      </c>
    </row>
    <row r="58" spans="1:40" x14ac:dyDescent="0.35">
      <c r="A58">
        <v>453870</v>
      </c>
      <c r="B58" t="s">
        <v>387</v>
      </c>
      <c r="C58" t="str">
        <f>"9783110203639"</f>
        <v>9783110203639</v>
      </c>
      <c r="D58" t="str">
        <f>"9783110216615"</f>
        <v>9783110216615</v>
      </c>
      <c r="E58" t="s">
        <v>346</v>
      </c>
      <c r="F58" t="s">
        <v>346</v>
      </c>
      <c r="G58" s="1">
        <v>39981</v>
      </c>
      <c r="H58" s="1">
        <v>40147</v>
      </c>
      <c r="I58" t="s">
        <v>189</v>
      </c>
      <c r="J58">
        <v>1</v>
      </c>
      <c r="K58" t="s">
        <v>354</v>
      </c>
      <c r="L58" t="s">
        <v>388</v>
      </c>
      <c r="M58" t="s">
        <v>389</v>
      </c>
      <c r="N58" t="s">
        <v>390</v>
      </c>
      <c r="O58" s="2">
        <v>2302092</v>
      </c>
      <c r="P58" t="s">
        <v>391</v>
      </c>
    </row>
    <row r="59" spans="1:40" x14ac:dyDescent="0.35">
      <c r="A59">
        <v>453986</v>
      </c>
      <c r="B59" t="s">
        <v>392</v>
      </c>
      <c r="C59" t="str">
        <f>"9783598220449"</f>
        <v>9783598220449</v>
      </c>
      <c r="D59" t="str">
        <f>"9783598441776"</f>
        <v>9783598441776</v>
      </c>
      <c r="E59" t="s">
        <v>346</v>
      </c>
      <c r="F59" t="s">
        <v>346</v>
      </c>
      <c r="G59" s="1">
        <v>40023</v>
      </c>
      <c r="H59" s="1">
        <v>41921</v>
      </c>
      <c r="I59" t="s">
        <v>189</v>
      </c>
      <c r="J59">
        <v>1</v>
      </c>
      <c r="K59" t="s">
        <v>347</v>
      </c>
      <c r="L59" t="s">
        <v>393</v>
      </c>
    </row>
    <row r="60" spans="1:40" x14ac:dyDescent="0.35">
      <c r="A60">
        <v>511791</v>
      </c>
      <c r="B60" t="s">
        <v>394</v>
      </c>
      <c r="C60" t="str">
        <f>"9783110206463"</f>
        <v>9783110206463</v>
      </c>
      <c r="D60" t="str">
        <f>"9783110216585"</f>
        <v>9783110216585</v>
      </c>
      <c r="E60" t="s">
        <v>346</v>
      </c>
      <c r="F60" t="s">
        <v>346</v>
      </c>
      <c r="G60" s="1">
        <v>40162</v>
      </c>
      <c r="H60" s="1">
        <v>40348</v>
      </c>
      <c r="I60" t="s">
        <v>189</v>
      </c>
      <c r="J60">
        <v>1</v>
      </c>
      <c r="K60" t="s">
        <v>354</v>
      </c>
      <c r="L60" t="s">
        <v>395</v>
      </c>
    </row>
    <row r="61" spans="1:40" x14ac:dyDescent="0.35">
      <c r="A61">
        <v>511812</v>
      </c>
      <c r="B61" t="s">
        <v>396</v>
      </c>
      <c r="C61" t="str">
        <f>"9783598251238"</f>
        <v>9783598251238</v>
      </c>
      <c r="D61" t="str">
        <f>"9783598441363"</f>
        <v>9783598441363</v>
      </c>
      <c r="E61" t="s">
        <v>346</v>
      </c>
      <c r="F61" t="s">
        <v>346</v>
      </c>
      <c r="G61" s="1">
        <v>40072</v>
      </c>
      <c r="H61" s="1">
        <v>40314</v>
      </c>
      <c r="I61" t="s">
        <v>189</v>
      </c>
      <c r="J61">
        <v>1</v>
      </c>
      <c r="L61" t="s">
        <v>4</v>
      </c>
    </row>
    <row r="62" spans="1:40" x14ac:dyDescent="0.35">
      <c r="A62">
        <v>511856</v>
      </c>
      <c r="B62" t="s">
        <v>397</v>
      </c>
      <c r="C62" t="str">
        <f>"9783598220456"</f>
        <v>9783598220456</v>
      </c>
      <c r="D62" t="str">
        <f>"9783598441783"</f>
        <v>9783598441783</v>
      </c>
      <c r="E62" t="s">
        <v>346</v>
      </c>
      <c r="F62" t="s">
        <v>346</v>
      </c>
      <c r="G62" s="1">
        <v>40161</v>
      </c>
      <c r="H62" s="1">
        <v>41921</v>
      </c>
      <c r="I62" t="s">
        <v>189</v>
      </c>
      <c r="J62">
        <v>2</v>
      </c>
      <c r="K62" t="s">
        <v>347</v>
      </c>
      <c r="L62" t="s">
        <v>398</v>
      </c>
      <c r="M62" t="s">
        <v>379</v>
      </c>
      <c r="N62" t="s">
        <v>399</v>
      </c>
      <c r="O62" t="s">
        <v>400</v>
      </c>
      <c r="P62" t="s">
        <v>401</v>
      </c>
    </row>
    <row r="63" spans="1:40" x14ac:dyDescent="0.35">
      <c r="A63">
        <v>516519</v>
      </c>
      <c r="B63" t="s">
        <v>402</v>
      </c>
      <c r="C63" t="str">
        <f>"9783598220463"</f>
        <v>9783598220463</v>
      </c>
      <c r="D63" t="str">
        <f>"9783598441790"</f>
        <v>9783598441790</v>
      </c>
      <c r="E63" t="s">
        <v>346</v>
      </c>
      <c r="F63" t="s">
        <v>346</v>
      </c>
      <c r="G63" s="1">
        <v>40263</v>
      </c>
      <c r="H63" s="1">
        <v>41921</v>
      </c>
      <c r="I63" t="s">
        <v>189</v>
      </c>
      <c r="J63">
        <v>1</v>
      </c>
      <c r="K63" t="s">
        <v>347</v>
      </c>
      <c r="L63" t="s">
        <v>403</v>
      </c>
    </row>
    <row r="64" spans="1:40" x14ac:dyDescent="0.35">
      <c r="A64">
        <v>533665</v>
      </c>
      <c r="B64" t="s">
        <v>404</v>
      </c>
      <c r="C64" t="str">
        <f>"9783110200560"</f>
        <v>9783110200560</v>
      </c>
      <c r="D64" t="str">
        <f>"9783110210606"</f>
        <v>9783110210606</v>
      </c>
      <c r="E64" t="s">
        <v>346</v>
      </c>
      <c r="F64" t="s">
        <v>346</v>
      </c>
      <c r="G64" s="1">
        <v>40287</v>
      </c>
      <c r="H64" s="1">
        <v>40314</v>
      </c>
      <c r="I64" t="s">
        <v>189</v>
      </c>
      <c r="J64">
        <v>1</v>
      </c>
      <c r="K64" t="s">
        <v>354</v>
      </c>
      <c r="L64" t="s">
        <v>405</v>
      </c>
      <c r="M64" t="s">
        <v>389</v>
      </c>
      <c r="N64" t="s">
        <v>406</v>
      </c>
      <c r="O64">
        <v>270</v>
      </c>
      <c r="P64" t="s">
        <v>407</v>
      </c>
      <c r="Q64" t="s">
        <v>408</v>
      </c>
      <c r="R64" t="s">
        <v>261</v>
      </c>
      <c r="S64" t="s">
        <v>261</v>
      </c>
      <c r="T64" t="s">
        <v>261</v>
      </c>
      <c r="U64" t="s">
        <v>261</v>
      </c>
      <c r="V64" t="s">
        <v>262</v>
      </c>
      <c r="W64" t="s">
        <v>261</v>
      </c>
      <c r="X64" t="s">
        <v>261</v>
      </c>
      <c r="Y64" t="s">
        <v>261</v>
      </c>
      <c r="Z64" t="s">
        <v>409</v>
      </c>
      <c r="AA64" t="s">
        <v>409</v>
      </c>
      <c r="AB64" t="s">
        <v>409</v>
      </c>
      <c r="AC64" t="s">
        <v>409</v>
      </c>
      <c r="AD64" t="s">
        <v>262</v>
      </c>
      <c r="AE64">
        <v>10385983</v>
      </c>
      <c r="AF64">
        <v>271590</v>
      </c>
      <c r="AH64" t="s">
        <v>262</v>
      </c>
      <c r="AI64" t="s">
        <v>262</v>
      </c>
      <c r="AJ64" t="s">
        <v>261</v>
      </c>
      <c r="AK64" t="s">
        <v>261</v>
      </c>
      <c r="AM64" t="s">
        <v>262</v>
      </c>
      <c r="AN64" t="s">
        <v>410</v>
      </c>
    </row>
    <row r="65" spans="1:12" x14ac:dyDescent="0.35">
      <c r="A65">
        <v>548102</v>
      </c>
      <c r="B65" t="s">
        <v>411</v>
      </c>
      <c r="C65" t="str">
        <f>"9783598251269"</f>
        <v>9783598251269</v>
      </c>
      <c r="D65" t="str">
        <f>"9783110232356"</f>
        <v>9783110232356</v>
      </c>
      <c r="E65" t="s">
        <v>346</v>
      </c>
      <c r="F65" t="s">
        <v>346</v>
      </c>
      <c r="G65" s="1">
        <v>40317</v>
      </c>
      <c r="H65" s="1">
        <v>40373</v>
      </c>
      <c r="I65" t="s">
        <v>189</v>
      </c>
      <c r="J65">
        <v>1</v>
      </c>
      <c r="K65" t="s">
        <v>412</v>
      </c>
      <c r="L65" t="s">
        <v>413</v>
      </c>
    </row>
    <row r="66" spans="1:12" x14ac:dyDescent="0.35">
      <c r="A66">
        <v>555752</v>
      </c>
      <c r="B66" t="s">
        <v>414</v>
      </c>
      <c r="C66" t="str">
        <f>"9783110232141"</f>
        <v>9783110232141</v>
      </c>
      <c r="D66" t="str">
        <f>"9783110232158"</f>
        <v>9783110232158</v>
      </c>
      <c r="E66" t="s">
        <v>415</v>
      </c>
      <c r="F66" t="s">
        <v>416</v>
      </c>
      <c r="G66" s="1">
        <v>40357</v>
      </c>
      <c r="H66" s="1">
        <v>41921</v>
      </c>
      <c r="I66" t="s">
        <v>189</v>
      </c>
      <c r="J66">
        <v>1</v>
      </c>
      <c r="K66" t="s">
        <v>347</v>
      </c>
      <c r="L66" t="s">
        <v>417</v>
      </c>
    </row>
    <row r="67" spans="1:12" x14ac:dyDescent="0.35">
      <c r="A67">
        <v>570584</v>
      </c>
      <c r="B67" t="s">
        <v>418</v>
      </c>
      <c r="C67" t="str">
        <f>"9783110232264"</f>
        <v>9783110232264</v>
      </c>
      <c r="D67" t="str">
        <f>"9783110232271"</f>
        <v>9783110232271</v>
      </c>
      <c r="E67" t="s">
        <v>415</v>
      </c>
      <c r="F67" t="s">
        <v>416</v>
      </c>
      <c r="G67" s="1">
        <v>40375</v>
      </c>
      <c r="H67" s="1">
        <v>40404</v>
      </c>
      <c r="I67" t="s">
        <v>189</v>
      </c>
      <c r="J67">
        <v>2</v>
      </c>
      <c r="K67" t="s">
        <v>347</v>
      </c>
      <c r="L67" t="s">
        <v>419</v>
      </c>
    </row>
    <row r="68" spans="1:12" x14ac:dyDescent="0.35">
      <c r="A68">
        <v>589292</v>
      </c>
      <c r="B68" t="s">
        <v>420</v>
      </c>
      <c r="C68" t="str">
        <f>"9780719062421"</f>
        <v>9780719062421</v>
      </c>
      <c r="D68" t="str">
        <f>"9781847791252"</f>
        <v>9781847791252</v>
      </c>
      <c r="E68" t="s">
        <v>188</v>
      </c>
      <c r="F68" t="s">
        <v>188</v>
      </c>
      <c r="G68" s="1">
        <v>38050</v>
      </c>
      <c r="H68" s="1">
        <v>40460</v>
      </c>
      <c r="I68" t="s">
        <v>189</v>
      </c>
      <c r="J68">
        <v>1</v>
      </c>
      <c r="L68" t="s">
        <v>421</v>
      </c>
    </row>
    <row r="69" spans="1:12" x14ac:dyDescent="0.35">
      <c r="A69">
        <v>589293</v>
      </c>
      <c r="B69" t="s">
        <v>422</v>
      </c>
      <c r="C69" t="str">
        <f>"9780719066948"</f>
        <v>9780719066948</v>
      </c>
      <c r="D69" t="str">
        <f>"9781847791016"</f>
        <v>9781847791016</v>
      </c>
      <c r="E69" t="s">
        <v>188</v>
      </c>
      <c r="F69" t="s">
        <v>188</v>
      </c>
      <c r="G69" s="1">
        <v>38267</v>
      </c>
      <c r="H69" s="1">
        <v>40460</v>
      </c>
      <c r="I69" t="s">
        <v>189</v>
      </c>
      <c r="J69">
        <v>1</v>
      </c>
      <c r="L69" t="s">
        <v>423</v>
      </c>
    </row>
    <row r="70" spans="1:12" x14ac:dyDescent="0.35">
      <c r="A70">
        <v>589294</v>
      </c>
      <c r="B70" t="s">
        <v>424</v>
      </c>
      <c r="C70" t="str">
        <f>"9780719061516"</f>
        <v>9780719061516</v>
      </c>
      <c r="D70" t="str">
        <f>"9781847790651"</f>
        <v>9781847790651</v>
      </c>
      <c r="E70" t="s">
        <v>188</v>
      </c>
      <c r="F70" t="s">
        <v>188</v>
      </c>
      <c r="G70" s="1">
        <v>37833</v>
      </c>
      <c r="H70" s="1">
        <v>40460</v>
      </c>
      <c r="I70" t="s">
        <v>189</v>
      </c>
      <c r="J70">
        <v>1</v>
      </c>
      <c r="K70" t="s">
        <v>425</v>
      </c>
      <c r="L70" t="s">
        <v>426</v>
      </c>
    </row>
    <row r="71" spans="1:12" x14ac:dyDescent="0.35">
      <c r="A71">
        <v>589295</v>
      </c>
      <c r="B71" t="s">
        <v>427</v>
      </c>
      <c r="C71" t="str">
        <f>"9780719060014"</f>
        <v>9780719060014</v>
      </c>
      <c r="D71" t="str">
        <f>"9781847790965"</f>
        <v>9781847790965</v>
      </c>
      <c r="E71" t="s">
        <v>188</v>
      </c>
      <c r="F71" t="s">
        <v>188</v>
      </c>
      <c r="G71" s="1">
        <v>38246</v>
      </c>
      <c r="H71" s="1">
        <v>40602</v>
      </c>
      <c r="I71" t="s">
        <v>189</v>
      </c>
      <c r="J71">
        <v>1</v>
      </c>
      <c r="K71" t="s">
        <v>428</v>
      </c>
      <c r="L71" t="s">
        <v>429</v>
      </c>
    </row>
    <row r="72" spans="1:12" x14ac:dyDescent="0.35">
      <c r="A72">
        <v>589296</v>
      </c>
      <c r="B72" t="s">
        <v>430</v>
      </c>
      <c r="C72" t="str">
        <f>"9780719066580"</f>
        <v>9780719066580</v>
      </c>
      <c r="D72" t="str">
        <f>"9781847790996"</f>
        <v>9781847790996</v>
      </c>
      <c r="E72" t="s">
        <v>188</v>
      </c>
      <c r="F72" t="s">
        <v>188</v>
      </c>
      <c r="G72" s="1">
        <v>38246</v>
      </c>
      <c r="H72" s="1">
        <v>40602</v>
      </c>
      <c r="I72" t="s">
        <v>189</v>
      </c>
      <c r="J72">
        <v>1</v>
      </c>
      <c r="L72" t="s">
        <v>431</v>
      </c>
    </row>
    <row r="73" spans="1:12" x14ac:dyDescent="0.35">
      <c r="A73">
        <v>589298</v>
      </c>
      <c r="B73" t="s">
        <v>432</v>
      </c>
      <c r="C73" t="str">
        <f>"9780719062988"</f>
        <v>9780719062988</v>
      </c>
      <c r="D73" t="str">
        <f>"9781847790705"</f>
        <v>9781847790705</v>
      </c>
      <c r="E73" t="s">
        <v>188</v>
      </c>
      <c r="F73" t="s">
        <v>188</v>
      </c>
      <c r="G73" s="1">
        <v>38094</v>
      </c>
      <c r="H73" s="1">
        <v>40460</v>
      </c>
      <c r="I73" t="s">
        <v>189</v>
      </c>
      <c r="J73">
        <v>1</v>
      </c>
      <c r="L73" t="s">
        <v>433</v>
      </c>
    </row>
    <row r="74" spans="1:12" x14ac:dyDescent="0.35">
      <c r="A74">
        <v>589299</v>
      </c>
      <c r="B74" t="s">
        <v>434</v>
      </c>
      <c r="C74" t="str">
        <f>"9780719067181"</f>
        <v>9780719067181</v>
      </c>
      <c r="D74" t="str">
        <f>"9781847790880"</f>
        <v>9781847790880</v>
      </c>
      <c r="E74" t="s">
        <v>188</v>
      </c>
      <c r="F74" t="s">
        <v>188</v>
      </c>
      <c r="G74" s="1">
        <v>37938</v>
      </c>
      <c r="H74" s="1">
        <v>40460</v>
      </c>
      <c r="I74" t="s">
        <v>189</v>
      </c>
      <c r="J74">
        <v>1</v>
      </c>
      <c r="K74" t="s">
        <v>435</v>
      </c>
      <c r="L74" t="s">
        <v>436</v>
      </c>
    </row>
    <row r="75" spans="1:12" x14ac:dyDescent="0.35">
      <c r="A75">
        <v>589300</v>
      </c>
      <c r="B75" t="s">
        <v>437</v>
      </c>
      <c r="C75" t="str">
        <f>"9780719060038"</f>
        <v>9780719060038</v>
      </c>
      <c r="D75" t="str">
        <f>"9781847790606"</f>
        <v>9781847790606</v>
      </c>
      <c r="E75" t="s">
        <v>188</v>
      </c>
      <c r="F75" t="s">
        <v>188</v>
      </c>
      <c r="G75" s="1">
        <v>37933</v>
      </c>
      <c r="H75" s="1">
        <v>40460</v>
      </c>
      <c r="I75" t="s">
        <v>189</v>
      </c>
      <c r="J75">
        <v>1</v>
      </c>
      <c r="K75" t="s">
        <v>438</v>
      </c>
      <c r="L75" t="s">
        <v>439</v>
      </c>
    </row>
    <row r="76" spans="1:12" x14ac:dyDescent="0.35">
      <c r="A76">
        <v>589301</v>
      </c>
      <c r="B76" t="s">
        <v>440</v>
      </c>
      <c r="C76" t="str">
        <f>"9780719066047"</f>
        <v>9780719066047</v>
      </c>
      <c r="D76" t="str">
        <f>"9781847790866"</f>
        <v>9781847790866</v>
      </c>
      <c r="E76" t="s">
        <v>188</v>
      </c>
      <c r="F76" t="s">
        <v>188</v>
      </c>
      <c r="G76" s="1">
        <v>37812</v>
      </c>
      <c r="H76" s="1">
        <v>40460</v>
      </c>
      <c r="I76" t="s">
        <v>189</v>
      </c>
      <c r="J76">
        <v>1</v>
      </c>
      <c r="L76" t="s">
        <v>441</v>
      </c>
    </row>
    <row r="77" spans="1:12" x14ac:dyDescent="0.35">
      <c r="A77">
        <v>589302</v>
      </c>
      <c r="B77" t="s">
        <v>442</v>
      </c>
      <c r="C77" t="str">
        <f>"9780719061042"</f>
        <v>9780719061042</v>
      </c>
      <c r="D77" t="str">
        <f>"9781847790620"</f>
        <v>9781847790620</v>
      </c>
      <c r="E77" t="s">
        <v>188</v>
      </c>
      <c r="F77" t="s">
        <v>188</v>
      </c>
      <c r="G77" s="1">
        <v>37379</v>
      </c>
      <c r="H77" s="1">
        <v>40460</v>
      </c>
      <c r="I77" t="s">
        <v>189</v>
      </c>
      <c r="J77">
        <v>1</v>
      </c>
      <c r="L77" t="s">
        <v>443</v>
      </c>
    </row>
    <row r="78" spans="1:12" x14ac:dyDescent="0.35">
      <c r="A78">
        <v>589303</v>
      </c>
      <c r="B78" t="s">
        <v>444</v>
      </c>
      <c r="C78" t="str">
        <f>"9780719061592"</f>
        <v>9780719061592</v>
      </c>
      <c r="D78" t="str">
        <f>"9781847790668"</f>
        <v>9781847790668</v>
      </c>
      <c r="E78" t="s">
        <v>188</v>
      </c>
      <c r="F78" t="s">
        <v>188</v>
      </c>
      <c r="G78" s="1">
        <v>37933</v>
      </c>
      <c r="H78" s="1">
        <v>40460</v>
      </c>
      <c r="I78" t="s">
        <v>189</v>
      </c>
      <c r="J78">
        <v>1</v>
      </c>
      <c r="L78" t="s">
        <v>445</v>
      </c>
    </row>
    <row r="79" spans="1:12" x14ac:dyDescent="0.35">
      <c r="A79">
        <v>589304</v>
      </c>
      <c r="B79" t="s">
        <v>446</v>
      </c>
      <c r="C79" t="str">
        <f>"9780719059797"</f>
        <v>9780719059797</v>
      </c>
      <c r="D79" t="str">
        <f>"9781847791283"</f>
        <v>9781847791283</v>
      </c>
      <c r="E79" t="s">
        <v>188</v>
      </c>
      <c r="F79" t="s">
        <v>188</v>
      </c>
      <c r="G79" s="1">
        <v>37918</v>
      </c>
      <c r="H79" s="1">
        <v>40460</v>
      </c>
      <c r="I79" t="s">
        <v>189</v>
      </c>
      <c r="J79">
        <v>1</v>
      </c>
      <c r="L79" t="s">
        <v>447</v>
      </c>
    </row>
    <row r="80" spans="1:12" x14ac:dyDescent="0.35">
      <c r="A80">
        <v>589305</v>
      </c>
      <c r="B80" t="s">
        <v>448</v>
      </c>
      <c r="C80" t="str">
        <f>"9780719065989"</f>
        <v>9780719065989</v>
      </c>
      <c r="D80" t="str">
        <f>"9781847790859"</f>
        <v>9781847790859</v>
      </c>
      <c r="E80" t="s">
        <v>188</v>
      </c>
      <c r="F80" t="s">
        <v>188</v>
      </c>
      <c r="G80" s="1">
        <v>38036</v>
      </c>
      <c r="H80" s="1">
        <v>40460</v>
      </c>
      <c r="I80" t="s">
        <v>189</v>
      </c>
      <c r="J80">
        <v>1</v>
      </c>
      <c r="L80" t="s">
        <v>449</v>
      </c>
    </row>
    <row r="81" spans="1:40" x14ac:dyDescent="0.35">
      <c r="A81">
        <v>589306</v>
      </c>
      <c r="B81" t="s">
        <v>450</v>
      </c>
      <c r="C81" t="str">
        <f>"9780719063305"</f>
        <v>9780719063305</v>
      </c>
      <c r="D81" t="str">
        <f>"9781847790712"</f>
        <v>9781847790712</v>
      </c>
      <c r="E81" t="s">
        <v>188</v>
      </c>
      <c r="F81" t="s">
        <v>188</v>
      </c>
      <c r="G81" s="1">
        <v>37938</v>
      </c>
      <c r="H81" s="1">
        <v>40602</v>
      </c>
      <c r="I81" t="s">
        <v>189</v>
      </c>
      <c r="J81">
        <v>1</v>
      </c>
      <c r="L81" t="s">
        <v>451</v>
      </c>
    </row>
    <row r="82" spans="1:40" x14ac:dyDescent="0.35">
      <c r="A82">
        <v>589307</v>
      </c>
      <c r="B82" t="s">
        <v>452</v>
      </c>
      <c r="C82" t="str">
        <f>"9780719068546"</f>
        <v>9780719068546</v>
      </c>
      <c r="D82" t="str">
        <f>"9781847791054"</f>
        <v>9781847791054</v>
      </c>
      <c r="E82" t="s">
        <v>188</v>
      </c>
      <c r="F82" t="s">
        <v>188</v>
      </c>
      <c r="G82" s="1">
        <v>38288</v>
      </c>
      <c r="H82" s="1">
        <v>40602</v>
      </c>
      <c r="I82" t="s">
        <v>189</v>
      </c>
      <c r="J82">
        <v>1</v>
      </c>
      <c r="K82" t="s">
        <v>193</v>
      </c>
      <c r="L82" t="s">
        <v>204</v>
      </c>
    </row>
    <row r="83" spans="1:40" x14ac:dyDescent="0.35">
      <c r="A83">
        <v>589308</v>
      </c>
      <c r="B83" t="s">
        <v>453</v>
      </c>
      <c r="C83" t="str">
        <f>"9780719065583"</f>
        <v>9780719065583</v>
      </c>
      <c r="D83" t="str">
        <f>"9781847790828"</f>
        <v>9781847790828</v>
      </c>
      <c r="E83" t="s">
        <v>188</v>
      </c>
      <c r="F83" t="s">
        <v>188</v>
      </c>
      <c r="G83" s="1">
        <v>37917</v>
      </c>
      <c r="H83" s="1">
        <v>40460</v>
      </c>
      <c r="I83" t="s">
        <v>189</v>
      </c>
      <c r="J83">
        <v>1</v>
      </c>
      <c r="K83" t="s">
        <v>227</v>
      </c>
      <c r="L83" t="s">
        <v>454</v>
      </c>
    </row>
    <row r="84" spans="1:40" x14ac:dyDescent="0.35">
      <c r="A84">
        <v>589309</v>
      </c>
      <c r="B84" t="s">
        <v>455</v>
      </c>
      <c r="C84" t="str">
        <f>"9780719067488"</f>
        <v>9780719067488</v>
      </c>
      <c r="D84" t="str">
        <f>"9781847790910"</f>
        <v>9781847790910</v>
      </c>
      <c r="E84" t="s">
        <v>188</v>
      </c>
      <c r="F84" t="s">
        <v>188</v>
      </c>
      <c r="G84" s="1">
        <v>38050</v>
      </c>
      <c r="H84" s="1">
        <v>40460</v>
      </c>
      <c r="I84" t="s">
        <v>189</v>
      </c>
      <c r="J84">
        <v>1</v>
      </c>
      <c r="K84" t="s">
        <v>195</v>
      </c>
      <c r="L84" t="s">
        <v>456</v>
      </c>
    </row>
    <row r="85" spans="1:40" x14ac:dyDescent="0.35">
      <c r="A85">
        <v>589311</v>
      </c>
      <c r="B85" t="s">
        <v>457</v>
      </c>
      <c r="C85" t="str">
        <f>"9780719064388"</f>
        <v>9780719064388</v>
      </c>
      <c r="D85" t="str">
        <f>"9781847790743"</f>
        <v>9781847790743</v>
      </c>
      <c r="E85" t="s">
        <v>188</v>
      </c>
      <c r="F85" t="s">
        <v>188</v>
      </c>
      <c r="G85" s="1">
        <v>37881</v>
      </c>
      <c r="H85" s="1">
        <v>40460</v>
      </c>
      <c r="I85" t="s">
        <v>189</v>
      </c>
      <c r="J85">
        <v>1</v>
      </c>
      <c r="L85" t="s">
        <v>458</v>
      </c>
      <c r="M85" t="s">
        <v>239</v>
      </c>
      <c r="N85" t="s">
        <v>459</v>
      </c>
      <c r="O85" t="s">
        <v>460</v>
      </c>
      <c r="P85" t="s">
        <v>461</v>
      </c>
    </row>
    <row r="86" spans="1:40" x14ac:dyDescent="0.35">
      <c r="A86">
        <v>589312</v>
      </c>
      <c r="B86" t="s">
        <v>462</v>
      </c>
      <c r="C86" t="str">
        <f>"9780719067402"</f>
        <v>9780719067402</v>
      </c>
      <c r="D86" t="str">
        <f>"9781847790903"</f>
        <v>9781847790903</v>
      </c>
      <c r="E86" t="s">
        <v>188</v>
      </c>
      <c r="F86" t="s">
        <v>188</v>
      </c>
      <c r="G86" s="1">
        <v>38050</v>
      </c>
      <c r="H86" s="1">
        <v>40460</v>
      </c>
      <c r="I86" t="s">
        <v>189</v>
      </c>
      <c r="J86">
        <v>1</v>
      </c>
      <c r="L86" t="s">
        <v>463</v>
      </c>
      <c r="M86" t="s">
        <v>389</v>
      </c>
      <c r="N86" t="s">
        <v>464</v>
      </c>
      <c r="O86" t="s">
        <v>465</v>
      </c>
      <c r="P86" t="s">
        <v>466</v>
      </c>
    </row>
    <row r="87" spans="1:40" x14ac:dyDescent="0.35">
      <c r="A87">
        <v>589313</v>
      </c>
      <c r="B87" t="s">
        <v>467</v>
      </c>
      <c r="C87" t="str">
        <f>"9780719065026"</f>
        <v>9780719065026</v>
      </c>
      <c r="D87" t="str">
        <f>"9781847790781"</f>
        <v>9781847790781</v>
      </c>
      <c r="E87" t="s">
        <v>188</v>
      </c>
      <c r="F87" t="s">
        <v>188</v>
      </c>
      <c r="G87" s="1">
        <v>38080</v>
      </c>
      <c r="H87" s="1">
        <v>40460</v>
      </c>
      <c r="I87" t="s">
        <v>189</v>
      </c>
      <c r="J87">
        <v>1</v>
      </c>
      <c r="K87" t="s">
        <v>224</v>
      </c>
      <c r="L87" t="s">
        <v>468</v>
      </c>
    </row>
    <row r="88" spans="1:40" x14ac:dyDescent="0.35">
      <c r="A88">
        <v>589314</v>
      </c>
      <c r="B88" t="s">
        <v>469</v>
      </c>
      <c r="C88" t="str">
        <f>"9780719064401"</f>
        <v>9780719064401</v>
      </c>
      <c r="D88" t="str">
        <f>"9781847790750"</f>
        <v>9781847790750</v>
      </c>
      <c r="E88" t="s">
        <v>188</v>
      </c>
      <c r="F88" t="s">
        <v>188</v>
      </c>
      <c r="G88" s="1">
        <v>38080</v>
      </c>
      <c r="H88" s="1">
        <v>40460</v>
      </c>
      <c r="I88" t="s">
        <v>189</v>
      </c>
      <c r="J88">
        <v>1</v>
      </c>
      <c r="K88" t="s">
        <v>190</v>
      </c>
      <c r="L88" t="s">
        <v>0</v>
      </c>
    </row>
    <row r="89" spans="1:40" x14ac:dyDescent="0.35">
      <c r="A89">
        <v>589315</v>
      </c>
      <c r="B89" t="s">
        <v>470</v>
      </c>
      <c r="C89" t="str">
        <f>"9780719065309"</f>
        <v>9780719065309</v>
      </c>
      <c r="D89" t="str">
        <f>"9781847790804"</f>
        <v>9781847790804</v>
      </c>
      <c r="E89" t="s">
        <v>188</v>
      </c>
      <c r="F89" t="s">
        <v>188</v>
      </c>
      <c r="G89" s="1">
        <v>38094</v>
      </c>
      <c r="H89" s="1">
        <v>40460</v>
      </c>
      <c r="I89" t="s">
        <v>189</v>
      </c>
      <c r="J89">
        <v>1</v>
      </c>
      <c r="K89" t="s">
        <v>287</v>
      </c>
      <c r="L89" t="s">
        <v>471</v>
      </c>
    </row>
    <row r="90" spans="1:40" x14ac:dyDescent="0.35">
      <c r="A90">
        <v>589316</v>
      </c>
      <c r="B90" t="s">
        <v>472</v>
      </c>
      <c r="C90" t="str">
        <f>"9780719062438"</f>
        <v>9780719062438</v>
      </c>
      <c r="D90" t="str">
        <f>"9781847790699"</f>
        <v>9781847790699</v>
      </c>
      <c r="E90" t="s">
        <v>188</v>
      </c>
      <c r="F90" t="s">
        <v>188</v>
      </c>
      <c r="G90" s="1">
        <v>38413</v>
      </c>
      <c r="H90" s="1">
        <v>40460</v>
      </c>
      <c r="I90" t="s">
        <v>189</v>
      </c>
      <c r="J90">
        <v>1</v>
      </c>
      <c r="K90" t="s">
        <v>473</v>
      </c>
      <c r="L90" t="s">
        <v>474</v>
      </c>
      <c r="M90" t="s">
        <v>329</v>
      </c>
    </row>
    <row r="91" spans="1:40" x14ac:dyDescent="0.35">
      <c r="A91">
        <v>589317</v>
      </c>
      <c r="B91" t="s">
        <v>475</v>
      </c>
      <c r="C91" t="str">
        <f>"9780719070105"</f>
        <v>9780719070105</v>
      </c>
      <c r="D91" t="str">
        <f>"9781847791078"</f>
        <v>9781847791078</v>
      </c>
      <c r="E91" t="s">
        <v>188</v>
      </c>
      <c r="F91" t="s">
        <v>188</v>
      </c>
      <c r="G91" s="1">
        <v>38267</v>
      </c>
      <c r="H91" s="1">
        <v>40602</v>
      </c>
      <c r="I91" t="s">
        <v>189</v>
      </c>
      <c r="J91">
        <v>1</v>
      </c>
      <c r="L91" t="s">
        <v>476</v>
      </c>
      <c r="M91" t="s">
        <v>210</v>
      </c>
    </row>
    <row r="92" spans="1:40" x14ac:dyDescent="0.35">
      <c r="A92">
        <v>589318</v>
      </c>
      <c r="B92" t="s">
        <v>477</v>
      </c>
      <c r="C92" t="str">
        <f>"9780719061196"</f>
        <v>9780719061196</v>
      </c>
      <c r="D92" t="str">
        <f>"9781847790644"</f>
        <v>9781847790644</v>
      </c>
      <c r="E92" t="s">
        <v>188</v>
      </c>
      <c r="F92" t="s">
        <v>188</v>
      </c>
      <c r="G92" s="1">
        <v>37833</v>
      </c>
      <c r="H92" s="1">
        <v>40460</v>
      </c>
      <c r="I92" t="s">
        <v>189</v>
      </c>
      <c r="J92">
        <v>1</v>
      </c>
      <c r="L92" t="s">
        <v>478</v>
      </c>
      <c r="M92" t="s">
        <v>210</v>
      </c>
      <c r="N92" t="s">
        <v>479</v>
      </c>
      <c r="O92" s="2">
        <v>324244</v>
      </c>
      <c r="P92" t="s">
        <v>480</v>
      </c>
      <c r="Q92" t="s">
        <v>260</v>
      </c>
      <c r="R92" t="s">
        <v>261</v>
      </c>
      <c r="S92" t="s">
        <v>261</v>
      </c>
      <c r="T92" t="s">
        <v>261</v>
      </c>
      <c r="U92" t="s">
        <v>261</v>
      </c>
      <c r="V92" t="s">
        <v>262</v>
      </c>
      <c r="W92" t="s">
        <v>261</v>
      </c>
      <c r="X92" t="s">
        <v>261</v>
      </c>
      <c r="Y92" t="s">
        <v>261</v>
      </c>
      <c r="AD92" t="s">
        <v>262</v>
      </c>
      <c r="AE92">
        <v>10082104</v>
      </c>
      <c r="AF92">
        <v>73409</v>
      </c>
      <c r="AH92" t="s">
        <v>262</v>
      </c>
      <c r="AI92" t="s">
        <v>262</v>
      </c>
      <c r="AJ92" t="s">
        <v>261</v>
      </c>
      <c r="AK92" t="s">
        <v>261</v>
      </c>
      <c r="AM92" t="s">
        <v>262</v>
      </c>
      <c r="AN92" t="s">
        <v>481</v>
      </c>
    </row>
    <row r="93" spans="1:40" x14ac:dyDescent="0.35">
      <c r="A93">
        <v>589319</v>
      </c>
      <c r="B93" t="s">
        <v>482</v>
      </c>
      <c r="C93" t="str">
        <f>"9780719043642"</f>
        <v>9780719043642</v>
      </c>
      <c r="D93" t="str">
        <f>"9781847790583"</f>
        <v>9781847790583</v>
      </c>
      <c r="E93" t="s">
        <v>188</v>
      </c>
      <c r="F93" t="s">
        <v>188</v>
      </c>
      <c r="G93" s="1">
        <v>38101</v>
      </c>
      <c r="H93" s="1">
        <v>40460</v>
      </c>
      <c r="I93" t="s">
        <v>189</v>
      </c>
      <c r="J93">
        <v>1</v>
      </c>
      <c r="L93" t="s">
        <v>5</v>
      </c>
    </row>
    <row r="94" spans="1:40" x14ac:dyDescent="0.35">
      <c r="A94">
        <v>589320</v>
      </c>
      <c r="B94" t="s">
        <v>483</v>
      </c>
      <c r="C94" t="str">
        <f>"9780719064760"</f>
        <v>9780719064760</v>
      </c>
      <c r="D94" t="str">
        <f>"9781847790774"</f>
        <v>9781847790774</v>
      </c>
      <c r="E94" t="s">
        <v>188</v>
      </c>
      <c r="F94" t="s">
        <v>188</v>
      </c>
      <c r="G94" s="1">
        <v>38094</v>
      </c>
      <c r="H94" s="1">
        <v>40460</v>
      </c>
      <c r="I94" t="s">
        <v>189</v>
      </c>
      <c r="J94">
        <v>1</v>
      </c>
      <c r="L94" t="s">
        <v>484</v>
      </c>
      <c r="M94" t="s">
        <v>329</v>
      </c>
    </row>
    <row r="95" spans="1:40" x14ac:dyDescent="0.35">
      <c r="A95">
        <v>589321</v>
      </c>
      <c r="B95" t="s">
        <v>485</v>
      </c>
      <c r="C95" t="str">
        <f>"9780719069765"</f>
        <v>9780719069765</v>
      </c>
      <c r="D95" t="str">
        <f>"9781847791061"</f>
        <v>9781847791061</v>
      </c>
      <c r="E95" t="s">
        <v>188</v>
      </c>
      <c r="F95" t="s">
        <v>188</v>
      </c>
      <c r="G95" s="1">
        <v>38353</v>
      </c>
      <c r="H95" s="1">
        <v>40602</v>
      </c>
      <c r="I95" t="s">
        <v>189</v>
      </c>
      <c r="J95">
        <v>1</v>
      </c>
      <c r="K95" t="s">
        <v>190</v>
      </c>
      <c r="L95" t="s">
        <v>486</v>
      </c>
    </row>
    <row r="96" spans="1:40" x14ac:dyDescent="0.35">
      <c r="A96">
        <v>589322</v>
      </c>
      <c r="B96" t="s">
        <v>487</v>
      </c>
      <c r="C96" t="str">
        <f>"9780719065323"</f>
        <v>9780719065323</v>
      </c>
      <c r="D96" t="str">
        <f>"9781847790811"</f>
        <v>9781847790811</v>
      </c>
      <c r="E96" t="s">
        <v>188</v>
      </c>
      <c r="F96" t="s">
        <v>188</v>
      </c>
      <c r="G96" s="1">
        <v>37933</v>
      </c>
      <c r="H96" s="1">
        <v>40460</v>
      </c>
      <c r="I96" t="s">
        <v>189</v>
      </c>
      <c r="J96">
        <v>1</v>
      </c>
      <c r="K96" t="s">
        <v>488</v>
      </c>
      <c r="L96" t="s">
        <v>489</v>
      </c>
    </row>
    <row r="97" spans="1:16" x14ac:dyDescent="0.35">
      <c r="A97">
        <v>589323</v>
      </c>
      <c r="B97" t="s">
        <v>490</v>
      </c>
      <c r="C97" t="str">
        <f>"9780719065286"</f>
        <v>9780719065286</v>
      </c>
      <c r="D97" t="str">
        <f>"9781847790798"</f>
        <v>9781847790798</v>
      </c>
      <c r="E97" t="s">
        <v>188</v>
      </c>
      <c r="F97" t="s">
        <v>188</v>
      </c>
      <c r="G97" s="1">
        <v>38050</v>
      </c>
      <c r="H97" s="1">
        <v>40460</v>
      </c>
      <c r="I97" t="s">
        <v>189</v>
      </c>
      <c r="J97">
        <v>1</v>
      </c>
      <c r="K97" t="s">
        <v>491</v>
      </c>
      <c r="L97" t="s">
        <v>492</v>
      </c>
    </row>
    <row r="98" spans="1:16" x14ac:dyDescent="0.35">
      <c r="A98">
        <v>589324</v>
      </c>
      <c r="B98" t="s">
        <v>493</v>
      </c>
      <c r="C98" t="str">
        <f>"9780719062353"</f>
        <v>9780719062353</v>
      </c>
      <c r="D98" t="str">
        <f>"9781847790675"</f>
        <v>9781847790675</v>
      </c>
      <c r="E98" t="s">
        <v>188</v>
      </c>
      <c r="F98" t="s">
        <v>188</v>
      </c>
      <c r="G98" s="1">
        <v>37442</v>
      </c>
      <c r="H98" s="1">
        <v>40460</v>
      </c>
      <c r="I98" t="s">
        <v>189</v>
      </c>
      <c r="J98">
        <v>1</v>
      </c>
      <c r="L98" t="s">
        <v>494</v>
      </c>
      <c r="M98" t="s">
        <v>239</v>
      </c>
      <c r="N98" t="s">
        <v>495</v>
      </c>
      <c r="O98" t="s">
        <v>496</v>
      </c>
      <c r="P98" t="s">
        <v>497</v>
      </c>
    </row>
    <row r="99" spans="1:16" x14ac:dyDescent="0.35">
      <c r="A99">
        <v>589325</v>
      </c>
      <c r="B99" t="s">
        <v>498</v>
      </c>
      <c r="C99" t="str">
        <f>"9780719067082"</f>
        <v>9780719067082</v>
      </c>
      <c r="D99" t="str">
        <f>"9781847791023"</f>
        <v>9781847791023</v>
      </c>
      <c r="E99" t="s">
        <v>188</v>
      </c>
      <c r="F99" t="s">
        <v>188</v>
      </c>
      <c r="G99" s="1">
        <v>38413</v>
      </c>
      <c r="H99" s="1">
        <v>40602</v>
      </c>
      <c r="I99" t="s">
        <v>189</v>
      </c>
      <c r="J99">
        <v>1</v>
      </c>
      <c r="K99" t="s">
        <v>488</v>
      </c>
      <c r="L99" t="s">
        <v>499</v>
      </c>
    </row>
    <row r="100" spans="1:16" x14ac:dyDescent="0.35">
      <c r="A100">
        <v>589326</v>
      </c>
      <c r="B100" t="s">
        <v>500</v>
      </c>
      <c r="C100" t="str">
        <f>"9780719069024"</f>
        <v>9780719069024</v>
      </c>
      <c r="D100" t="str">
        <f>"9781847790941"</f>
        <v>9781847790941</v>
      </c>
      <c r="E100" t="s">
        <v>188</v>
      </c>
      <c r="F100" t="s">
        <v>188</v>
      </c>
      <c r="G100" s="1">
        <v>38057</v>
      </c>
      <c r="H100" s="1">
        <v>40460</v>
      </c>
      <c r="I100" t="s">
        <v>189</v>
      </c>
      <c r="J100">
        <v>1</v>
      </c>
      <c r="K100" t="s">
        <v>227</v>
      </c>
      <c r="L100" t="s">
        <v>501</v>
      </c>
    </row>
    <row r="101" spans="1:16" x14ac:dyDescent="0.35">
      <c r="A101">
        <v>589327</v>
      </c>
      <c r="B101" t="s">
        <v>502</v>
      </c>
      <c r="C101" t="str">
        <f>"9780719060182"</f>
        <v>9780719060182</v>
      </c>
      <c r="D101" t="str">
        <f>"9781847790613"</f>
        <v>9781847790613</v>
      </c>
      <c r="E101" t="s">
        <v>188</v>
      </c>
      <c r="F101" t="s">
        <v>188</v>
      </c>
      <c r="G101" s="1">
        <v>38094</v>
      </c>
      <c r="H101" s="1">
        <v>40460</v>
      </c>
      <c r="I101" t="s">
        <v>189</v>
      </c>
      <c r="J101">
        <v>1</v>
      </c>
      <c r="K101" t="s">
        <v>438</v>
      </c>
      <c r="L101" t="s">
        <v>503</v>
      </c>
    </row>
    <row r="102" spans="1:16" x14ac:dyDescent="0.35">
      <c r="A102">
        <v>589328</v>
      </c>
      <c r="B102" t="s">
        <v>504</v>
      </c>
      <c r="C102" t="str">
        <f>"9780719063183"</f>
        <v>9780719063183</v>
      </c>
      <c r="D102" t="str">
        <f>"9781847790989"</f>
        <v>9781847790989</v>
      </c>
      <c r="E102" t="s">
        <v>188</v>
      </c>
      <c r="F102" t="s">
        <v>188</v>
      </c>
      <c r="G102" s="1">
        <v>38261</v>
      </c>
      <c r="H102" s="1">
        <v>40602</v>
      </c>
      <c r="I102" t="s">
        <v>189</v>
      </c>
      <c r="J102">
        <v>1</v>
      </c>
      <c r="L102" t="s">
        <v>505</v>
      </c>
      <c r="M102" t="s">
        <v>219</v>
      </c>
    </row>
    <row r="103" spans="1:16" x14ac:dyDescent="0.35">
      <c r="A103">
        <v>589329</v>
      </c>
      <c r="B103" t="s">
        <v>506</v>
      </c>
      <c r="C103" t="str">
        <f>"9780719067143"</f>
        <v>9780719067143</v>
      </c>
      <c r="D103" t="str">
        <f>"9781847791030"</f>
        <v>9781847791030</v>
      </c>
      <c r="E103" t="s">
        <v>188</v>
      </c>
      <c r="F103" t="s">
        <v>188</v>
      </c>
      <c r="G103" s="1">
        <v>38353</v>
      </c>
      <c r="H103" s="1">
        <v>40602</v>
      </c>
      <c r="I103" t="s">
        <v>189</v>
      </c>
      <c r="J103">
        <v>1</v>
      </c>
      <c r="K103" t="s">
        <v>507</v>
      </c>
      <c r="L103" t="s">
        <v>508</v>
      </c>
    </row>
    <row r="104" spans="1:16" x14ac:dyDescent="0.35">
      <c r="A104">
        <v>589330</v>
      </c>
      <c r="B104" t="s">
        <v>509</v>
      </c>
      <c r="C104" t="str">
        <f>"9780719063701"</f>
        <v>9780719063701</v>
      </c>
      <c r="D104" t="str">
        <f>"9781847790729"</f>
        <v>9781847790729</v>
      </c>
      <c r="E104" t="s">
        <v>188</v>
      </c>
      <c r="F104" t="s">
        <v>188</v>
      </c>
      <c r="G104" s="1">
        <v>37933</v>
      </c>
      <c r="H104" s="1">
        <v>40460</v>
      </c>
      <c r="I104" t="s">
        <v>189</v>
      </c>
      <c r="J104">
        <v>1</v>
      </c>
      <c r="K104" t="s">
        <v>224</v>
      </c>
      <c r="L104" t="s">
        <v>510</v>
      </c>
    </row>
    <row r="105" spans="1:16" x14ac:dyDescent="0.35">
      <c r="A105">
        <v>589331</v>
      </c>
      <c r="B105" t="s">
        <v>511</v>
      </c>
      <c r="C105" t="str">
        <f>"9780719066061"</f>
        <v>9780719066061</v>
      </c>
      <c r="D105" t="str">
        <f>"9781847790873"</f>
        <v>9781847790873</v>
      </c>
      <c r="E105" t="s">
        <v>188</v>
      </c>
      <c r="F105" t="s">
        <v>188</v>
      </c>
      <c r="G105" s="1">
        <v>37933</v>
      </c>
      <c r="H105" s="1">
        <v>40460</v>
      </c>
      <c r="I105" t="s">
        <v>189</v>
      </c>
      <c r="J105">
        <v>1</v>
      </c>
      <c r="K105" t="s">
        <v>290</v>
      </c>
      <c r="L105" t="s">
        <v>512</v>
      </c>
    </row>
    <row r="106" spans="1:16" x14ac:dyDescent="0.35">
      <c r="A106">
        <v>589332</v>
      </c>
      <c r="B106" t="s">
        <v>513</v>
      </c>
      <c r="C106" t="str">
        <f>"9780719063909"</f>
        <v>9780719063909</v>
      </c>
      <c r="D106" t="str">
        <f>"9781847790736"</f>
        <v>9781847790736</v>
      </c>
      <c r="E106" t="s">
        <v>188</v>
      </c>
      <c r="F106" t="s">
        <v>188</v>
      </c>
      <c r="G106" s="1">
        <v>37685</v>
      </c>
      <c r="H106" s="1">
        <v>40460</v>
      </c>
      <c r="I106" t="s">
        <v>189</v>
      </c>
      <c r="J106">
        <v>1</v>
      </c>
      <c r="K106" t="s">
        <v>438</v>
      </c>
      <c r="L106" t="s">
        <v>514</v>
      </c>
    </row>
    <row r="107" spans="1:16" x14ac:dyDescent="0.35">
      <c r="A107">
        <v>589333</v>
      </c>
      <c r="B107" t="s">
        <v>515</v>
      </c>
      <c r="C107" t="str">
        <f>"9780719065804"</f>
        <v>9780719065804</v>
      </c>
      <c r="D107" t="str">
        <f>"9781847790842"</f>
        <v>9781847790842</v>
      </c>
      <c r="E107" t="s">
        <v>188</v>
      </c>
      <c r="F107" t="s">
        <v>188</v>
      </c>
      <c r="G107" s="1">
        <v>38080</v>
      </c>
      <c r="H107" s="1">
        <v>40602</v>
      </c>
      <c r="I107" t="s">
        <v>189</v>
      </c>
      <c r="J107">
        <v>1</v>
      </c>
      <c r="L107" t="s">
        <v>516</v>
      </c>
      <c r="M107" t="s">
        <v>210</v>
      </c>
      <c r="N107" t="s">
        <v>517</v>
      </c>
      <c r="O107" t="s">
        <v>518</v>
      </c>
      <c r="P107" t="s">
        <v>519</v>
      </c>
    </row>
    <row r="108" spans="1:16" x14ac:dyDescent="0.35">
      <c r="A108">
        <v>589335</v>
      </c>
      <c r="B108" t="s">
        <v>520</v>
      </c>
      <c r="C108" t="str">
        <f>"9780719064746"</f>
        <v>9780719064746</v>
      </c>
      <c r="D108" t="str">
        <f>"9781847790767"</f>
        <v>9781847790767</v>
      </c>
      <c r="E108" t="s">
        <v>188</v>
      </c>
      <c r="F108" t="s">
        <v>188</v>
      </c>
      <c r="G108" s="1">
        <v>38080</v>
      </c>
      <c r="H108" s="1">
        <v>40460</v>
      </c>
      <c r="I108" t="s">
        <v>189</v>
      </c>
      <c r="J108">
        <v>1</v>
      </c>
      <c r="K108" t="s">
        <v>438</v>
      </c>
      <c r="L108" t="s">
        <v>521</v>
      </c>
    </row>
    <row r="109" spans="1:16" x14ac:dyDescent="0.35">
      <c r="A109">
        <v>589336</v>
      </c>
      <c r="B109" t="s">
        <v>522</v>
      </c>
      <c r="C109" t="str">
        <f>"9780719061219"</f>
        <v>9780719061219</v>
      </c>
      <c r="D109" t="str">
        <f>"9781847790972"</f>
        <v>9781847790972</v>
      </c>
      <c r="E109" t="s">
        <v>188</v>
      </c>
      <c r="F109" t="s">
        <v>188</v>
      </c>
      <c r="G109" s="1">
        <v>38413</v>
      </c>
      <c r="H109" s="1">
        <v>40602</v>
      </c>
      <c r="I109" t="s">
        <v>189</v>
      </c>
      <c r="J109">
        <v>1</v>
      </c>
      <c r="K109" t="s">
        <v>438</v>
      </c>
      <c r="L109" t="s">
        <v>523</v>
      </c>
    </row>
    <row r="110" spans="1:16" x14ac:dyDescent="0.35">
      <c r="A110">
        <v>589338</v>
      </c>
      <c r="B110" t="s">
        <v>524</v>
      </c>
      <c r="C110" t="str">
        <f>"9780719065729"</f>
        <v>9780719065729</v>
      </c>
      <c r="D110" t="str">
        <f>"9781847790835"</f>
        <v>9781847790835</v>
      </c>
      <c r="E110" t="s">
        <v>188</v>
      </c>
      <c r="F110" t="s">
        <v>188</v>
      </c>
      <c r="G110" s="1">
        <v>38080</v>
      </c>
      <c r="H110" s="1">
        <v>40460</v>
      </c>
      <c r="I110" t="s">
        <v>189</v>
      </c>
      <c r="J110">
        <v>1</v>
      </c>
      <c r="L110" t="s">
        <v>525</v>
      </c>
      <c r="M110" t="s">
        <v>239</v>
      </c>
    </row>
    <row r="111" spans="1:16" x14ac:dyDescent="0.35">
      <c r="A111">
        <v>589339</v>
      </c>
      <c r="B111" t="s">
        <v>526</v>
      </c>
      <c r="C111" t="str">
        <f>"9780719067440"</f>
        <v>9780719067440</v>
      </c>
      <c r="D111" t="str">
        <f>"9781847791313"</f>
        <v>9781847791313</v>
      </c>
      <c r="E111" t="s">
        <v>188</v>
      </c>
      <c r="F111" t="s">
        <v>188</v>
      </c>
      <c r="G111" s="1">
        <v>38050</v>
      </c>
      <c r="H111" s="1">
        <v>40460</v>
      </c>
      <c r="I111" t="s">
        <v>189</v>
      </c>
      <c r="J111">
        <v>1</v>
      </c>
      <c r="L111" t="s">
        <v>527</v>
      </c>
      <c r="M111" t="s">
        <v>210</v>
      </c>
    </row>
    <row r="112" spans="1:16" x14ac:dyDescent="0.35">
      <c r="A112">
        <v>605962</v>
      </c>
      <c r="B112" t="s">
        <v>528</v>
      </c>
      <c r="C112" t="str">
        <f>"9783110232097"</f>
        <v>9783110232097</v>
      </c>
      <c r="D112" t="str">
        <f>"9783110232103"</f>
        <v>9783110232103</v>
      </c>
      <c r="E112" t="s">
        <v>415</v>
      </c>
      <c r="F112" t="s">
        <v>416</v>
      </c>
      <c r="G112" s="1">
        <v>40449</v>
      </c>
      <c r="H112" s="1">
        <v>41921</v>
      </c>
      <c r="I112" t="s">
        <v>189</v>
      </c>
      <c r="J112">
        <v>1</v>
      </c>
      <c r="K112" t="s">
        <v>529</v>
      </c>
      <c r="L112" t="s">
        <v>530</v>
      </c>
    </row>
    <row r="113" spans="1:40" x14ac:dyDescent="0.35">
      <c r="A113">
        <v>605983</v>
      </c>
      <c r="B113" t="s">
        <v>531</v>
      </c>
      <c r="C113" t="str">
        <f>"9783110220506"</f>
        <v>9783110220506</v>
      </c>
      <c r="D113" t="str">
        <f>"9783110220513"</f>
        <v>9783110220513</v>
      </c>
      <c r="E113" t="s">
        <v>346</v>
      </c>
      <c r="F113" t="s">
        <v>346</v>
      </c>
      <c r="G113" s="1">
        <v>40438</v>
      </c>
      <c r="H113" s="1">
        <v>41994</v>
      </c>
      <c r="I113" t="s">
        <v>189</v>
      </c>
      <c r="J113">
        <v>1</v>
      </c>
      <c r="K113" t="s">
        <v>354</v>
      </c>
      <c r="L113" t="s">
        <v>532</v>
      </c>
    </row>
    <row r="114" spans="1:40" x14ac:dyDescent="0.35">
      <c r="A114">
        <v>649968</v>
      </c>
      <c r="B114" t="s">
        <v>533</v>
      </c>
      <c r="C114" t="str">
        <f>"9789089642394"</f>
        <v>9789089642394</v>
      </c>
      <c r="D114" t="str">
        <f>"9789048512737"</f>
        <v>9789048512737</v>
      </c>
      <c r="E114" t="s">
        <v>361</v>
      </c>
      <c r="F114" t="s">
        <v>361</v>
      </c>
      <c r="G114" s="1">
        <v>40739</v>
      </c>
      <c r="H114" s="1">
        <v>40602</v>
      </c>
      <c r="I114" t="s">
        <v>189</v>
      </c>
      <c r="J114">
        <v>1</v>
      </c>
      <c r="L114" t="s">
        <v>534</v>
      </c>
      <c r="M114" t="s">
        <v>535</v>
      </c>
    </row>
    <row r="115" spans="1:40" x14ac:dyDescent="0.35">
      <c r="A115">
        <v>686227</v>
      </c>
      <c r="B115" t="s">
        <v>536</v>
      </c>
      <c r="C115" t="str">
        <f>"9781439903179"</f>
        <v>9781439903179</v>
      </c>
      <c r="D115" t="str">
        <f>"9781439903193"</f>
        <v>9781439903193</v>
      </c>
      <c r="E115" t="s">
        <v>321</v>
      </c>
      <c r="F115" t="s">
        <v>321</v>
      </c>
      <c r="G115" s="1">
        <v>40656</v>
      </c>
      <c r="H115" s="1">
        <v>40678</v>
      </c>
      <c r="I115" t="s">
        <v>189</v>
      </c>
      <c r="J115">
        <v>1</v>
      </c>
      <c r="L115" t="s">
        <v>537</v>
      </c>
      <c r="M115" t="s">
        <v>219</v>
      </c>
      <c r="N115" t="s">
        <v>538</v>
      </c>
      <c r="O115" t="s">
        <v>539</v>
      </c>
      <c r="P115" t="s">
        <v>540</v>
      </c>
      <c r="Q115" t="s">
        <v>260</v>
      </c>
      <c r="R115" t="s">
        <v>262</v>
      </c>
      <c r="S115" t="s">
        <v>261</v>
      </c>
      <c r="T115" t="s">
        <v>261</v>
      </c>
      <c r="U115" t="s">
        <v>262</v>
      </c>
      <c r="V115" t="s">
        <v>262</v>
      </c>
      <c r="W115" t="s">
        <v>261</v>
      </c>
      <c r="X115" t="s">
        <v>262</v>
      </c>
      <c r="Y115" t="s">
        <v>262</v>
      </c>
      <c r="Z115" t="s">
        <v>541</v>
      </c>
      <c r="AA115" t="s">
        <v>542</v>
      </c>
      <c r="AB115" t="s">
        <v>543</v>
      </c>
      <c r="AC115" t="s">
        <v>544</v>
      </c>
      <c r="AD115" t="s">
        <v>262</v>
      </c>
      <c r="AE115">
        <v>10466255</v>
      </c>
      <c r="AF115">
        <v>313383</v>
      </c>
      <c r="AH115" t="s">
        <v>262</v>
      </c>
      <c r="AI115" t="s">
        <v>261</v>
      </c>
      <c r="AJ115" t="s">
        <v>261</v>
      </c>
      <c r="AK115" t="s">
        <v>261</v>
      </c>
      <c r="AM115" t="s">
        <v>262</v>
      </c>
      <c r="AN115" t="s">
        <v>545</v>
      </c>
    </row>
    <row r="116" spans="1:40" x14ac:dyDescent="0.35">
      <c r="A116">
        <v>689637</v>
      </c>
      <c r="B116" t="s">
        <v>546</v>
      </c>
      <c r="C116" t="str">
        <f>"9783110222838"</f>
        <v>9783110222838</v>
      </c>
      <c r="D116" t="str">
        <f>"9783110222845"</f>
        <v>9783110222845</v>
      </c>
      <c r="E116" t="s">
        <v>346</v>
      </c>
      <c r="F116" t="s">
        <v>346</v>
      </c>
      <c r="G116" s="1">
        <v>40525</v>
      </c>
      <c r="H116" s="1">
        <v>41921</v>
      </c>
      <c r="I116" t="s">
        <v>189</v>
      </c>
      <c r="J116">
        <v>1</v>
      </c>
      <c r="K116" t="s">
        <v>547</v>
      </c>
      <c r="L116" t="s">
        <v>548</v>
      </c>
      <c r="M116" t="s">
        <v>329</v>
      </c>
    </row>
    <row r="117" spans="1:40" x14ac:dyDescent="0.35">
      <c r="A117">
        <v>690682</v>
      </c>
      <c r="B117" t="s">
        <v>549</v>
      </c>
      <c r="C117" t="str">
        <f>"9783110254051"</f>
        <v>9783110254051</v>
      </c>
      <c r="D117" t="str">
        <f>"9783110254068"</f>
        <v>9783110254068</v>
      </c>
      <c r="E117" t="s">
        <v>346</v>
      </c>
      <c r="F117" t="s">
        <v>346</v>
      </c>
      <c r="G117" s="1">
        <v>40619</v>
      </c>
      <c r="H117" s="1">
        <v>40674</v>
      </c>
      <c r="I117" t="s">
        <v>189</v>
      </c>
      <c r="J117">
        <v>1</v>
      </c>
      <c r="K117" t="s">
        <v>354</v>
      </c>
      <c r="L117" t="s">
        <v>550</v>
      </c>
      <c r="M117" t="s">
        <v>219</v>
      </c>
    </row>
    <row r="118" spans="1:40" x14ac:dyDescent="0.35">
      <c r="A118">
        <v>737017</v>
      </c>
      <c r="B118" t="s">
        <v>551</v>
      </c>
      <c r="C118" t="str">
        <f>"9783110248548"</f>
        <v>9783110248548</v>
      </c>
      <c r="D118" t="str">
        <f>"9783110262216"</f>
        <v>9783110262216</v>
      </c>
      <c r="E118" t="s">
        <v>346</v>
      </c>
      <c r="F118" t="s">
        <v>346</v>
      </c>
      <c r="G118" s="1">
        <v>40723</v>
      </c>
      <c r="H118" s="1">
        <v>40890</v>
      </c>
      <c r="I118" t="s">
        <v>189</v>
      </c>
      <c r="J118">
        <v>1</v>
      </c>
      <c r="K118" t="s">
        <v>552</v>
      </c>
      <c r="L118" t="s">
        <v>553</v>
      </c>
    </row>
    <row r="119" spans="1:40" x14ac:dyDescent="0.35">
      <c r="A119">
        <v>752440</v>
      </c>
      <c r="B119" t="s">
        <v>554</v>
      </c>
      <c r="C119" t="str">
        <f>"9789089643438"</f>
        <v>9789089643438</v>
      </c>
      <c r="D119" t="str">
        <f>"9789048514748"</f>
        <v>9789048514748</v>
      </c>
      <c r="E119" t="s">
        <v>361</v>
      </c>
      <c r="F119" t="s">
        <v>361</v>
      </c>
      <c r="G119" s="1">
        <v>41470</v>
      </c>
      <c r="H119" s="1">
        <v>40765</v>
      </c>
      <c r="I119" t="s">
        <v>189</v>
      </c>
      <c r="J119">
        <v>1</v>
      </c>
      <c r="K119" t="s">
        <v>555</v>
      </c>
      <c r="L119" t="s">
        <v>556</v>
      </c>
    </row>
    <row r="120" spans="1:40" x14ac:dyDescent="0.35">
      <c r="A120">
        <v>794068</v>
      </c>
      <c r="B120" t="s">
        <v>557</v>
      </c>
      <c r="C120" t="str">
        <f>"9781439906675"</f>
        <v>9781439906675</v>
      </c>
      <c r="D120" t="str">
        <f>"9781439906699"</f>
        <v>9781439906699</v>
      </c>
      <c r="E120" t="s">
        <v>321</v>
      </c>
      <c r="F120" t="s">
        <v>321</v>
      </c>
      <c r="G120" s="1">
        <v>40865</v>
      </c>
      <c r="H120" s="1">
        <v>40974</v>
      </c>
      <c r="I120" t="s">
        <v>189</v>
      </c>
      <c r="J120">
        <v>1</v>
      </c>
      <c r="L120" t="s">
        <v>558</v>
      </c>
      <c r="M120" t="s">
        <v>329</v>
      </c>
    </row>
    <row r="121" spans="1:40" x14ac:dyDescent="0.35">
      <c r="A121">
        <v>797973</v>
      </c>
      <c r="B121" t="s">
        <v>559</v>
      </c>
      <c r="C121" t="str">
        <f>"9783110240870"</f>
        <v>9783110240870</v>
      </c>
      <c r="D121" t="str">
        <f>"9783110240887"</f>
        <v>9783110240887</v>
      </c>
      <c r="E121" t="s">
        <v>346</v>
      </c>
      <c r="F121" t="s">
        <v>346</v>
      </c>
      <c r="G121" s="1">
        <v>40690</v>
      </c>
      <c r="H121" s="1">
        <v>40996</v>
      </c>
      <c r="I121" t="s">
        <v>189</v>
      </c>
      <c r="J121">
        <v>1</v>
      </c>
      <c r="K121" t="s">
        <v>354</v>
      </c>
      <c r="L121" t="s">
        <v>560</v>
      </c>
      <c r="M121" t="s">
        <v>389</v>
      </c>
      <c r="N121" t="s">
        <v>561</v>
      </c>
      <c r="O121">
        <v>292</v>
      </c>
      <c r="P121" t="s">
        <v>562</v>
      </c>
    </row>
    <row r="122" spans="1:40" x14ac:dyDescent="0.35">
      <c r="A122">
        <v>797994</v>
      </c>
      <c r="B122" t="s">
        <v>563</v>
      </c>
      <c r="C122" t="str">
        <f>"9783110248845"</f>
        <v>9783110248845</v>
      </c>
      <c r="D122" t="str">
        <f>"9783110248852"</f>
        <v>9783110248852</v>
      </c>
      <c r="E122" t="s">
        <v>346</v>
      </c>
      <c r="F122" t="s">
        <v>346</v>
      </c>
      <c r="G122" s="1">
        <v>40525</v>
      </c>
      <c r="H122" s="1">
        <v>40996</v>
      </c>
      <c r="I122" t="s">
        <v>189</v>
      </c>
      <c r="J122">
        <v>1</v>
      </c>
      <c r="K122" t="s">
        <v>564</v>
      </c>
      <c r="L122" t="s">
        <v>565</v>
      </c>
      <c r="M122" t="s">
        <v>219</v>
      </c>
      <c r="N122" t="s">
        <v>566</v>
      </c>
      <c r="O122" t="s">
        <v>567</v>
      </c>
      <c r="P122" t="s">
        <v>568</v>
      </c>
      <c r="Q122" t="s">
        <v>408</v>
      </c>
      <c r="R122" t="s">
        <v>261</v>
      </c>
      <c r="S122" t="s">
        <v>261</v>
      </c>
      <c r="T122" t="s">
        <v>261</v>
      </c>
      <c r="U122" t="s">
        <v>261</v>
      </c>
      <c r="V122" t="s">
        <v>262</v>
      </c>
      <c r="W122" t="s">
        <v>261</v>
      </c>
      <c r="X122" t="s">
        <v>261</v>
      </c>
      <c r="Y122" t="s">
        <v>261</v>
      </c>
      <c r="Z122" t="s">
        <v>409</v>
      </c>
      <c r="AA122" t="s">
        <v>409</v>
      </c>
      <c r="AB122" t="s">
        <v>409</v>
      </c>
      <c r="AC122" t="s">
        <v>409</v>
      </c>
      <c r="AD122" t="s">
        <v>262</v>
      </c>
      <c r="AE122">
        <v>10486423</v>
      </c>
      <c r="AF122">
        <v>316624</v>
      </c>
      <c r="AH122" t="s">
        <v>262</v>
      </c>
      <c r="AI122" t="s">
        <v>262</v>
      </c>
      <c r="AJ122" t="s">
        <v>261</v>
      </c>
      <c r="AK122" t="s">
        <v>261</v>
      </c>
      <c r="AM122" t="s">
        <v>262</v>
      </c>
      <c r="AN122" t="s">
        <v>569</v>
      </c>
    </row>
    <row r="123" spans="1:40" x14ac:dyDescent="0.35">
      <c r="A123">
        <v>799421</v>
      </c>
      <c r="B123" t="s">
        <v>570</v>
      </c>
      <c r="C123" t="str">
        <f>"9783110258233"</f>
        <v>9783110258233</v>
      </c>
      <c r="D123" t="str">
        <f>"9783110258240"</f>
        <v>9783110258240</v>
      </c>
      <c r="E123" t="s">
        <v>346</v>
      </c>
      <c r="F123" t="s">
        <v>346</v>
      </c>
      <c r="G123" s="1">
        <v>40833</v>
      </c>
      <c r="H123" s="1">
        <v>40996</v>
      </c>
      <c r="I123" t="s">
        <v>189</v>
      </c>
      <c r="J123">
        <v>1</v>
      </c>
      <c r="K123" t="s">
        <v>571</v>
      </c>
      <c r="L123" t="s">
        <v>572</v>
      </c>
      <c r="M123" t="s">
        <v>219</v>
      </c>
      <c r="N123" t="s">
        <v>573</v>
      </c>
      <c r="O123" t="s">
        <v>574</v>
      </c>
      <c r="P123" t="s">
        <v>575</v>
      </c>
    </row>
    <row r="124" spans="1:40" x14ac:dyDescent="0.35">
      <c r="A124">
        <v>827286</v>
      </c>
      <c r="B124" t="s">
        <v>576</v>
      </c>
      <c r="C124" t="str">
        <f>"9783110222135"</f>
        <v>9783110222135</v>
      </c>
      <c r="D124" t="str">
        <f>"9783110222142"</f>
        <v>9783110222142</v>
      </c>
      <c r="E124" t="s">
        <v>346</v>
      </c>
      <c r="F124" t="s">
        <v>346</v>
      </c>
      <c r="G124" s="1">
        <v>40864</v>
      </c>
      <c r="H124" s="1">
        <v>42015</v>
      </c>
      <c r="I124" t="s">
        <v>189</v>
      </c>
      <c r="J124">
        <v>1</v>
      </c>
      <c r="K124" t="s">
        <v>547</v>
      </c>
      <c r="L124" t="s">
        <v>577</v>
      </c>
      <c r="M124" t="s">
        <v>578</v>
      </c>
    </row>
    <row r="125" spans="1:40" x14ac:dyDescent="0.35">
      <c r="A125">
        <v>870638</v>
      </c>
      <c r="B125" t="s">
        <v>579</v>
      </c>
      <c r="C125" t="str">
        <f>"9789089643544"</f>
        <v>9789089643544</v>
      </c>
      <c r="D125" t="str">
        <f>"9789048514915"</f>
        <v>9789048514915</v>
      </c>
      <c r="E125" t="s">
        <v>361</v>
      </c>
      <c r="F125" t="s">
        <v>361</v>
      </c>
      <c r="G125" s="1">
        <v>41379</v>
      </c>
      <c r="H125" s="1">
        <v>40995</v>
      </c>
      <c r="I125" t="s">
        <v>189</v>
      </c>
      <c r="J125">
        <v>1</v>
      </c>
      <c r="K125" t="s">
        <v>580</v>
      </c>
      <c r="L125" t="s">
        <v>581</v>
      </c>
      <c r="M125" t="s">
        <v>582</v>
      </c>
    </row>
    <row r="126" spans="1:40" x14ac:dyDescent="0.35">
      <c r="A126">
        <v>887106</v>
      </c>
      <c r="B126" t="s">
        <v>583</v>
      </c>
      <c r="C126" t="str">
        <f>"9783110265682"</f>
        <v>9783110265682</v>
      </c>
      <c r="D126" t="str">
        <f>"9783110266863"</f>
        <v>9783110266863</v>
      </c>
      <c r="E126" t="s">
        <v>346</v>
      </c>
      <c r="F126" t="s">
        <v>346</v>
      </c>
      <c r="G126" s="1">
        <v>40955</v>
      </c>
      <c r="H126" s="1">
        <v>41003</v>
      </c>
      <c r="I126" t="s">
        <v>189</v>
      </c>
      <c r="J126">
        <v>1</v>
      </c>
      <c r="K126" t="s">
        <v>354</v>
      </c>
      <c r="L126" t="s">
        <v>584</v>
      </c>
      <c r="M126" t="s">
        <v>329</v>
      </c>
      <c r="N126" t="s">
        <v>585</v>
      </c>
      <c r="O126" t="s">
        <v>586</v>
      </c>
      <c r="P126" t="s">
        <v>587</v>
      </c>
    </row>
    <row r="127" spans="1:40" x14ac:dyDescent="0.35">
      <c r="A127">
        <v>887890</v>
      </c>
      <c r="B127" t="s">
        <v>588</v>
      </c>
      <c r="C127" t="str">
        <f>"9781439907580"</f>
        <v>9781439907580</v>
      </c>
      <c r="D127" t="str">
        <f>"9781439907603"</f>
        <v>9781439907603</v>
      </c>
      <c r="E127" t="s">
        <v>321</v>
      </c>
      <c r="F127" t="s">
        <v>321</v>
      </c>
      <c r="G127" s="1">
        <v>40667</v>
      </c>
      <c r="H127" s="1">
        <v>41043</v>
      </c>
      <c r="I127" t="s">
        <v>189</v>
      </c>
      <c r="J127">
        <v>1</v>
      </c>
      <c r="K127" t="s">
        <v>589</v>
      </c>
      <c r="L127" t="s">
        <v>590</v>
      </c>
      <c r="M127" t="s">
        <v>219</v>
      </c>
      <c r="N127" t="s">
        <v>591</v>
      </c>
      <c r="O127" t="s">
        <v>592</v>
      </c>
      <c r="P127" t="s">
        <v>593</v>
      </c>
      <c r="Q127" t="s">
        <v>260</v>
      </c>
      <c r="R127" t="s">
        <v>261</v>
      </c>
      <c r="S127" t="s">
        <v>261</v>
      </c>
      <c r="T127" t="s">
        <v>261</v>
      </c>
      <c r="U127" t="s">
        <v>261</v>
      </c>
      <c r="V127" t="s">
        <v>262</v>
      </c>
      <c r="W127" t="s">
        <v>261</v>
      </c>
      <c r="X127" t="s">
        <v>261</v>
      </c>
      <c r="Y127" t="s">
        <v>261</v>
      </c>
      <c r="Z127" t="s">
        <v>409</v>
      </c>
      <c r="AA127" t="s">
        <v>409</v>
      </c>
      <c r="AB127" t="s">
        <v>409</v>
      </c>
      <c r="AC127" t="s">
        <v>409</v>
      </c>
      <c r="AD127" t="s">
        <v>262</v>
      </c>
      <c r="AE127">
        <v>10553370</v>
      </c>
      <c r="AF127">
        <v>353205</v>
      </c>
      <c r="AH127" t="s">
        <v>262</v>
      </c>
      <c r="AI127" t="s">
        <v>262</v>
      </c>
      <c r="AJ127" t="s">
        <v>261</v>
      </c>
      <c r="AK127" t="s">
        <v>261</v>
      </c>
      <c r="AM127" t="s">
        <v>262</v>
      </c>
      <c r="AN127" t="s">
        <v>594</v>
      </c>
    </row>
    <row r="128" spans="1:40" x14ac:dyDescent="0.35">
      <c r="A128">
        <v>893097</v>
      </c>
      <c r="B128" t="s">
        <v>595</v>
      </c>
      <c r="C128" t="str">
        <f>"9783110265927"</f>
        <v>9783110265927</v>
      </c>
      <c r="D128" t="str">
        <f>"9783110266412"</f>
        <v>9783110266412</v>
      </c>
      <c r="E128" t="s">
        <v>346</v>
      </c>
      <c r="F128" t="s">
        <v>346</v>
      </c>
      <c r="G128" s="1">
        <v>41715</v>
      </c>
      <c r="H128" s="1">
        <v>41730</v>
      </c>
      <c r="I128" t="s">
        <v>189</v>
      </c>
      <c r="J128">
        <v>1</v>
      </c>
      <c r="K128" t="s">
        <v>547</v>
      </c>
      <c r="L128" t="s">
        <v>596</v>
      </c>
    </row>
    <row r="129" spans="1:16" x14ac:dyDescent="0.35">
      <c r="A129">
        <v>893107</v>
      </c>
      <c r="B129" t="s">
        <v>597</v>
      </c>
      <c r="C129" t="str">
        <f>"9783110294439"</f>
        <v>9783110294439</v>
      </c>
      <c r="D129" t="str">
        <f>"9783110294750"</f>
        <v>9783110294750</v>
      </c>
      <c r="E129" t="s">
        <v>346</v>
      </c>
      <c r="F129" t="s">
        <v>346</v>
      </c>
      <c r="G129" s="1">
        <v>41106</v>
      </c>
      <c r="H129" s="1">
        <v>41395</v>
      </c>
      <c r="I129" t="s">
        <v>189</v>
      </c>
      <c r="J129">
        <v>1</v>
      </c>
      <c r="K129" t="s">
        <v>354</v>
      </c>
      <c r="L129" t="s">
        <v>598</v>
      </c>
      <c r="M129" t="s">
        <v>389</v>
      </c>
      <c r="N129" t="s">
        <v>599</v>
      </c>
      <c r="O129" t="s">
        <v>600</v>
      </c>
      <c r="P129" t="s">
        <v>601</v>
      </c>
    </row>
    <row r="130" spans="1:16" x14ac:dyDescent="0.35">
      <c r="A130">
        <v>893177</v>
      </c>
      <c r="B130" t="s">
        <v>602</v>
      </c>
      <c r="C130" t="str">
        <f>"9783110287370"</f>
        <v>9783110287370</v>
      </c>
      <c r="D130" t="str">
        <f>"9783110287424"</f>
        <v>9783110287424</v>
      </c>
      <c r="E130" t="s">
        <v>346</v>
      </c>
      <c r="F130" t="s">
        <v>346</v>
      </c>
      <c r="G130" s="1">
        <v>41015</v>
      </c>
      <c r="H130" s="1">
        <v>41044</v>
      </c>
      <c r="I130" t="s">
        <v>189</v>
      </c>
      <c r="J130">
        <v>1</v>
      </c>
      <c r="K130" t="s">
        <v>552</v>
      </c>
      <c r="L130" t="s">
        <v>603</v>
      </c>
    </row>
    <row r="131" spans="1:16" x14ac:dyDescent="0.35">
      <c r="A131">
        <v>893383</v>
      </c>
      <c r="B131" t="s">
        <v>604</v>
      </c>
      <c r="C131" t="str">
        <f>"9783110278385"</f>
        <v>9783110278385</v>
      </c>
      <c r="D131" t="str">
        <f>"9783110278552"</f>
        <v>9783110278552</v>
      </c>
      <c r="E131" t="s">
        <v>346</v>
      </c>
      <c r="F131" t="s">
        <v>346</v>
      </c>
      <c r="G131" s="1">
        <v>41074</v>
      </c>
      <c r="H131" s="1">
        <v>41175</v>
      </c>
      <c r="I131" t="s">
        <v>189</v>
      </c>
      <c r="J131">
        <v>1</v>
      </c>
      <c r="K131" t="s">
        <v>354</v>
      </c>
      <c r="L131" t="s">
        <v>605</v>
      </c>
      <c r="M131" t="s">
        <v>578</v>
      </c>
    </row>
    <row r="132" spans="1:16" x14ac:dyDescent="0.35">
      <c r="A132">
        <v>893468</v>
      </c>
      <c r="B132" t="s">
        <v>606</v>
      </c>
      <c r="C132" t="str">
        <f>"9783110260052"</f>
        <v>9783110260052</v>
      </c>
      <c r="D132" t="str">
        <f>"9783110260779"</f>
        <v>9783110260779</v>
      </c>
      <c r="E132" t="s">
        <v>346</v>
      </c>
      <c r="F132" t="s">
        <v>346</v>
      </c>
      <c r="G132" s="1">
        <v>41534</v>
      </c>
      <c r="H132" s="1">
        <v>41572</v>
      </c>
      <c r="I132" t="s">
        <v>189</v>
      </c>
      <c r="J132">
        <v>1</v>
      </c>
      <c r="K132" t="s">
        <v>354</v>
      </c>
      <c r="L132" t="s">
        <v>607</v>
      </c>
    </row>
    <row r="133" spans="1:16" x14ac:dyDescent="0.35">
      <c r="A133">
        <v>893883</v>
      </c>
      <c r="B133" t="s">
        <v>608</v>
      </c>
      <c r="C133" t="str">
        <f>"9783598251276"</f>
        <v>9783598251276</v>
      </c>
      <c r="D133" t="str">
        <f>"9783110232363"</f>
        <v>9783110232363</v>
      </c>
      <c r="E133" t="s">
        <v>346</v>
      </c>
      <c r="F133" t="s">
        <v>346</v>
      </c>
      <c r="G133" s="1">
        <v>41047</v>
      </c>
      <c r="H133" s="1">
        <v>41395</v>
      </c>
      <c r="I133" t="s">
        <v>189</v>
      </c>
      <c r="J133">
        <v>1</v>
      </c>
      <c r="L133" t="s">
        <v>413</v>
      </c>
    </row>
    <row r="134" spans="1:16" x14ac:dyDescent="0.35">
      <c r="A134">
        <v>893937</v>
      </c>
      <c r="B134" t="s">
        <v>609</v>
      </c>
      <c r="C134" t="str">
        <f>"9783110266290"</f>
        <v>9783110266290</v>
      </c>
      <c r="D134" t="str">
        <f>"9783110266306"</f>
        <v>9783110266306</v>
      </c>
      <c r="E134" t="s">
        <v>346</v>
      </c>
      <c r="F134" t="s">
        <v>346</v>
      </c>
      <c r="G134" s="1">
        <v>41058</v>
      </c>
      <c r="H134" s="1">
        <v>42012</v>
      </c>
      <c r="I134" t="s">
        <v>189</v>
      </c>
      <c r="J134">
        <v>1</v>
      </c>
      <c r="K134" t="s">
        <v>547</v>
      </c>
      <c r="L134" t="s">
        <v>610</v>
      </c>
    </row>
    <row r="135" spans="1:16" x14ac:dyDescent="0.35">
      <c r="A135">
        <v>894020</v>
      </c>
      <c r="B135" t="s">
        <v>611</v>
      </c>
      <c r="C135" t="str">
        <f>"9783110269505"</f>
        <v>9783110269505</v>
      </c>
      <c r="D135" t="str">
        <f>"9783110269598"</f>
        <v>9783110269598</v>
      </c>
      <c r="E135" t="s">
        <v>415</v>
      </c>
      <c r="F135" t="s">
        <v>416</v>
      </c>
      <c r="G135" s="1">
        <v>41241</v>
      </c>
      <c r="H135" s="1">
        <v>41994</v>
      </c>
      <c r="I135" t="s">
        <v>189</v>
      </c>
      <c r="J135">
        <v>1</v>
      </c>
      <c r="K135" t="s">
        <v>612</v>
      </c>
      <c r="L135" t="s">
        <v>530</v>
      </c>
    </row>
    <row r="136" spans="1:16" x14ac:dyDescent="0.35">
      <c r="A136">
        <v>894021</v>
      </c>
      <c r="B136" t="s">
        <v>613</v>
      </c>
      <c r="C136" t="str">
        <f>"9783110253269"</f>
        <v>9783110253269</v>
      </c>
      <c r="D136" t="str">
        <f>"9783110263121"</f>
        <v>9783110263121</v>
      </c>
      <c r="E136" t="s">
        <v>415</v>
      </c>
      <c r="F136" t="s">
        <v>416</v>
      </c>
      <c r="G136" s="1">
        <v>41138</v>
      </c>
      <c r="H136" s="1">
        <v>41994</v>
      </c>
      <c r="I136" t="s">
        <v>189</v>
      </c>
      <c r="J136">
        <v>1</v>
      </c>
      <c r="K136" t="s">
        <v>347</v>
      </c>
      <c r="L136" t="s">
        <v>614</v>
      </c>
    </row>
    <row r="137" spans="1:16" x14ac:dyDescent="0.35">
      <c r="A137">
        <v>894152</v>
      </c>
      <c r="B137" t="s">
        <v>615</v>
      </c>
      <c r="C137" t="str">
        <f>"9781614511281"</f>
        <v>9781614511281</v>
      </c>
      <c r="D137" t="str">
        <f>"9781614511014"</f>
        <v>9781614511014</v>
      </c>
      <c r="E137" t="s">
        <v>346</v>
      </c>
      <c r="F137" t="s">
        <v>346</v>
      </c>
      <c r="G137" s="1">
        <v>41564</v>
      </c>
      <c r="H137" s="1">
        <v>41572</v>
      </c>
      <c r="I137" t="s">
        <v>189</v>
      </c>
      <c r="J137">
        <v>1</v>
      </c>
      <c r="L137" t="s">
        <v>616</v>
      </c>
      <c r="M137" t="s">
        <v>199</v>
      </c>
      <c r="N137" t="s">
        <v>617</v>
      </c>
      <c r="O137">
        <v>193</v>
      </c>
      <c r="P137" t="s">
        <v>618</v>
      </c>
    </row>
    <row r="138" spans="1:16" x14ac:dyDescent="0.35">
      <c r="A138">
        <v>913001</v>
      </c>
      <c r="B138" t="s">
        <v>619</v>
      </c>
      <c r="C138" t="str">
        <f>"9783110265958"</f>
        <v>9783110265958</v>
      </c>
      <c r="D138" t="str">
        <f>"9783110266405"</f>
        <v>9783110266405</v>
      </c>
      <c r="E138" t="s">
        <v>346</v>
      </c>
      <c r="F138" t="s">
        <v>346</v>
      </c>
      <c r="G138" s="1">
        <v>41729</v>
      </c>
      <c r="H138" s="1">
        <v>41822</v>
      </c>
      <c r="I138" t="s">
        <v>189</v>
      </c>
      <c r="J138">
        <v>1</v>
      </c>
      <c r="K138" t="s">
        <v>547</v>
      </c>
      <c r="L138" t="s">
        <v>620</v>
      </c>
    </row>
    <row r="139" spans="1:16" x14ac:dyDescent="0.35">
      <c r="A139">
        <v>913211</v>
      </c>
      <c r="B139" t="s">
        <v>621</v>
      </c>
      <c r="C139" t="str">
        <f>"9783110222111"</f>
        <v>9783110222111</v>
      </c>
      <c r="D139" t="str">
        <f>"9783110222128"</f>
        <v>9783110222128</v>
      </c>
      <c r="E139" t="s">
        <v>346</v>
      </c>
      <c r="F139" t="s">
        <v>346</v>
      </c>
      <c r="G139" s="1">
        <v>40742</v>
      </c>
      <c r="H139" s="1">
        <v>40751</v>
      </c>
      <c r="I139" t="s">
        <v>189</v>
      </c>
      <c r="J139">
        <v>1</v>
      </c>
      <c r="K139" t="s">
        <v>547</v>
      </c>
      <c r="L139" t="s">
        <v>596</v>
      </c>
    </row>
    <row r="140" spans="1:16" x14ac:dyDescent="0.35">
      <c r="A140">
        <v>913221</v>
      </c>
      <c r="B140" t="s">
        <v>622</v>
      </c>
      <c r="C140" t="str">
        <f>"9783110265941"</f>
        <v>9783110265941</v>
      </c>
      <c r="D140" t="str">
        <f>"9783110370324"</f>
        <v>9783110370324</v>
      </c>
      <c r="E140" t="s">
        <v>346</v>
      </c>
      <c r="F140" t="s">
        <v>346</v>
      </c>
      <c r="G140" s="1">
        <v>41715</v>
      </c>
      <c r="H140" s="1">
        <v>41730</v>
      </c>
      <c r="I140" t="s">
        <v>189</v>
      </c>
      <c r="J140">
        <v>1</v>
      </c>
      <c r="K140" t="s">
        <v>547</v>
      </c>
      <c r="L140" t="s">
        <v>623</v>
      </c>
    </row>
    <row r="141" spans="1:16" x14ac:dyDescent="0.35">
      <c r="A141">
        <v>913346</v>
      </c>
      <c r="B141" t="s">
        <v>624</v>
      </c>
      <c r="C141" t="str">
        <f>"9783110258905"</f>
        <v>9783110258905</v>
      </c>
      <c r="D141" t="str">
        <f>"9783110258912"</f>
        <v>9783110258912</v>
      </c>
      <c r="E141" t="s">
        <v>346</v>
      </c>
      <c r="F141" t="s">
        <v>346</v>
      </c>
      <c r="G141" s="1">
        <v>41415</v>
      </c>
      <c r="H141" s="1">
        <v>41994</v>
      </c>
      <c r="I141" t="s">
        <v>189</v>
      </c>
      <c r="J141">
        <v>1</v>
      </c>
      <c r="K141" t="s">
        <v>547</v>
      </c>
      <c r="L141" t="s">
        <v>610</v>
      </c>
    </row>
    <row r="142" spans="1:16" x14ac:dyDescent="0.35">
      <c r="A142">
        <v>913372</v>
      </c>
      <c r="B142" t="s">
        <v>625</v>
      </c>
      <c r="C142" t="str">
        <f>"9783110276343"</f>
        <v>9783110276343</v>
      </c>
      <c r="D142" t="str">
        <f>"9783110278736"</f>
        <v>9783110278736</v>
      </c>
      <c r="E142" t="s">
        <v>415</v>
      </c>
      <c r="F142" t="s">
        <v>416</v>
      </c>
      <c r="G142" s="1">
        <v>41534</v>
      </c>
      <c r="H142" s="1">
        <v>41921</v>
      </c>
      <c r="I142" t="s">
        <v>189</v>
      </c>
      <c r="J142">
        <v>1</v>
      </c>
      <c r="K142" t="s">
        <v>529</v>
      </c>
      <c r="L142" t="s">
        <v>626</v>
      </c>
    </row>
    <row r="143" spans="1:16" x14ac:dyDescent="0.35">
      <c r="A143">
        <v>919818</v>
      </c>
      <c r="B143" t="s">
        <v>627</v>
      </c>
      <c r="C143" t="str">
        <f>"9783110295948"</f>
        <v>9783110295948</v>
      </c>
      <c r="D143" t="str">
        <f>"9783110296433"</f>
        <v>9783110296433</v>
      </c>
      <c r="E143" t="s">
        <v>346</v>
      </c>
      <c r="F143" t="s">
        <v>346</v>
      </c>
      <c r="G143" s="1">
        <v>41348</v>
      </c>
      <c r="H143" s="1">
        <v>41994</v>
      </c>
      <c r="I143" t="s">
        <v>189</v>
      </c>
      <c r="J143">
        <v>1</v>
      </c>
      <c r="K143" t="s">
        <v>628</v>
      </c>
      <c r="L143" t="s">
        <v>629</v>
      </c>
    </row>
    <row r="144" spans="1:16" x14ac:dyDescent="0.35">
      <c r="A144">
        <v>919841</v>
      </c>
      <c r="B144" t="s">
        <v>630</v>
      </c>
      <c r="C144" t="str">
        <f>"9783110200591"</f>
        <v>9783110200591</v>
      </c>
      <c r="D144" t="str">
        <f>"9783110227369"</f>
        <v>9783110227369</v>
      </c>
      <c r="E144" t="s">
        <v>346</v>
      </c>
      <c r="F144" t="s">
        <v>346</v>
      </c>
      <c r="G144" s="1">
        <v>41870</v>
      </c>
      <c r="H144" s="1">
        <v>42220</v>
      </c>
      <c r="I144" t="s">
        <v>189</v>
      </c>
      <c r="J144">
        <v>1</v>
      </c>
      <c r="K144" t="s">
        <v>631</v>
      </c>
      <c r="L144" t="s">
        <v>632</v>
      </c>
    </row>
    <row r="145" spans="1:16" x14ac:dyDescent="0.35">
      <c r="A145">
        <v>936984</v>
      </c>
      <c r="B145" t="s">
        <v>633</v>
      </c>
      <c r="C145" t="str">
        <f>"9783899493856"</f>
        <v>9783899493856</v>
      </c>
      <c r="D145" t="str">
        <f>"9783110914665"</f>
        <v>9783110914665</v>
      </c>
      <c r="E145" t="s">
        <v>346</v>
      </c>
      <c r="F145" t="s">
        <v>346</v>
      </c>
      <c r="G145" s="1">
        <v>39170</v>
      </c>
      <c r="H145" s="1">
        <v>41395</v>
      </c>
      <c r="I145" t="s">
        <v>189</v>
      </c>
      <c r="J145">
        <v>1</v>
      </c>
      <c r="K145" t="s">
        <v>552</v>
      </c>
      <c r="L145" t="s">
        <v>634</v>
      </c>
    </row>
    <row r="146" spans="1:16" x14ac:dyDescent="0.35">
      <c r="A146">
        <v>937321</v>
      </c>
      <c r="B146" t="s">
        <v>635</v>
      </c>
      <c r="C146" t="str">
        <f>"9783899492194"</f>
        <v>9783899492194</v>
      </c>
      <c r="D146" t="str">
        <f>"9783110895414"</f>
        <v>9783110895414</v>
      </c>
      <c r="E146" t="s">
        <v>346</v>
      </c>
      <c r="F146" t="s">
        <v>346</v>
      </c>
      <c r="G146" s="1">
        <v>38497</v>
      </c>
      <c r="H146" s="1">
        <v>41395</v>
      </c>
      <c r="I146" t="s">
        <v>189</v>
      </c>
      <c r="J146">
        <v>1</v>
      </c>
      <c r="K146" t="s">
        <v>552</v>
      </c>
      <c r="L146" t="s">
        <v>636</v>
      </c>
    </row>
    <row r="147" spans="1:16" x14ac:dyDescent="0.35">
      <c r="A147">
        <v>955842</v>
      </c>
      <c r="B147" t="s">
        <v>637</v>
      </c>
      <c r="C147" t="str">
        <f>"9783598251283"</f>
        <v>9783598251283</v>
      </c>
      <c r="D147" t="str">
        <f>"9783110298871"</f>
        <v>9783110298871</v>
      </c>
      <c r="E147" t="s">
        <v>346</v>
      </c>
      <c r="F147" t="s">
        <v>346</v>
      </c>
      <c r="G147" s="1">
        <v>41593</v>
      </c>
      <c r="H147" s="1">
        <v>41618</v>
      </c>
      <c r="I147" t="s">
        <v>189</v>
      </c>
      <c r="J147">
        <v>1</v>
      </c>
      <c r="L147" t="s">
        <v>413</v>
      </c>
    </row>
    <row r="148" spans="1:16" x14ac:dyDescent="0.35">
      <c r="A148">
        <v>1046677</v>
      </c>
      <c r="B148" t="s">
        <v>638</v>
      </c>
      <c r="C148" t="str">
        <f>"9783110265903"</f>
        <v>9783110265903</v>
      </c>
      <c r="D148" t="str">
        <f>"9783110266887"</f>
        <v>9783110266887</v>
      </c>
      <c r="E148" t="s">
        <v>346</v>
      </c>
      <c r="F148" t="s">
        <v>346</v>
      </c>
      <c r="G148" s="1">
        <v>41627</v>
      </c>
      <c r="H148" s="1">
        <v>41680</v>
      </c>
      <c r="I148" t="s">
        <v>189</v>
      </c>
      <c r="J148">
        <v>1</v>
      </c>
      <c r="K148" t="s">
        <v>354</v>
      </c>
      <c r="L148" t="s">
        <v>639</v>
      </c>
      <c r="M148" t="s">
        <v>239</v>
      </c>
    </row>
    <row r="149" spans="1:16" x14ac:dyDescent="0.35">
      <c r="A149">
        <v>1069475</v>
      </c>
      <c r="B149" t="s">
        <v>640</v>
      </c>
      <c r="C149" t="str">
        <f>"9780719057496"</f>
        <v>9780719057496</v>
      </c>
      <c r="D149" t="str">
        <f>"9781847791276"</f>
        <v>9781847791276</v>
      </c>
      <c r="E149" t="s">
        <v>188</v>
      </c>
      <c r="F149" t="s">
        <v>188</v>
      </c>
      <c r="G149" s="1">
        <v>37455</v>
      </c>
      <c r="H149" s="1">
        <v>41227</v>
      </c>
      <c r="I149" t="s">
        <v>189</v>
      </c>
      <c r="J149">
        <v>1</v>
      </c>
      <c r="L149" t="s">
        <v>641</v>
      </c>
    </row>
    <row r="150" spans="1:16" x14ac:dyDescent="0.35">
      <c r="A150">
        <v>1069507</v>
      </c>
      <c r="B150" t="s">
        <v>642</v>
      </c>
      <c r="C150" t="str">
        <f>"9780719068782"</f>
        <v>9780719068782</v>
      </c>
      <c r="D150" t="str">
        <f>"9781847792723"</f>
        <v>9781847792723</v>
      </c>
      <c r="E150" t="s">
        <v>188</v>
      </c>
      <c r="F150" t="s">
        <v>188</v>
      </c>
      <c r="G150" s="1">
        <v>38598</v>
      </c>
      <c r="H150" s="1">
        <v>41227</v>
      </c>
      <c r="I150" t="s">
        <v>189</v>
      </c>
      <c r="J150">
        <v>1</v>
      </c>
      <c r="L150" t="s">
        <v>643</v>
      </c>
      <c r="M150" t="s">
        <v>219</v>
      </c>
    </row>
    <row r="151" spans="1:16" x14ac:dyDescent="0.35">
      <c r="A151">
        <v>1075567</v>
      </c>
      <c r="B151" t="s">
        <v>644</v>
      </c>
      <c r="C151" t="str">
        <f>"9783110310412"</f>
        <v>9783110310412</v>
      </c>
      <c r="D151" t="str">
        <f>"9783110310511"</f>
        <v>9783110310511</v>
      </c>
      <c r="E151" t="s">
        <v>415</v>
      </c>
      <c r="F151" t="s">
        <v>416</v>
      </c>
      <c r="G151" s="1">
        <v>41988</v>
      </c>
      <c r="H151" s="1">
        <v>42113</v>
      </c>
      <c r="I151" t="s">
        <v>189</v>
      </c>
      <c r="J151">
        <v>1</v>
      </c>
      <c r="L151" t="s">
        <v>645</v>
      </c>
    </row>
    <row r="152" spans="1:16" x14ac:dyDescent="0.35">
      <c r="A152">
        <v>1075610</v>
      </c>
      <c r="B152" t="s">
        <v>646</v>
      </c>
      <c r="C152" t="str">
        <f>"9783110265026"</f>
        <v>9783110265026</v>
      </c>
      <c r="D152" t="str">
        <f>"9783110310351"</f>
        <v>9783110310351</v>
      </c>
      <c r="E152" t="s">
        <v>346</v>
      </c>
      <c r="F152" t="s">
        <v>346</v>
      </c>
      <c r="G152" s="1">
        <v>41443</v>
      </c>
      <c r="H152" s="1">
        <v>41533</v>
      </c>
      <c r="I152" t="s">
        <v>189</v>
      </c>
      <c r="J152">
        <v>1</v>
      </c>
      <c r="K152" t="s">
        <v>354</v>
      </c>
      <c r="L152" t="s">
        <v>647</v>
      </c>
    </row>
    <row r="153" spans="1:16" x14ac:dyDescent="0.35">
      <c r="A153">
        <v>1094221</v>
      </c>
      <c r="B153" t="s">
        <v>648</v>
      </c>
      <c r="C153" t="str">
        <f>"9783110312713"</f>
        <v>9783110312713</v>
      </c>
      <c r="D153" t="str">
        <f>"9783110312836"</f>
        <v>9783110312836</v>
      </c>
      <c r="E153" t="s">
        <v>415</v>
      </c>
      <c r="F153" t="s">
        <v>416</v>
      </c>
      <c r="G153" s="1">
        <v>41876</v>
      </c>
      <c r="H153" s="1">
        <v>41921</v>
      </c>
      <c r="I153" t="s">
        <v>189</v>
      </c>
      <c r="J153">
        <v>1</v>
      </c>
      <c r="K153" t="s">
        <v>612</v>
      </c>
      <c r="L153" t="s">
        <v>649</v>
      </c>
      <c r="M153" t="s">
        <v>379</v>
      </c>
      <c r="N153" t="s">
        <v>650</v>
      </c>
      <c r="O153">
        <v>26</v>
      </c>
      <c r="P153" t="s">
        <v>651</v>
      </c>
    </row>
    <row r="154" spans="1:16" x14ac:dyDescent="0.35">
      <c r="A154">
        <v>1102270</v>
      </c>
      <c r="B154" t="s">
        <v>652</v>
      </c>
      <c r="C154" t="str">
        <f>"9781439909096"</f>
        <v>9781439909096</v>
      </c>
      <c r="D154" t="str">
        <f>"9781439909119"</f>
        <v>9781439909119</v>
      </c>
      <c r="E154" t="s">
        <v>321</v>
      </c>
      <c r="F154" t="s">
        <v>321</v>
      </c>
      <c r="G154" s="1">
        <v>41271</v>
      </c>
      <c r="H154" s="1">
        <v>41481</v>
      </c>
      <c r="I154" t="s">
        <v>189</v>
      </c>
      <c r="J154">
        <v>1</v>
      </c>
      <c r="L154" t="s">
        <v>653</v>
      </c>
      <c r="M154" t="s">
        <v>249</v>
      </c>
    </row>
    <row r="155" spans="1:16" x14ac:dyDescent="0.35">
      <c r="A155">
        <v>1108072</v>
      </c>
      <c r="B155" t="s">
        <v>654</v>
      </c>
      <c r="C155" t="str">
        <f>"9783110306675"</f>
        <v>9783110306675</v>
      </c>
      <c r="D155" t="str">
        <f>"9783110306897"</f>
        <v>9783110306897</v>
      </c>
      <c r="E155" t="s">
        <v>346</v>
      </c>
      <c r="F155" t="s">
        <v>346</v>
      </c>
      <c r="G155" s="1">
        <v>41304</v>
      </c>
      <c r="H155" s="1">
        <v>41275</v>
      </c>
      <c r="I155" t="s">
        <v>189</v>
      </c>
      <c r="J155">
        <v>1</v>
      </c>
      <c r="K155" t="s">
        <v>628</v>
      </c>
      <c r="L155" t="s">
        <v>655</v>
      </c>
    </row>
    <row r="156" spans="1:16" x14ac:dyDescent="0.35">
      <c r="A156">
        <v>1121564</v>
      </c>
      <c r="B156" t="s">
        <v>656</v>
      </c>
      <c r="C156" t="str">
        <f>"9783110295450"</f>
        <v>9783110295450</v>
      </c>
      <c r="D156" t="str">
        <f>"9783110295467"</f>
        <v>9783110295467</v>
      </c>
      <c r="E156" t="s">
        <v>346</v>
      </c>
      <c r="F156" t="s">
        <v>346</v>
      </c>
      <c r="G156" s="1">
        <v>41443</v>
      </c>
      <c r="H156" s="1">
        <v>42013</v>
      </c>
      <c r="I156" t="s">
        <v>189</v>
      </c>
      <c r="J156">
        <v>1</v>
      </c>
      <c r="L156" t="s">
        <v>657</v>
      </c>
    </row>
    <row r="157" spans="1:16" x14ac:dyDescent="0.35">
      <c r="A157">
        <v>1121566</v>
      </c>
      <c r="B157" t="s">
        <v>658</v>
      </c>
      <c r="C157" t="str">
        <f>"9788376560076"</f>
        <v>9788376560076</v>
      </c>
      <c r="D157" t="str">
        <f>"9788376560083"</f>
        <v>9788376560083</v>
      </c>
      <c r="E157" t="s">
        <v>415</v>
      </c>
      <c r="F157" t="s">
        <v>659</v>
      </c>
      <c r="G157" s="1">
        <v>41293</v>
      </c>
      <c r="H157" s="1">
        <v>41275</v>
      </c>
      <c r="I157" t="s">
        <v>189</v>
      </c>
      <c r="J157">
        <v>1</v>
      </c>
      <c r="L157" t="s">
        <v>660</v>
      </c>
    </row>
    <row r="158" spans="1:16" x14ac:dyDescent="0.35">
      <c r="A158">
        <v>1121606</v>
      </c>
      <c r="B158" t="s">
        <v>661</v>
      </c>
      <c r="C158" t="str">
        <f>"9783110314588"</f>
        <v>9783110314588</v>
      </c>
      <c r="D158" t="str">
        <f>"9783110314724"</f>
        <v>9783110314724</v>
      </c>
      <c r="E158" t="s">
        <v>346</v>
      </c>
      <c r="F158" t="s">
        <v>346</v>
      </c>
      <c r="G158" s="1">
        <v>41505</v>
      </c>
      <c r="H158" s="1">
        <v>41921</v>
      </c>
      <c r="I158" t="s">
        <v>189</v>
      </c>
      <c r="J158">
        <v>1</v>
      </c>
      <c r="K158" t="s">
        <v>662</v>
      </c>
      <c r="L158" t="s">
        <v>663</v>
      </c>
    </row>
    <row r="159" spans="1:16" x14ac:dyDescent="0.35">
      <c r="A159">
        <v>1130323</v>
      </c>
      <c r="B159" t="s">
        <v>664</v>
      </c>
      <c r="C159" t="str">
        <f>"9783110306224"</f>
        <v>9783110306224</v>
      </c>
      <c r="D159" t="str">
        <f>"9783110306422"</f>
        <v>9783110306422</v>
      </c>
      <c r="E159" t="s">
        <v>415</v>
      </c>
      <c r="F159" t="s">
        <v>665</v>
      </c>
      <c r="G159" s="1">
        <v>41870</v>
      </c>
      <c r="H159" s="1">
        <v>41885</v>
      </c>
      <c r="I159" t="s">
        <v>189</v>
      </c>
      <c r="J159">
        <v>1</v>
      </c>
      <c r="K159" t="s">
        <v>666</v>
      </c>
      <c r="L159" t="s">
        <v>667</v>
      </c>
    </row>
    <row r="160" spans="1:16" x14ac:dyDescent="0.35">
      <c r="A160">
        <v>1130369</v>
      </c>
      <c r="B160" t="s">
        <v>668</v>
      </c>
      <c r="C160" t="str">
        <f>"9783110301816"</f>
        <v>9783110301816</v>
      </c>
      <c r="D160" t="str">
        <f>"9783110301939"</f>
        <v>9783110301939</v>
      </c>
      <c r="E160" t="s">
        <v>346</v>
      </c>
      <c r="F160" t="s">
        <v>346</v>
      </c>
      <c r="G160" s="1">
        <v>41443</v>
      </c>
      <c r="H160" s="1">
        <v>41533</v>
      </c>
      <c r="I160" t="s">
        <v>189</v>
      </c>
      <c r="J160">
        <v>1</v>
      </c>
      <c r="K160" t="s">
        <v>552</v>
      </c>
      <c r="L160" t="s">
        <v>669</v>
      </c>
    </row>
    <row r="161" spans="1:40" x14ac:dyDescent="0.35">
      <c r="A161">
        <v>1139075</v>
      </c>
      <c r="B161" t="s">
        <v>670</v>
      </c>
      <c r="C161" t="str">
        <f>"9783110311174"</f>
        <v>9783110311174</v>
      </c>
      <c r="D161" t="str">
        <f>"9783110311358"</f>
        <v>9783110311358</v>
      </c>
      <c r="E161" t="s">
        <v>346</v>
      </c>
      <c r="F161" t="s">
        <v>346</v>
      </c>
      <c r="G161" s="1">
        <v>41621</v>
      </c>
      <c r="H161" s="1">
        <v>41921</v>
      </c>
      <c r="I161" t="s">
        <v>189</v>
      </c>
      <c r="J161">
        <v>1</v>
      </c>
      <c r="K161" t="s">
        <v>547</v>
      </c>
      <c r="L161" t="s">
        <v>671</v>
      </c>
    </row>
    <row r="162" spans="1:40" x14ac:dyDescent="0.35">
      <c r="A162">
        <v>1157178</v>
      </c>
      <c r="B162" t="s">
        <v>672</v>
      </c>
      <c r="C162" t="str">
        <f>"9783110319309"</f>
        <v>9783110319309</v>
      </c>
      <c r="D162" t="str">
        <f>"9783110319798"</f>
        <v>9783110319798</v>
      </c>
      <c r="E162" t="s">
        <v>346</v>
      </c>
      <c r="F162" t="s">
        <v>346</v>
      </c>
      <c r="G162" s="1">
        <v>41564</v>
      </c>
      <c r="H162" s="1">
        <v>41572</v>
      </c>
      <c r="I162" t="s">
        <v>189</v>
      </c>
      <c r="J162">
        <v>1</v>
      </c>
      <c r="K162" t="s">
        <v>666</v>
      </c>
      <c r="L162" t="s">
        <v>673</v>
      </c>
    </row>
    <row r="163" spans="1:40" x14ac:dyDescent="0.35">
      <c r="A163">
        <v>1157200</v>
      </c>
      <c r="B163" t="s">
        <v>674</v>
      </c>
      <c r="C163" t="str">
        <f>"9788376560021"</f>
        <v>9788376560021</v>
      </c>
      <c r="D163" t="str">
        <f>"9788376560014"</f>
        <v>9788376560014</v>
      </c>
      <c r="E163" t="s">
        <v>415</v>
      </c>
      <c r="F163" t="s">
        <v>659</v>
      </c>
      <c r="G163" s="1">
        <v>41344</v>
      </c>
      <c r="H163" s="1">
        <v>41243</v>
      </c>
      <c r="I163" t="s">
        <v>189</v>
      </c>
      <c r="J163">
        <v>1</v>
      </c>
      <c r="L163" t="s">
        <v>675</v>
      </c>
      <c r="M163" t="s">
        <v>676</v>
      </c>
      <c r="N163" t="s">
        <v>677</v>
      </c>
      <c r="O163">
        <v>410</v>
      </c>
      <c r="P163" t="s">
        <v>678</v>
      </c>
    </row>
    <row r="164" spans="1:40" x14ac:dyDescent="0.35">
      <c r="A164">
        <v>1157244</v>
      </c>
      <c r="B164" t="s">
        <v>679</v>
      </c>
      <c r="C164" t="str">
        <f>"9788376560045"</f>
        <v>9788376560045</v>
      </c>
      <c r="D164" t="str">
        <f>"9788376560052"</f>
        <v>9788376560052</v>
      </c>
      <c r="E164" t="s">
        <v>415</v>
      </c>
      <c r="F164" t="s">
        <v>659</v>
      </c>
      <c r="G164" s="1">
        <v>41341</v>
      </c>
      <c r="H164" s="1">
        <v>41338</v>
      </c>
      <c r="I164" t="s">
        <v>189</v>
      </c>
      <c r="J164">
        <v>1</v>
      </c>
      <c r="L164" t="s">
        <v>680</v>
      </c>
      <c r="M164" t="s">
        <v>578</v>
      </c>
      <c r="N164" t="s">
        <v>681</v>
      </c>
      <c r="O164">
        <v>700</v>
      </c>
      <c r="P164" t="s">
        <v>682</v>
      </c>
    </row>
    <row r="165" spans="1:40" x14ac:dyDescent="0.35">
      <c r="A165">
        <v>1164716</v>
      </c>
      <c r="B165" t="s">
        <v>683</v>
      </c>
      <c r="C165" t="str">
        <f>"9783110315912"</f>
        <v>9783110315912</v>
      </c>
      <c r="D165" t="str">
        <f>"9783110315981"</f>
        <v>9783110315981</v>
      </c>
      <c r="E165" t="s">
        <v>346</v>
      </c>
      <c r="F165" t="s">
        <v>346</v>
      </c>
      <c r="G165" s="1">
        <v>41472</v>
      </c>
      <c r="H165" s="1">
        <v>41533</v>
      </c>
      <c r="I165" t="s">
        <v>189</v>
      </c>
      <c r="J165">
        <v>1</v>
      </c>
      <c r="K165" t="s">
        <v>684</v>
      </c>
      <c r="L165" t="s">
        <v>685</v>
      </c>
    </row>
    <row r="166" spans="1:40" x14ac:dyDescent="0.35">
      <c r="A166">
        <v>1167593</v>
      </c>
      <c r="B166" t="s">
        <v>686</v>
      </c>
      <c r="C166" t="str">
        <f>"9780822342618"</f>
        <v>9780822342618</v>
      </c>
      <c r="D166" t="str">
        <f>"9780822381204"</f>
        <v>9780822381204</v>
      </c>
      <c r="E166" t="s">
        <v>687</v>
      </c>
      <c r="F166" t="s">
        <v>687</v>
      </c>
      <c r="G166" s="1">
        <v>39686</v>
      </c>
      <c r="H166" s="1">
        <v>41373</v>
      </c>
      <c r="I166" t="s">
        <v>189</v>
      </c>
      <c r="J166">
        <v>1</v>
      </c>
      <c r="L166" t="s">
        <v>688</v>
      </c>
      <c r="M166" t="s">
        <v>329</v>
      </c>
      <c r="N166" t="s">
        <v>689</v>
      </c>
      <c r="O166">
        <v>306</v>
      </c>
      <c r="Q166" t="s">
        <v>260</v>
      </c>
      <c r="R166" t="s">
        <v>261</v>
      </c>
      <c r="S166" t="s">
        <v>261</v>
      </c>
      <c r="T166" t="s">
        <v>261</v>
      </c>
      <c r="U166" t="s">
        <v>261</v>
      </c>
      <c r="V166" t="s">
        <v>262</v>
      </c>
      <c r="W166" t="s">
        <v>261</v>
      </c>
      <c r="X166" t="s">
        <v>261</v>
      </c>
      <c r="Y166" t="s">
        <v>261</v>
      </c>
      <c r="Z166" t="s">
        <v>409</v>
      </c>
      <c r="AB166" t="s">
        <v>409</v>
      </c>
      <c r="AC166" t="s">
        <v>409</v>
      </c>
      <c r="AD166" t="s">
        <v>262</v>
      </c>
      <c r="AE166">
        <v>10243723</v>
      </c>
      <c r="AF166">
        <v>306213</v>
      </c>
      <c r="AH166" t="s">
        <v>262</v>
      </c>
      <c r="AI166" t="s">
        <v>262</v>
      </c>
      <c r="AJ166" t="s">
        <v>261</v>
      </c>
      <c r="AK166" t="s">
        <v>261</v>
      </c>
      <c r="AM166" t="s">
        <v>262</v>
      </c>
      <c r="AN166" t="s">
        <v>690</v>
      </c>
    </row>
    <row r="167" spans="1:40" x14ac:dyDescent="0.35">
      <c r="A167">
        <v>1168075</v>
      </c>
      <c r="B167" t="s">
        <v>691</v>
      </c>
      <c r="C167" t="str">
        <f>"9780822333555"</f>
        <v>9780822333555</v>
      </c>
      <c r="D167" t="str">
        <f>"9780822386063"</f>
        <v>9780822386063</v>
      </c>
      <c r="E167" t="s">
        <v>687</v>
      </c>
      <c r="F167" t="s">
        <v>687</v>
      </c>
      <c r="G167" s="1">
        <v>38320</v>
      </c>
      <c r="H167" s="1">
        <v>41375</v>
      </c>
      <c r="I167" t="s">
        <v>189</v>
      </c>
      <c r="J167">
        <v>1</v>
      </c>
      <c r="L167" t="s">
        <v>692</v>
      </c>
    </row>
    <row r="168" spans="1:40" x14ac:dyDescent="0.35">
      <c r="A168">
        <v>1169274</v>
      </c>
      <c r="B168" t="s">
        <v>693</v>
      </c>
      <c r="C168" t="str">
        <f>"9780822337805"</f>
        <v>9780822337805</v>
      </c>
      <c r="D168" t="str">
        <f>"9780822387749"</f>
        <v>9780822387749</v>
      </c>
      <c r="E168" t="s">
        <v>687</v>
      </c>
      <c r="F168" t="s">
        <v>687</v>
      </c>
      <c r="G168" s="1">
        <v>38840</v>
      </c>
      <c r="H168" s="1">
        <v>41377</v>
      </c>
      <c r="I168" t="s">
        <v>189</v>
      </c>
      <c r="J168">
        <v>1</v>
      </c>
      <c r="L168" t="s">
        <v>694</v>
      </c>
      <c r="M168" t="s">
        <v>578</v>
      </c>
    </row>
    <row r="169" spans="1:40" x14ac:dyDescent="0.35">
      <c r="A169">
        <v>1169866</v>
      </c>
      <c r="B169" t="s">
        <v>695</v>
      </c>
      <c r="C169" t="str">
        <f>"9780822339052"</f>
        <v>9780822339052</v>
      </c>
      <c r="D169" t="str">
        <f>"9780822389620"</f>
        <v>9780822389620</v>
      </c>
      <c r="E169" t="s">
        <v>687</v>
      </c>
      <c r="F169" t="s">
        <v>687</v>
      </c>
      <c r="G169" s="1">
        <v>39091</v>
      </c>
      <c r="H169" s="1">
        <v>41377</v>
      </c>
      <c r="I169" t="s">
        <v>189</v>
      </c>
      <c r="J169">
        <v>1</v>
      </c>
      <c r="L169" t="s">
        <v>696</v>
      </c>
      <c r="M169" t="s">
        <v>239</v>
      </c>
      <c r="N169" t="s">
        <v>697</v>
      </c>
      <c r="O169">
        <v>940</v>
      </c>
      <c r="Q169" t="s">
        <v>260</v>
      </c>
      <c r="R169" t="s">
        <v>261</v>
      </c>
      <c r="S169" t="s">
        <v>261</v>
      </c>
      <c r="T169" t="s">
        <v>261</v>
      </c>
      <c r="U169" t="s">
        <v>261</v>
      </c>
      <c r="V169" t="s">
        <v>262</v>
      </c>
      <c r="W169" t="s">
        <v>261</v>
      </c>
      <c r="X169" t="s">
        <v>261</v>
      </c>
      <c r="Y169" t="s">
        <v>261</v>
      </c>
      <c r="Z169" t="s">
        <v>409</v>
      </c>
      <c r="AB169" t="s">
        <v>409</v>
      </c>
      <c r="AC169" t="s">
        <v>409</v>
      </c>
      <c r="AD169" t="s">
        <v>262</v>
      </c>
      <c r="AE169">
        <v>10217159</v>
      </c>
      <c r="AF169">
        <v>302309</v>
      </c>
      <c r="AH169" t="s">
        <v>262</v>
      </c>
      <c r="AI169" t="s">
        <v>262</v>
      </c>
      <c r="AJ169" t="s">
        <v>261</v>
      </c>
      <c r="AK169" t="s">
        <v>261</v>
      </c>
      <c r="AM169" t="s">
        <v>262</v>
      </c>
      <c r="AN169" t="s">
        <v>698</v>
      </c>
    </row>
    <row r="170" spans="1:40" x14ac:dyDescent="0.35">
      <c r="A170">
        <v>1169875</v>
      </c>
      <c r="B170" t="s">
        <v>699</v>
      </c>
      <c r="C170" t="str">
        <f>"9780822342229"</f>
        <v>9780822342229</v>
      </c>
      <c r="D170" t="str">
        <f>"9780822389132"</f>
        <v>9780822389132</v>
      </c>
      <c r="E170" t="s">
        <v>687</v>
      </c>
      <c r="F170" t="s">
        <v>687</v>
      </c>
      <c r="G170" s="1">
        <v>39630</v>
      </c>
      <c r="H170" s="1">
        <v>41377</v>
      </c>
      <c r="I170" t="s">
        <v>189</v>
      </c>
      <c r="J170">
        <v>1</v>
      </c>
      <c r="L170" t="s">
        <v>700</v>
      </c>
      <c r="M170" t="s">
        <v>239</v>
      </c>
      <c r="N170" t="s">
        <v>701</v>
      </c>
      <c r="O170" t="s">
        <v>702</v>
      </c>
      <c r="Q170" t="s">
        <v>260</v>
      </c>
      <c r="R170" t="s">
        <v>262</v>
      </c>
      <c r="S170" t="s">
        <v>261</v>
      </c>
      <c r="T170" t="s">
        <v>261</v>
      </c>
      <c r="U170" t="s">
        <v>262</v>
      </c>
      <c r="V170" t="s">
        <v>262</v>
      </c>
      <c r="W170" t="s">
        <v>261</v>
      </c>
      <c r="X170" t="s">
        <v>262</v>
      </c>
      <c r="Y170" t="s">
        <v>262</v>
      </c>
      <c r="Z170" t="s">
        <v>703</v>
      </c>
      <c r="AB170" t="s">
        <v>704</v>
      </c>
      <c r="AC170" t="s">
        <v>703</v>
      </c>
      <c r="AD170" t="s">
        <v>262</v>
      </c>
      <c r="AE170">
        <v>10227855</v>
      </c>
      <c r="AF170">
        <v>302279</v>
      </c>
      <c r="AH170" t="s">
        <v>262</v>
      </c>
      <c r="AI170" t="s">
        <v>261</v>
      </c>
      <c r="AJ170" t="s">
        <v>261</v>
      </c>
      <c r="AK170" t="s">
        <v>261</v>
      </c>
      <c r="AM170" t="s">
        <v>262</v>
      </c>
      <c r="AN170" t="s">
        <v>705</v>
      </c>
    </row>
    <row r="171" spans="1:40" x14ac:dyDescent="0.35">
      <c r="A171">
        <v>1169886</v>
      </c>
      <c r="B171" t="s">
        <v>706</v>
      </c>
      <c r="C171" t="str">
        <f>"9780822339298"</f>
        <v>9780822339298</v>
      </c>
      <c r="D171" t="str">
        <f>"9780822389552"</f>
        <v>9780822389552</v>
      </c>
      <c r="E171" t="s">
        <v>687</v>
      </c>
      <c r="F171" t="s">
        <v>687</v>
      </c>
      <c r="G171" s="1">
        <v>39244</v>
      </c>
      <c r="H171" s="1">
        <v>41377</v>
      </c>
      <c r="I171" t="s">
        <v>189</v>
      </c>
      <c r="J171">
        <v>1</v>
      </c>
      <c r="K171" t="s">
        <v>707</v>
      </c>
      <c r="L171" t="s">
        <v>708</v>
      </c>
    </row>
    <row r="172" spans="1:40" x14ac:dyDescent="0.35">
      <c r="A172">
        <v>1169899</v>
      </c>
      <c r="B172" t="s">
        <v>709</v>
      </c>
      <c r="C172" t="str">
        <f>"9780822341406"</f>
        <v>9780822341406</v>
      </c>
      <c r="D172" t="str">
        <f>"9780822388876"</f>
        <v>9780822388876</v>
      </c>
      <c r="E172" t="s">
        <v>687</v>
      </c>
      <c r="F172" t="s">
        <v>687</v>
      </c>
      <c r="G172" s="1">
        <v>39539</v>
      </c>
      <c r="H172" s="1">
        <v>41377</v>
      </c>
      <c r="I172" t="s">
        <v>189</v>
      </c>
      <c r="J172">
        <v>1</v>
      </c>
      <c r="K172" t="s">
        <v>710</v>
      </c>
      <c r="L172" t="s">
        <v>711</v>
      </c>
      <c r="M172" t="s">
        <v>239</v>
      </c>
    </row>
    <row r="173" spans="1:40" x14ac:dyDescent="0.35">
      <c r="A173">
        <v>1169940</v>
      </c>
      <c r="B173" t="s">
        <v>712</v>
      </c>
      <c r="C173" t="str">
        <f>"9780822343479"</f>
        <v>9780822343479</v>
      </c>
      <c r="D173" t="str">
        <f>"9780822389460"</f>
        <v>9780822389460</v>
      </c>
      <c r="E173" t="s">
        <v>687</v>
      </c>
      <c r="F173" t="s">
        <v>687</v>
      </c>
      <c r="G173" s="1">
        <v>39829</v>
      </c>
      <c r="H173" s="1">
        <v>41377</v>
      </c>
      <c r="I173" t="s">
        <v>189</v>
      </c>
      <c r="J173">
        <v>1</v>
      </c>
      <c r="L173" t="s">
        <v>713</v>
      </c>
      <c r="M173" t="s">
        <v>329</v>
      </c>
      <c r="N173" t="s">
        <v>714</v>
      </c>
      <c r="O173" s="2">
        <v>361650982</v>
      </c>
      <c r="Q173" t="s">
        <v>260</v>
      </c>
      <c r="R173" t="s">
        <v>261</v>
      </c>
      <c r="S173" t="s">
        <v>261</v>
      </c>
      <c r="T173" t="s">
        <v>261</v>
      </c>
      <c r="U173" t="s">
        <v>261</v>
      </c>
      <c r="V173" t="s">
        <v>262</v>
      </c>
      <c r="W173" t="s">
        <v>261</v>
      </c>
      <c r="X173" t="s">
        <v>261</v>
      </c>
      <c r="Y173" t="s">
        <v>261</v>
      </c>
      <c r="Z173" t="s">
        <v>409</v>
      </c>
      <c r="AB173" t="s">
        <v>409</v>
      </c>
      <c r="AC173" t="s">
        <v>409</v>
      </c>
      <c r="AD173" t="s">
        <v>262</v>
      </c>
      <c r="AE173">
        <v>10294469</v>
      </c>
      <c r="AF173">
        <v>302294</v>
      </c>
      <c r="AH173" t="s">
        <v>262</v>
      </c>
      <c r="AI173" t="s">
        <v>262</v>
      </c>
      <c r="AJ173" t="s">
        <v>261</v>
      </c>
      <c r="AK173" t="s">
        <v>261</v>
      </c>
      <c r="AM173" t="s">
        <v>262</v>
      </c>
      <c r="AN173" t="s">
        <v>715</v>
      </c>
    </row>
    <row r="174" spans="1:40" x14ac:dyDescent="0.35">
      <c r="A174">
        <v>1170470</v>
      </c>
      <c r="B174" t="s">
        <v>716</v>
      </c>
      <c r="C174" t="str">
        <f>"9780822339755"</f>
        <v>9780822339755</v>
      </c>
      <c r="D174" t="str">
        <f>"9780822390398"</f>
        <v>9780822390398</v>
      </c>
      <c r="E174" t="s">
        <v>687</v>
      </c>
      <c r="F174" t="s">
        <v>687</v>
      </c>
      <c r="G174" s="1">
        <v>39458</v>
      </c>
      <c r="H174" s="1">
        <v>41378</v>
      </c>
      <c r="I174" t="s">
        <v>189</v>
      </c>
      <c r="J174">
        <v>1</v>
      </c>
      <c r="K174" t="s">
        <v>710</v>
      </c>
      <c r="L174" t="s">
        <v>717</v>
      </c>
      <c r="M174" t="s">
        <v>239</v>
      </c>
      <c r="N174" t="s">
        <v>718</v>
      </c>
      <c r="O174" s="2">
        <v>9320072</v>
      </c>
      <c r="Q174" t="s">
        <v>260</v>
      </c>
      <c r="R174" t="s">
        <v>262</v>
      </c>
      <c r="S174" t="s">
        <v>261</v>
      </c>
      <c r="T174" t="s">
        <v>261</v>
      </c>
      <c r="U174" t="s">
        <v>262</v>
      </c>
      <c r="V174" t="s">
        <v>262</v>
      </c>
      <c r="W174" t="s">
        <v>261</v>
      </c>
      <c r="X174" t="s">
        <v>262</v>
      </c>
      <c r="Y174" t="s">
        <v>262</v>
      </c>
      <c r="Z174" t="s">
        <v>703</v>
      </c>
      <c r="AB174" t="s">
        <v>704</v>
      </c>
      <c r="AC174" t="s">
        <v>703</v>
      </c>
      <c r="AD174" t="s">
        <v>262</v>
      </c>
      <c r="AE174">
        <v>10240540</v>
      </c>
      <c r="AF174">
        <v>303556</v>
      </c>
      <c r="AH174" t="s">
        <v>262</v>
      </c>
      <c r="AI174" t="s">
        <v>261</v>
      </c>
      <c r="AJ174" t="s">
        <v>261</v>
      </c>
      <c r="AK174" t="s">
        <v>261</v>
      </c>
      <c r="AM174" t="s">
        <v>262</v>
      </c>
      <c r="AN174" t="s">
        <v>719</v>
      </c>
    </row>
    <row r="175" spans="1:40" x14ac:dyDescent="0.35">
      <c r="A175">
        <v>1170526</v>
      </c>
      <c r="B175" t="s">
        <v>720</v>
      </c>
      <c r="C175" t="str">
        <f>"9780822344520"</f>
        <v>9780822344520</v>
      </c>
      <c r="D175" t="str">
        <f>"9780822390701"</f>
        <v>9780822390701</v>
      </c>
      <c r="E175" t="s">
        <v>687</v>
      </c>
      <c r="F175" t="s">
        <v>687</v>
      </c>
      <c r="G175" s="1">
        <v>39916</v>
      </c>
      <c r="H175" s="1">
        <v>41378</v>
      </c>
      <c r="I175" t="s">
        <v>189</v>
      </c>
      <c r="J175">
        <v>1</v>
      </c>
      <c r="K175" t="s">
        <v>721</v>
      </c>
      <c r="L175" t="s">
        <v>722</v>
      </c>
    </row>
    <row r="176" spans="1:40" x14ac:dyDescent="0.35">
      <c r="A176">
        <v>1170612</v>
      </c>
      <c r="B176" t="s">
        <v>723</v>
      </c>
      <c r="C176" t="str">
        <f>"9780822344933"</f>
        <v>9780822344933</v>
      </c>
      <c r="D176" t="str">
        <f>"9780822390930"</f>
        <v>9780822390930</v>
      </c>
      <c r="E176" t="s">
        <v>687</v>
      </c>
      <c r="F176" t="s">
        <v>687</v>
      </c>
      <c r="G176" s="1">
        <v>40046</v>
      </c>
      <c r="H176" s="1">
        <v>41378</v>
      </c>
      <c r="I176" t="s">
        <v>189</v>
      </c>
      <c r="J176">
        <v>1</v>
      </c>
      <c r="K176" t="s">
        <v>710</v>
      </c>
      <c r="L176" t="s">
        <v>724</v>
      </c>
    </row>
    <row r="177" spans="1:40" x14ac:dyDescent="0.35">
      <c r="A177">
        <v>1170613</v>
      </c>
      <c r="B177" t="s">
        <v>725</v>
      </c>
      <c r="C177" t="str">
        <f>"9780822344605"</f>
        <v>9780822344605</v>
      </c>
      <c r="D177" t="str">
        <f>"9780822390787"</f>
        <v>9780822390787</v>
      </c>
      <c r="E177" t="s">
        <v>687</v>
      </c>
      <c r="F177" t="s">
        <v>687</v>
      </c>
      <c r="G177" s="1">
        <v>39983</v>
      </c>
      <c r="H177" s="1">
        <v>41378</v>
      </c>
      <c r="I177" t="s">
        <v>189</v>
      </c>
      <c r="J177">
        <v>1</v>
      </c>
      <c r="K177" t="s">
        <v>710</v>
      </c>
      <c r="L177" t="s">
        <v>726</v>
      </c>
    </row>
    <row r="178" spans="1:40" x14ac:dyDescent="0.35">
      <c r="A178">
        <v>1170622</v>
      </c>
      <c r="B178" t="s">
        <v>727</v>
      </c>
      <c r="C178" t="str">
        <f>"9780822345596"</f>
        <v>9780822345596</v>
      </c>
      <c r="D178" t="str">
        <f>"9780822391326"</f>
        <v>9780822391326</v>
      </c>
      <c r="E178" t="s">
        <v>687</v>
      </c>
      <c r="F178" t="s">
        <v>687</v>
      </c>
      <c r="G178" s="1">
        <v>41316</v>
      </c>
      <c r="H178" s="1">
        <v>41378</v>
      </c>
      <c r="I178" t="s">
        <v>189</v>
      </c>
      <c r="J178">
        <v>1</v>
      </c>
      <c r="L178" t="s">
        <v>728</v>
      </c>
    </row>
    <row r="179" spans="1:40" x14ac:dyDescent="0.35">
      <c r="A179">
        <v>1170653</v>
      </c>
      <c r="B179" t="s">
        <v>729</v>
      </c>
      <c r="C179" t="str">
        <f>"9780822344865"</f>
        <v>9780822344865</v>
      </c>
      <c r="D179" t="str">
        <f>"9780822390862"</f>
        <v>9780822390862</v>
      </c>
      <c r="E179" t="s">
        <v>687</v>
      </c>
      <c r="F179" t="s">
        <v>687</v>
      </c>
      <c r="G179" s="1">
        <v>40011</v>
      </c>
      <c r="H179" s="1">
        <v>41378</v>
      </c>
      <c r="I179" t="s">
        <v>189</v>
      </c>
      <c r="J179">
        <v>1</v>
      </c>
      <c r="K179" t="s">
        <v>730</v>
      </c>
      <c r="L179" t="s">
        <v>731</v>
      </c>
    </row>
    <row r="180" spans="1:40" x14ac:dyDescent="0.35">
      <c r="A180">
        <v>1170660</v>
      </c>
      <c r="B180" t="s">
        <v>732</v>
      </c>
      <c r="C180" t="str">
        <f>"9780822345213"</f>
        <v>9780822345213</v>
      </c>
      <c r="D180" t="str">
        <f>"9780822391081"</f>
        <v>9780822391081</v>
      </c>
      <c r="E180" t="s">
        <v>687</v>
      </c>
      <c r="F180" t="s">
        <v>687</v>
      </c>
      <c r="G180" s="1">
        <v>39955</v>
      </c>
      <c r="H180" s="1">
        <v>41378</v>
      </c>
      <c r="I180" t="s">
        <v>189</v>
      </c>
      <c r="J180">
        <v>1</v>
      </c>
      <c r="K180" t="s">
        <v>733</v>
      </c>
      <c r="L180" t="s">
        <v>734</v>
      </c>
    </row>
    <row r="181" spans="1:40" x14ac:dyDescent="0.35">
      <c r="A181">
        <v>1170663</v>
      </c>
      <c r="B181" t="s">
        <v>735</v>
      </c>
      <c r="C181" t="str">
        <f>"9780822344674"</f>
        <v>9780822344674</v>
      </c>
      <c r="D181" t="str">
        <f>"9780822390848"</f>
        <v>9780822390848</v>
      </c>
      <c r="E181" t="s">
        <v>687</v>
      </c>
      <c r="F181" t="s">
        <v>687</v>
      </c>
      <c r="G181" s="1">
        <v>40142</v>
      </c>
      <c r="H181" s="1">
        <v>41378</v>
      </c>
      <c r="I181" t="s">
        <v>189</v>
      </c>
      <c r="J181">
        <v>1</v>
      </c>
      <c r="K181" t="s">
        <v>736</v>
      </c>
      <c r="L181" t="s">
        <v>737</v>
      </c>
    </row>
    <row r="182" spans="1:40" x14ac:dyDescent="0.35">
      <c r="A182">
        <v>1171693</v>
      </c>
      <c r="B182" t="s">
        <v>738</v>
      </c>
      <c r="C182" t="str">
        <f>"9780822346852"</f>
        <v>9780822346852</v>
      </c>
      <c r="D182" t="str">
        <f>"9780822392682"</f>
        <v>9780822392682</v>
      </c>
      <c r="E182" t="s">
        <v>687</v>
      </c>
      <c r="F182" t="s">
        <v>687</v>
      </c>
      <c r="G182" s="1">
        <v>40284</v>
      </c>
      <c r="H182" s="1">
        <v>41379</v>
      </c>
      <c r="I182" t="s">
        <v>189</v>
      </c>
      <c r="J182">
        <v>1</v>
      </c>
      <c r="K182" t="s">
        <v>739</v>
      </c>
      <c r="L182" t="s">
        <v>740</v>
      </c>
      <c r="M182" t="s">
        <v>239</v>
      </c>
      <c r="N182" t="s">
        <v>741</v>
      </c>
      <c r="O182" t="s">
        <v>742</v>
      </c>
      <c r="Q182" t="s">
        <v>260</v>
      </c>
      <c r="R182" t="s">
        <v>261</v>
      </c>
      <c r="S182" t="s">
        <v>261</v>
      </c>
      <c r="T182" t="s">
        <v>261</v>
      </c>
      <c r="U182" t="s">
        <v>261</v>
      </c>
      <c r="V182" t="s">
        <v>262</v>
      </c>
      <c r="W182" t="s">
        <v>261</v>
      </c>
      <c r="X182" t="s">
        <v>261</v>
      </c>
      <c r="Y182" t="s">
        <v>261</v>
      </c>
      <c r="Z182" t="s">
        <v>409</v>
      </c>
      <c r="AB182" t="s">
        <v>409</v>
      </c>
      <c r="AC182" t="s">
        <v>409</v>
      </c>
      <c r="AD182" t="s">
        <v>262</v>
      </c>
      <c r="AE182">
        <v>10395805</v>
      </c>
      <c r="AF182">
        <v>306555</v>
      </c>
      <c r="AH182" t="s">
        <v>262</v>
      </c>
      <c r="AI182" t="s">
        <v>262</v>
      </c>
      <c r="AJ182" t="s">
        <v>261</v>
      </c>
      <c r="AK182" t="s">
        <v>261</v>
      </c>
      <c r="AM182" t="s">
        <v>262</v>
      </c>
      <c r="AN182" t="s">
        <v>743</v>
      </c>
    </row>
    <row r="183" spans="1:40" x14ac:dyDescent="0.35">
      <c r="A183">
        <v>1171699</v>
      </c>
      <c r="B183" t="s">
        <v>744</v>
      </c>
      <c r="C183" t="str">
        <f>"9780822346869"</f>
        <v>9780822346869</v>
      </c>
      <c r="D183" t="str">
        <f>"9780822392699"</f>
        <v>9780822392699</v>
      </c>
      <c r="E183" t="s">
        <v>687</v>
      </c>
      <c r="F183" t="s">
        <v>687</v>
      </c>
      <c r="G183" s="1">
        <v>40240</v>
      </c>
      <c r="H183" s="1">
        <v>41379</v>
      </c>
      <c r="I183" t="s">
        <v>189</v>
      </c>
      <c r="J183">
        <v>1</v>
      </c>
      <c r="L183" t="s">
        <v>745</v>
      </c>
      <c r="M183" t="s">
        <v>329</v>
      </c>
      <c r="N183" t="s">
        <v>746</v>
      </c>
      <c r="O183" t="s">
        <v>747</v>
      </c>
      <c r="Q183" t="s">
        <v>260</v>
      </c>
      <c r="R183" t="s">
        <v>262</v>
      </c>
      <c r="S183" t="s">
        <v>261</v>
      </c>
      <c r="T183" t="s">
        <v>261</v>
      </c>
      <c r="U183" t="s">
        <v>262</v>
      </c>
      <c r="V183" t="s">
        <v>262</v>
      </c>
      <c r="W183" t="s">
        <v>261</v>
      </c>
      <c r="X183" t="s">
        <v>262</v>
      </c>
      <c r="Y183" t="s">
        <v>262</v>
      </c>
      <c r="Z183" t="s">
        <v>748</v>
      </c>
      <c r="AB183" t="s">
        <v>749</v>
      </c>
      <c r="AC183" t="s">
        <v>748</v>
      </c>
      <c r="AD183" t="s">
        <v>262</v>
      </c>
      <c r="AE183">
        <v>10392258</v>
      </c>
      <c r="AF183">
        <v>303671</v>
      </c>
      <c r="AH183" t="s">
        <v>262</v>
      </c>
      <c r="AI183" t="s">
        <v>261</v>
      </c>
      <c r="AJ183" t="s">
        <v>261</v>
      </c>
      <c r="AK183" t="s">
        <v>261</v>
      </c>
      <c r="AM183" t="s">
        <v>262</v>
      </c>
      <c r="AN183" t="s">
        <v>750</v>
      </c>
    </row>
    <row r="184" spans="1:40" x14ac:dyDescent="0.35">
      <c r="A184">
        <v>1171711</v>
      </c>
      <c r="B184" t="s">
        <v>751</v>
      </c>
      <c r="C184" t="str">
        <f>"9780822345886"</f>
        <v>9780822345886</v>
      </c>
      <c r="D184" t="str">
        <f>"9780822391975"</f>
        <v>9780822391975</v>
      </c>
      <c r="E184" t="s">
        <v>687</v>
      </c>
      <c r="F184" t="s">
        <v>687</v>
      </c>
      <c r="G184" s="1">
        <v>40359</v>
      </c>
      <c r="H184" s="1">
        <v>41379</v>
      </c>
      <c r="I184" t="s">
        <v>189</v>
      </c>
      <c r="J184">
        <v>1</v>
      </c>
      <c r="L184" t="s">
        <v>752</v>
      </c>
      <c r="M184" t="s">
        <v>239</v>
      </c>
    </row>
    <row r="185" spans="1:40" x14ac:dyDescent="0.35">
      <c r="A185">
        <v>1171721</v>
      </c>
      <c r="B185" t="s">
        <v>753</v>
      </c>
      <c r="C185" t="str">
        <f>"9780822344322"</f>
        <v>9780822344322</v>
      </c>
      <c r="D185" t="str">
        <f>"9780822392422"</f>
        <v>9780822392422</v>
      </c>
      <c r="E185" t="s">
        <v>687</v>
      </c>
      <c r="F185" t="s">
        <v>687</v>
      </c>
      <c r="G185" s="1">
        <v>39920</v>
      </c>
      <c r="H185" s="1">
        <v>41379</v>
      </c>
      <c r="I185" t="s">
        <v>189</v>
      </c>
      <c r="J185">
        <v>1</v>
      </c>
      <c r="K185" t="s">
        <v>754</v>
      </c>
      <c r="L185" t="s">
        <v>755</v>
      </c>
    </row>
    <row r="186" spans="1:40" x14ac:dyDescent="0.35">
      <c r="A186">
        <v>1171722</v>
      </c>
      <c r="B186" t="s">
        <v>756</v>
      </c>
      <c r="C186" t="str">
        <f>"9780822347088"</f>
        <v>9780822347088</v>
      </c>
      <c r="D186" t="str">
        <f>"9780822392767"</f>
        <v>9780822392767</v>
      </c>
      <c r="E186" t="s">
        <v>687</v>
      </c>
      <c r="F186" t="s">
        <v>687</v>
      </c>
      <c r="G186" s="1">
        <v>40393</v>
      </c>
      <c r="H186" s="1">
        <v>41379</v>
      </c>
      <c r="I186" t="s">
        <v>189</v>
      </c>
      <c r="J186">
        <v>1</v>
      </c>
      <c r="L186" t="s">
        <v>757</v>
      </c>
      <c r="M186" t="s">
        <v>578</v>
      </c>
      <c r="N186" t="s">
        <v>758</v>
      </c>
      <c r="Q186" t="s">
        <v>260</v>
      </c>
      <c r="R186" t="s">
        <v>261</v>
      </c>
      <c r="S186" t="s">
        <v>261</v>
      </c>
      <c r="T186" t="s">
        <v>261</v>
      </c>
      <c r="U186" t="s">
        <v>261</v>
      </c>
      <c r="V186" t="s">
        <v>262</v>
      </c>
      <c r="W186" t="s">
        <v>261</v>
      </c>
      <c r="X186" t="s">
        <v>261</v>
      </c>
      <c r="Y186" t="s">
        <v>261</v>
      </c>
      <c r="Z186" t="s">
        <v>409</v>
      </c>
      <c r="AB186" t="s">
        <v>409</v>
      </c>
      <c r="AC186" t="s">
        <v>409</v>
      </c>
      <c r="AD186" t="s">
        <v>262</v>
      </c>
      <c r="AE186">
        <v>10400742</v>
      </c>
      <c r="AF186">
        <v>303675</v>
      </c>
      <c r="AH186" t="s">
        <v>262</v>
      </c>
      <c r="AI186" t="s">
        <v>262</v>
      </c>
      <c r="AJ186" t="s">
        <v>261</v>
      </c>
      <c r="AK186" t="s">
        <v>261</v>
      </c>
      <c r="AM186" t="s">
        <v>262</v>
      </c>
      <c r="AN186" t="s">
        <v>759</v>
      </c>
    </row>
    <row r="187" spans="1:40" x14ac:dyDescent="0.35">
      <c r="A187">
        <v>1171766</v>
      </c>
      <c r="B187" t="s">
        <v>760</v>
      </c>
      <c r="C187" t="str">
        <f>"9780822343905"</f>
        <v>9780822343905</v>
      </c>
      <c r="D187" t="str">
        <f>"9780822392095"</f>
        <v>9780822392095</v>
      </c>
      <c r="E187" t="s">
        <v>687</v>
      </c>
      <c r="F187" t="s">
        <v>687</v>
      </c>
      <c r="G187" s="1">
        <v>39895</v>
      </c>
      <c r="H187" s="1">
        <v>41379</v>
      </c>
      <c r="I187" t="s">
        <v>189</v>
      </c>
      <c r="J187">
        <v>1</v>
      </c>
      <c r="K187" t="s">
        <v>761</v>
      </c>
      <c r="L187" t="s">
        <v>762</v>
      </c>
    </row>
    <row r="188" spans="1:40" x14ac:dyDescent="0.35">
      <c r="A188">
        <v>1171778</v>
      </c>
      <c r="B188" t="s">
        <v>763</v>
      </c>
      <c r="C188" t="str">
        <f>"9780822343929"</f>
        <v>9780822343929</v>
      </c>
      <c r="D188" t="str">
        <f>"9780822392415"</f>
        <v>9780822392415</v>
      </c>
      <c r="E188" t="s">
        <v>687</v>
      </c>
      <c r="F188" t="s">
        <v>687</v>
      </c>
      <c r="G188" s="1">
        <v>39864</v>
      </c>
      <c r="H188" s="1">
        <v>41379</v>
      </c>
      <c r="I188" t="s">
        <v>189</v>
      </c>
      <c r="J188">
        <v>1</v>
      </c>
      <c r="K188" t="s">
        <v>764</v>
      </c>
      <c r="L188" t="s">
        <v>765</v>
      </c>
      <c r="M188" t="s">
        <v>578</v>
      </c>
      <c r="N188" t="s">
        <v>766</v>
      </c>
      <c r="Q188" t="s">
        <v>260</v>
      </c>
      <c r="R188" t="s">
        <v>261</v>
      </c>
      <c r="S188" t="s">
        <v>261</v>
      </c>
      <c r="T188" t="s">
        <v>261</v>
      </c>
      <c r="U188" t="s">
        <v>261</v>
      </c>
      <c r="V188" t="s">
        <v>262</v>
      </c>
      <c r="W188" t="s">
        <v>261</v>
      </c>
      <c r="X188" t="s">
        <v>261</v>
      </c>
      <c r="Y188" t="s">
        <v>261</v>
      </c>
      <c r="Z188" t="s">
        <v>409</v>
      </c>
      <c r="AB188" t="s">
        <v>409</v>
      </c>
      <c r="AC188" t="s">
        <v>409</v>
      </c>
      <c r="AD188" t="s">
        <v>262</v>
      </c>
      <c r="AE188">
        <v>10276552</v>
      </c>
      <c r="AF188">
        <v>306546</v>
      </c>
      <c r="AH188" t="s">
        <v>262</v>
      </c>
      <c r="AI188" t="s">
        <v>262</v>
      </c>
      <c r="AJ188" t="s">
        <v>261</v>
      </c>
      <c r="AK188" t="s">
        <v>261</v>
      </c>
      <c r="AM188" t="s">
        <v>262</v>
      </c>
      <c r="AN188" t="s">
        <v>767</v>
      </c>
    </row>
    <row r="189" spans="1:40" x14ac:dyDescent="0.35">
      <c r="A189">
        <v>1171780</v>
      </c>
      <c r="B189" t="s">
        <v>768</v>
      </c>
      <c r="C189" t="str">
        <f>"9780822344308"</f>
        <v>9780822344308</v>
      </c>
      <c r="D189" t="str">
        <f>"9780822392378"</f>
        <v>9780822392378</v>
      </c>
      <c r="E189" t="s">
        <v>687</v>
      </c>
      <c r="F189" t="s">
        <v>687</v>
      </c>
      <c r="G189" s="1">
        <v>40014</v>
      </c>
      <c r="H189" s="1">
        <v>41379</v>
      </c>
      <c r="I189" t="s">
        <v>189</v>
      </c>
      <c r="J189">
        <v>1</v>
      </c>
      <c r="K189" t="s">
        <v>769</v>
      </c>
      <c r="L189" t="s">
        <v>770</v>
      </c>
    </row>
    <row r="190" spans="1:40" x14ac:dyDescent="0.35">
      <c r="A190">
        <v>1171788</v>
      </c>
      <c r="B190" t="s">
        <v>771</v>
      </c>
      <c r="C190" t="str">
        <f>"9780822344261"</f>
        <v>9780822344261</v>
      </c>
      <c r="D190" t="str">
        <f>"9780822392170"</f>
        <v>9780822392170</v>
      </c>
      <c r="E190" t="s">
        <v>687</v>
      </c>
      <c r="F190" t="s">
        <v>687</v>
      </c>
      <c r="G190" s="1">
        <v>39890</v>
      </c>
      <c r="H190" s="1">
        <v>41379</v>
      </c>
      <c r="I190" t="s">
        <v>189</v>
      </c>
      <c r="J190">
        <v>1</v>
      </c>
      <c r="K190" t="s">
        <v>730</v>
      </c>
      <c r="L190" t="s">
        <v>772</v>
      </c>
    </row>
    <row r="191" spans="1:40" x14ac:dyDescent="0.35">
      <c r="A191">
        <v>1171792</v>
      </c>
      <c r="B191" t="s">
        <v>773</v>
      </c>
      <c r="C191" t="str">
        <f>"9780822340232"</f>
        <v>9780822340232</v>
      </c>
      <c r="D191" t="str">
        <f>"9780822392088"</f>
        <v>9780822392088</v>
      </c>
      <c r="E191" t="s">
        <v>687</v>
      </c>
      <c r="F191" t="s">
        <v>687</v>
      </c>
      <c r="G191" s="1">
        <v>39371</v>
      </c>
      <c r="H191" s="1">
        <v>41379</v>
      </c>
      <c r="I191" t="s">
        <v>189</v>
      </c>
      <c r="J191">
        <v>1</v>
      </c>
      <c r="L191" t="s">
        <v>774</v>
      </c>
    </row>
    <row r="192" spans="1:40" x14ac:dyDescent="0.35">
      <c r="A192">
        <v>1172253</v>
      </c>
      <c r="B192" t="s">
        <v>775</v>
      </c>
      <c r="C192" t="str">
        <f>"9780822348818"</f>
        <v>9780822348818</v>
      </c>
      <c r="D192" t="str">
        <f>"9780822393573"</f>
        <v>9780822393573</v>
      </c>
      <c r="E192" t="s">
        <v>687</v>
      </c>
      <c r="F192" t="s">
        <v>687</v>
      </c>
      <c r="G192" s="1">
        <v>40646</v>
      </c>
      <c r="H192" s="1">
        <v>41486</v>
      </c>
      <c r="I192" t="s">
        <v>189</v>
      </c>
      <c r="J192">
        <v>1</v>
      </c>
      <c r="L192" t="s">
        <v>776</v>
      </c>
    </row>
    <row r="193" spans="1:40" x14ac:dyDescent="0.35">
      <c r="A193">
        <v>1172287</v>
      </c>
      <c r="B193" t="s">
        <v>777</v>
      </c>
      <c r="C193" t="str">
        <f>"9780822348993"</f>
        <v>9780822348993</v>
      </c>
      <c r="D193" t="str">
        <f>"9780822393764"</f>
        <v>9780822393764</v>
      </c>
      <c r="E193" t="s">
        <v>687</v>
      </c>
      <c r="F193" t="s">
        <v>687</v>
      </c>
      <c r="G193" s="1">
        <v>40805</v>
      </c>
      <c r="H193" s="1">
        <v>41380</v>
      </c>
      <c r="I193" t="s">
        <v>189</v>
      </c>
      <c r="J193">
        <v>1</v>
      </c>
      <c r="L193" t="s">
        <v>778</v>
      </c>
    </row>
    <row r="194" spans="1:40" x14ac:dyDescent="0.35">
      <c r="A194">
        <v>1172299</v>
      </c>
      <c r="B194" t="s">
        <v>779</v>
      </c>
      <c r="C194" t="str">
        <f>"9780822348351"</f>
        <v>9780822348351</v>
      </c>
      <c r="D194" t="str">
        <f>"9780822393351"</f>
        <v>9780822393351</v>
      </c>
      <c r="E194" t="s">
        <v>687</v>
      </c>
      <c r="F194" t="s">
        <v>687</v>
      </c>
      <c r="G194" s="1">
        <v>40763</v>
      </c>
      <c r="H194" s="1">
        <v>41380</v>
      </c>
      <c r="I194" t="s">
        <v>189</v>
      </c>
      <c r="J194">
        <v>1</v>
      </c>
      <c r="L194" t="s">
        <v>780</v>
      </c>
      <c r="M194" t="s">
        <v>578</v>
      </c>
      <c r="N194" t="s">
        <v>781</v>
      </c>
      <c r="O194" t="s">
        <v>782</v>
      </c>
      <c r="Q194" t="s">
        <v>260</v>
      </c>
      <c r="R194" t="s">
        <v>261</v>
      </c>
      <c r="S194" t="s">
        <v>261</v>
      </c>
      <c r="T194" t="s">
        <v>261</v>
      </c>
      <c r="U194" t="s">
        <v>261</v>
      </c>
      <c r="V194" t="s">
        <v>262</v>
      </c>
      <c r="W194" t="s">
        <v>261</v>
      </c>
      <c r="X194" t="s">
        <v>261</v>
      </c>
      <c r="Y194" t="s">
        <v>261</v>
      </c>
      <c r="Z194" t="s">
        <v>409</v>
      </c>
      <c r="AB194" t="s">
        <v>409</v>
      </c>
      <c r="AC194" t="s">
        <v>409</v>
      </c>
      <c r="AD194" t="s">
        <v>262</v>
      </c>
      <c r="AE194">
        <v>10491674</v>
      </c>
      <c r="AF194">
        <v>325200</v>
      </c>
      <c r="AH194" t="s">
        <v>262</v>
      </c>
      <c r="AI194" t="s">
        <v>262</v>
      </c>
      <c r="AJ194" t="s">
        <v>261</v>
      </c>
      <c r="AK194" t="s">
        <v>261</v>
      </c>
      <c r="AM194" t="s">
        <v>262</v>
      </c>
      <c r="AN194" t="s">
        <v>783</v>
      </c>
    </row>
    <row r="195" spans="1:40" x14ac:dyDescent="0.35">
      <c r="A195">
        <v>1172306</v>
      </c>
      <c r="B195" t="s">
        <v>784</v>
      </c>
      <c r="C195" t="str">
        <f>"9780822347521"</f>
        <v>9780822347521</v>
      </c>
      <c r="D195" t="str">
        <f>"9780822392989"</f>
        <v>9780822392989</v>
      </c>
      <c r="E195" t="s">
        <v>687</v>
      </c>
      <c r="F195" t="s">
        <v>687</v>
      </c>
      <c r="G195" s="1">
        <v>40493</v>
      </c>
      <c r="H195" s="1">
        <v>41380</v>
      </c>
      <c r="I195" t="s">
        <v>189</v>
      </c>
      <c r="J195">
        <v>1</v>
      </c>
      <c r="L195" t="s">
        <v>785</v>
      </c>
      <c r="M195" t="s">
        <v>578</v>
      </c>
      <c r="N195" t="s">
        <v>781</v>
      </c>
      <c r="O195" t="s">
        <v>786</v>
      </c>
      <c r="Q195" t="s">
        <v>260</v>
      </c>
      <c r="R195" t="s">
        <v>261</v>
      </c>
      <c r="S195" t="s">
        <v>261</v>
      </c>
      <c r="T195" t="s">
        <v>261</v>
      </c>
      <c r="U195" t="s">
        <v>261</v>
      </c>
      <c r="V195" t="s">
        <v>262</v>
      </c>
      <c r="W195" t="s">
        <v>261</v>
      </c>
      <c r="X195" t="s">
        <v>261</v>
      </c>
      <c r="Y195" t="s">
        <v>261</v>
      </c>
      <c r="Z195" t="s">
        <v>409</v>
      </c>
      <c r="AB195" t="s">
        <v>409</v>
      </c>
      <c r="AC195" t="s">
        <v>409</v>
      </c>
      <c r="AD195" t="s">
        <v>262</v>
      </c>
      <c r="AE195">
        <v>10452974</v>
      </c>
      <c r="AF195">
        <v>325181</v>
      </c>
      <c r="AH195" t="s">
        <v>262</v>
      </c>
      <c r="AI195" t="s">
        <v>262</v>
      </c>
      <c r="AJ195" t="s">
        <v>261</v>
      </c>
      <c r="AK195" t="s">
        <v>261</v>
      </c>
      <c r="AM195" t="s">
        <v>262</v>
      </c>
      <c r="AN195" t="s">
        <v>787</v>
      </c>
    </row>
    <row r="196" spans="1:40" x14ac:dyDescent="0.35">
      <c r="A196">
        <v>1172991</v>
      </c>
      <c r="B196" t="s">
        <v>788</v>
      </c>
      <c r="C196" t="str">
        <f>"9780822351412"</f>
        <v>9780822351412</v>
      </c>
      <c r="D196" t="str">
        <f>"9780822394884"</f>
        <v>9780822394884</v>
      </c>
      <c r="E196" t="s">
        <v>687</v>
      </c>
      <c r="F196" t="s">
        <v>687</v>
      </c>
      <c r="G196" s="1">
        <v>41022</v>
      </c>
      <c r="H196" s="1">
        <v>41382</v>
      </c>
      <c r="I196" t="s">
        <v>189</v>
      </c>
      <c r="J196">
        <v>1</v>
      </c>
      <c r="L196" t="s">
        <v>789</v>
      </c>
      <c r="M196" t="s">
        <v>578</v>
      </c>
      <c r="N196" t="s">
        <v>790</v>
      </c>
      <c r="O196" t="s">
        <v>791</v>
      </c>
      <c r="Q196" t="s">
        <v>260</v>
      </c>
      <c r="R196" t="s">
        <v>261</v>
      </c>
      <c r="S196" t="s">
        <v>261</v>
      </c>
      <c r="T196" t="s">
        <v>261</v>
      </c>
      <c r="U196" t="s">
        <v>261</v>
      </c>
      <c r="V196" t="s">
        <v>262</v>
      </c>
      <c r="W196" t="s">
        <v>261</v>
      </c>
      <c r="X196" t="s">
        <v>261</v>
      </c>
      <c r="Y196" t="s">
        <v>261</v>
      </c>
      <c r="Z196" t="s">
        <v>409</v>
      </c>
      <c r="AB196" t="s">
        <v>409</v>
      </c>
      <c r="AC196" t="s">
        <v>409</v>
      </c>
      <c r="AD196" t="s">
        <v>262</v>
      </c>
      <c r="AE196">
        <v>10554418</v>
      </c>
      <c r="AF196">
        <v>366427</v>
      </c>
      <c r="AH196" t="s">
        <v>262</v>
      </c>
      <c r="AI196" t="s">
        <v>262</v>
      </c>
      <c r="AJ196" t="s">
        <v>261</v>
      </c>
      <c r="AK196" t="s">
        <v>261</v>
      </c>
      <c r="AM196" t="s">
        <v>262</v>
      </c>
      <c r="AN196" t="s">
        <v>792</v>
      </c>
    </row>
    <row r="197" spans="1:40" x14ac:dyDescent="0.35">
      <c r="A197">
        <v>1172992</v>
      </c>
      <c r="B197" t="s">
        <v>793</v>
      </c>
      <c r="C197" t="str">
        <f>"9780822350651"</f>
        <v>9780822350651</v>
      </c>
      <c r="D197" t="str">
        <f>"9780822394587"</f>
        <v>9780822394587</v>
      </c>
      <c r="E197" t="s">
        <v>687</v>
      </c>
      <c r="F197" t="s">
        <v>687</v>
      </c>
      <c r="G197" s="1">
        <v>40919</v>
      </c>
      <c r="H197" s="1">
        <v>41382</v>
      </c>
      <c r="I197" t="s">
        <v>189</v>
      </c>
      <c r="J197">
        <v>1</v>
      </c>
      <c r="L197" t="s">
        <v>794</v>
      </c>
      <c r="M197" t="s">
        <v>249</v>
      </c>
    </row>
    <row r="198" spans="1:40" x14ac:dyDescent="0.35">
      <c r="A198">
        <v>1172996</v>
      </c>
      <c r="B198" t="s">
        <v>795</v>
      </c>
      <c r="C198" t="str">
        <f>"9780822351375"</f>
        <v>9780822351375</v>
      </c>
      <c r="D198" t="str">
        <f>"9780822394853"</f>
        <v>9780822394853</v>
      </c>
      <c r="E198" t="s">
        <v>687</v>
      </c>
      <c r="F198" t="s">
        <v>687</v>
      </c>
      <c r="G198" s="1">
        <v>40907</v>
      </c>
      <c r="H198" s="1">
        <v>41382</v>
      </c>
      <c r="I198" t="s">
        <v>189</v>
      </c>
      <c r="J198">
        <v>1</v>
      </c>
      <c r="K198" t="s">
        <v>796</v>
      </c>
      <c r="L198" t="s">
        <v>797</v>
      </c>
    </row>
    <row r="199" spans="1:40" x14ac:dyDescent="0.35">
      <c r="A199">
        <v>1173000</v>
      </c>
      <c r="B199" t="s">
        <v>798</v>
      </c>
      <c r="C199" t="str">
        <f>"9780822350323"</f>
        <v>9780822350323</v>
      </c>
      <c r="D199" t="str">
        <f>"9780822394396"</f>
        <v>9780822394396</v>
      </c>
      <c r="E199" t="s">
        <v>687</v>
      </c>
      <c r="F199" t="s">
        <v>687</v>
      </c>
      <c r="G199" s="1">
        <v>40756</v>
      </c>
      <c r="H199" s="1">
        <v>41382</v>
      </c>
      <c r="I199" t="s">
        <v>189</v>
      </c>
      <c r="J199">
        <v>1</v>
      </c>
      <c r="K199" t="s">
        <v>799</v>
      </c>
      <c r="L199" t="s">
        <v>800</v>
      </c>
      <c r="M199" t="s">
        <v>239</v>
      </c>
      <c r="N199" t="s">
        <v>801</v>
      </c>
      <c r="O199" t="s">
        <v>802</v>
      </c>
      <c r="Q199" t="s">
        <v>260</v>
      </c>
      <c r="R199" t="s">
        <v>261</v>
      </c>
      <c r="S199" t="s">
        <v>261</v>
      </c>
      <c r="T199" t="s">
        <v>261</v>
      </c>
      <c r="U199" t="s">
        <v>261</v>
      </c>
      <c r="V199" t="s">
        <v>262</v>
      </c>
      <c r="W199" t="s">
        <v>261</v>
      </c>
      <c r="X199" t="s">
        <v>261</v>
      </c>
      <c r="Y199" t="s">
        <v>261</v>
      </c>
      <c r="Z199" t="s">
        <v>409</v>
      </c>
      <c r="AB199" t="s">
        <v>409</v>
      </c>
      <c r="AC199" t="s">
        <v>409</v>
      </c>
      <c r="AD199" t="s">
        <v>262</v>
      </c>
      <c r="AE199">
        <v>10509385</v>
      </c>
      <c r="AF199">
        <v>325236</v>
      </c>
      <c r="AH199" t="s">
        <v>262</v>
      </c>
      <c r="AI199" t="s">
        <v>262</v>
      </c>
      <c r="AJ199" t="s">
        <v>261</v>
      </c>
      <c r="AK199" t="s">
        <v>261</v>
      </c>
      <c r="AM199" t="s">
        <v>262</v>
      </c>
      <c r="AN199" t="s">
        <v>803</v>
      </c>
    </row>
    <row r="200" spans="1:40" x14ac:dyDescent="0.35">
      <c r="A200">
        <v>1173002</v>
      </c>
      <c r="B200" t="s">
        <v>804</v>
      </c>
      <c r="C200" t="str">
        <f>"9780822351184"</f>
        <v>9780822351184</v>
      </c>
      <c r="D200" t="str">
        <f>"9780822394808"</f>
        <v>9780822394808</v>
      </c>
      <c r="E200" t="s">
        <v>687</v>
      </c>
      <c r="F200" t="s">
        <v>687</v>
      </c>
      <c r="G200" s="1">
        <v>41302</v>
      </c>
      <c r="H200" s="1">
        <v>41382</v>
      </c>
      <c r="I200" t="s">
        <v>189</v>
      </c>
      <c r="J200">
        <v>1</v>
      </c>
      <c r="K200" t="s">
        <v>805</v>
      </c>
      <c r="L200" t="s">
        <v>806</v>
      </c>
      <c r="M200" t="s">
        <v>807</v>
      </c>
    </row>
    <row r="201" spans="1:40" x14ac:dyDescent="0.35">
      <c r="A201">
        <v>1173020</v>
      </c>
      <c r="B201" t="s">
        <v>808</v>
      </c>
      <c r="C201" t="str">
        <f>"9780822350347"</f>
        <v>9780822350347</v>
      </c>
      <c r="D201" t="str">
        <f>"9780822394419"</f>
        <v>9780822394419</v>
      </c>
      <c r="E201" t="s">
        <v>687</v>
      </c>
      <c r="F201" t="s">
        <v>687</v>
      </c>
      <c r="G201" s="1">
        <v>40812</v>
      </c>
      <c r="H201" s="1">
        <v>41382</v>
      </c>
      <c r="I201" t="s">
        <v>189</v>
      </c>
      <c r="J201">
        <v>1</v>
      </c>
      <c r="L201" t="s">
        <v>809</v>
      </c>
    </row>
    <row r="202" spans="1:40" x14ac:dyDescent="0.35">
      <c r="A202">
        <v>1173032</v>
      </c>
      <c r="B202" t="s">
        <v>810</v>
      </c>
      <c r="C202" t="str">
        <f>"9780822349259"</f>
        <v>9780822349259</v>
      </c>
      <c r="D202" t="str">
        <f>"9780822393894"</f>
        <v>9780822393894</v>
      </c>
      <c r="E202" t="s">
        <v>687</v>
      </c>
      <c r="F202" t="s">
        <v>687</v>
      </c>
      <c r="G202" s="1">
        <v>40805</v>
      </c>
      <c r="H202" s="1">
        <v>41382</v>
      </c>
      <c r="I202" t="s">
        <v>189</v>
      </c>
      <c r="J202">
        <v>1</v>
      </c>
      <c r="L202" t="s">
        <v>811</v>
      </c>
      <c r="M202" t="s">
        <v>219</v>
      </c>
      <c r="N202" t="s">
        <v>812</v>
      </c>
      <c r="O202" t="s">
        <v>813</v>
      </c>
      <c r="Q202" t="s">
        <v>260</v>
      </c>
      <c r="R202" t="s">
        <v>262</v>
      </c>
      <c r="S202" t="s">
        <v>261</v>
      </c>
      <c r="T202" t="s">
        <v>261</v>
      </c>
      <c r="U202" t="s">
        <v>262</v>
      </c>
      <c r="V202" t="s">
        <v>262</v>
      </c>
      <c r="W202" t="s">
        <v>261</v>
      </c>
      <c r="X202" t="s">
        <v>262</v>
      </c>
      <c r="Y202" t="s">
        <v>262</v>
      </c>
      <c r="Z202" t="s">
        <v>703</v>
      </c>
      <c r="AB202" t="s">
        <v>704</v>
      </c>
      <c r="AC202" t="s">
        <v>703</v>
      </c>
      <c r="AD202" t="s">
        <v>262</v>
      </c>
      <c r="AE202">
        <v>10502059</v>
      </c>
      <c r="AF202">
        <v>330380</v>
      </c>
      <c r="AH202" t="s">
        <v>262</v>
      </c>
      <c r="AI202" t="s">
        <v>261</v>
      </c>
      <c r="AJ202" t="s">
        <v>261</v>
      </c>
      <c r="AK202" t="s">
        <v>261</v>
      </c>
      <c r="AM202" t="s">
        <v>262</v>
      </c>
      <c r="AN202" t="s">
        <v>814</v>
      </c>
    </row>
    <row r="203" spans="1:40" x14ac:dyDescent="0.35">
      <c r="A203">
        <v>1173066</v>
      </c>
      <c r="B203" t="s">
        <v>815</v>
      </c>
      <c r="C203" t="str">
        <f>"9780822351191"</f>
        <v>9780822351191</v>
      </c>
      <c r="D203" t="str">
        <f>"9780822394792"</f>
        <v>9780822394792</v>
      </c>
      <c r="E203" t="s">
        <v>687</v>
      </c>
      <c r="F203" t="s">
        <v>687</v>
      </c>
      <c r="G203" s="1">
        <v>40996</v>
      </c>
      <c r="H203" s="1">
        <v>41382</v>
      </c>
      <c r="I203" t="s">
        <v>189</v>
      </c>
      <c r="J203">
        <v>1</v>
      </c>
      <c r="L203" t="s">
        <v>816</v>
      </c>
      <c r="M203" t="s">
        <v>676</v>
      </c>
    </row>
    <row r="204" spans="1:40" x14ac:dyDescent="0.35">
      <c r="A204">
        <v>1173072</v>
      </c>
      <c r="B204" t="s">
        <v>817</v>
      </c>
      <c r="C204" t="str">
        <f>"9780822350613"</f>
        <v>9780822350613</v>
      </c>
      <c r="D204" t="str">
        <f>"9780822394518"</f>
        <v>9780822394518</v>
      </c>
      <c r="E204" t="s">
        <v>687</v>
      </c>
      <c r="F204" t="s">
        <v>687</v>
      </c>
      <c r="G204" s="1">
        <v>40779</v>
      </c>
      <c r="H204" s="1">
        <v>41382</v>
      </c>
      <c r="I204" t="s">
        <v>189</v>
      </c>
      <c r="J204">
        <v>1</v>
      </c>
      <c r="L204" t="s">
        <v>818</v>
      </c>
    </row>
    <row r="205" spans="1:40" x14ac:dyDescent="0.35">
      <c r="A205">
        <v>1173076</v>
      </c>
      <c r="B205" t="s">
        <v>819</v>
      </c>
      <c r="C205" t="str">
        <f>"9780822349754"</f>
        <v>9780822349754</v>
      </c>
      <c r="D205" t="str">
        <f>"9780822394099"</f>
        <v>9780822394099</v>
      </c>
      <c r="E205" t="s">
        <v>687</v>
      </c>
      <c r="F205" t="s">
        <v>687</v>
      </c>
      <c r="G205" s="1">
        <v>40788</v>
      </c>
      <c r="H205" s="1">
        <v>41382</v>
      </c>
      <c r="I205" t="s">
        <v>189</v>
      </c>
      <c r="J205">
        <v>1</v>
      </c>
      <c r="L205" t="s">
        <v>692</v>
      </c>
      <c r="M205" t="s">
        <v>239</v>
      </c>
      <c r="N205" t="s">
        <v>820</v>
      </c>
      <c r="O205" s="2">
        <v>949703</v>
      </c>
      <c r="Q205" t="s">
        <v>260</v>
      </c>
      <c r="R205" t="s">
        <v>261</v>
      </c>
      <c r="S205" t="s">
        <v>261</v>
      </c>
      <c r="T205" t="s">
        <v>261</v>
      </c>
      <c r="U205" t="s">
        <v>261</v>
      </c>
      <c r="V205" t="s">
        <v>262</v>
      </c>
      <c r="W205" t="s">
        <v>261</v>
      </c>
      <c r="X205" t="s">
        <v>261</v>
      </c>
      <c r="Y205" t="s">
        <v>261</v>
      </c>
      <c r="Z205" t="s">
        <v>409</v>
      </c>
      <c r="AB205" t="s">
        <v>409</v>
      </c>
      <c r="AC205" t="s">
        <v>409</v>
      </c>
      <c r="AD205" t="s">
        <v>262</v>
      </c>
      <c r="AE205">
        <v>10491673</v>
      </c>
      <c r="AF205">
        <v>327330</v>
      </c>
      <c r="AH205" t="s">
        <v>262</v>
      </c>
      <c r="AI205" t="s">
        <v>262</v>
      </c>
      <c r="AJ205" t="s">
        <v>261</v>
      </c>
      <c r="AK205" t="s">
        <v>261</v>
      </c>
      <c r="AM205" t="s">
        <v>262</v>
      </c>
      <c r="AN205" t="s">
        <v>821</v>
      </c>
    </row>
    <row r="206" spans="1:40" x14ac:dyDescent="0.35">
      <c r="A206">
        <v>1173226</v>
      </c>
      <c r="B206" t="s">
        <v>822</v>
      </c>
      <c r="C206" t="str">
        <f>"9780822351764"</f>
        <v>9780822351764</v>
      </c>
      <c r="D206" t="str">
        <f>"9780822395102"</f>
        <v>9780822395102</v>
      </c>
      <c r="E206" t="s">
        <v>687</v>
      </c>
      <c r="F206" t="s">
        <v>687</v>
      </c>
      <c r="G206" s="1">
        <v>41079</v>
      </c>
      <c r="H206" s="1">
        <v>41382</v>
      </c>
      <c r="I206" t="s">
        <v>189</v>
      </c>
      <c r="J206">
        <v>1</v>
      </c>
      <c r="L206" t="s">
        <v>823</v>
      </c>
      <c r="M206" t="s">
        <v>329</v>
      </c>
      <c r="N206" t="s">
        <v>824</v>
      </c>
      <c r="O206" s="2">
        <v>306850973</v>
      </c>
      <c r="Q206" t="s">
        <v>260</v>
      </c>
      <c r="R206" t="s">
        <v>261</v>
      </c>
      <c r="S206" t="s">
        <v>261</v>
      </c>
      <c r="T206" t="s">
        <v>261</v>
      </c>
      <c r="U206" t="s">
        <v>261</v>
      </c>
      <c r="V206" t="s">
        <v>262</v>
      </c>
      <c r="W206" t="s">
        <v>261</v>
      </c>
      <c r="X206" t="s">
        <v>261</v>
      </c>
      <c r="Y206" t="s">
        <v>261</v>
      </c>
      <c r="Z206" t="s">
        <v>409</v>
      </c>
      <c r="AB206" t="s">
        <v>409</v>
      </c>
      <c r="AC206" t="s">
        <v>409</v>
      </c>
      <c r="AD206" t="s">
        <v>262</v>
      </c>
      <c r="AE206">
        <v>10571129</v>
      </c>
      <c r="AF206">
        <v>372106</v>
      </c>
      <c r="AH206" t="s">
        <v>262</v>
      </c>
      <c r="AI206" t="s">
        <v>262</v>
      </c>
      <c r="AJ206" t="s">
        <v>261</v>
      </c>
      <c r="AK206" t="s">
        <v>261</v>
      </c>
      <c r="AM206" t="s">
        <v>262</v>
      </c>
      <c r="AN206" t="s">
        <v>825</v>
      </c>
    </row>
    <row r="207" spans="1:40" x14ac:dyDescent="0.35">
      <c r="A207">
        <v>1173229</v>
      </c>
      <c r="B207" t="s">
        <v>826</v>
      </c>
      <c r="C207" t="str">
        <f>"9780822352785"</f>
        <v>9780822352785</v>
      </c>
      <c r="D207" t="str">
        <f>"9780822395560"</f>
        <v>9780822395560</v>
      </c>
      <c r="E207" t="s">
        <v>687</v>
      </c>
      <c r="F207" t="s">
        <v>687</v>
      </c>
      <c r="G207" s="1">
        <v>41295</v>
      </c>
      <c r="H207" s="1">
        <v>41382</v>
      </c>
      <c r="I207" t="s">
        <v>189</v>
      </c>
      <c r="J207">
        <v>1</v>
      </c>
      <c r="L207" t="s">
        <v>827</v>
      </c>
    </row>
    <row r="208" spans="1:40" x14ac:dyDescent="0.35">
      <c r="A208">
        <v>1173241</v>
      </c>
      <c r="B208" t="s">
        <v>828</v>
      </c>
      <c r="C208" t="str">
        <f>"9780822352433"</f>
        <v>9780822352433</v>
      </c>
      <c r="D208" t="str">
        <f>"9780822395331"</f>
        <v>9780822395331</v>
      </c>
      <c r="E208" t="s">
        <v>687</v>
      </c>
      <c r="F208" t="s">
        <v>687</v>
      </c>
      <c r="G208" s="1">
        <v>41044</v>
      </c>
      <c r="H208" s="1">
        <v>41382</v>
      </c>
      <c r="I208" t="s">
        <v>189</v>
      </c>
      <c r="J208">
        <v>1</v>
      </c>
      <c r="L208" t="s">
        <v>829</v>
      </c>
      <c r="M208" t="s">
        <v>329</v>
      </c>
      <c r="N208" t="s">
        <v>830</v>
      </c>
      <c r="O208" s="2">
        <v>30550982</v>
      </c>
      <c r="Q208" t="s">
        <v>260</v>
      </c>
      <c r="R208" t="s">
        <v>261</v>
      </c>
      <c r="S208" t="s">
        <v>261</v>
      </c>
      <c r="T208" t="s">
        <v>261</v>
      </c>
      <c r="U208" t="s">
        <v>261</v>
      </c>
      <c r="V208" t="s">
        <v>262</v>
      </c>
      <c r="W208" t="s">
        <v>261</v>
      </c>
      <c r="X208" t="s">
        <v>261</v>
      </c>
      <c r="Y208" t="s">
        <v>261</v>
      </c>
      <c r="Z208" t="s">
        <v>409</v>
      </c>
      <c r="AB208" t="s">
        <v>409</v>
      </c>
      <c r="AC208" t="s">
        <v>409</v>
      </c>
      <c r="AD208" t="s">
        <v>262</v>
      </c>
      <c r="AE208">
        <v>10555092</v>
      </c>
      <c r="AF208">
        <v>366425</v>
      </c>
      <c r="AH208" t="s">
        <v>262</v>
      </c>
      <c r="AI208" t="s">
        <v>262</v>
      </c>
      <c r="AJ208" t="s">
        <v>261</v>
      </c>
      <c r="AK208" t="s">
        <v>261</v>
      </c>
      <c r="AM208" t="s">
        <v>262</v>
      </c>
      <c r="AN208" t="s">
        <v>831</v>
      </c>
    </row>
    <row r="209" spans="1:40" x14ac:dyDescent="0.35">
      <c r="A209">
        <v>1173261</v>
      </c>
      <c r="B209" t="s">
        <v>832</v>
      </c>
      <c r="C209" t="str">
        <f>"9780822354024"</f>
        <v>9780822354024</v>
      </c>
      <c r="D209" t="str">
        <f>"9780822399063"</f>
        <v>9780822399063</v>
      </c>
      <c r="E209" t="s">
        <v>687</v>
      </c>
      <c r="F209" t="s">
        <v>687</v>
      </c>
      <c r="G209" s="1">
        <v>41344</v>
      </c>
      <c r="H209" s="1">
        <v>41382</v>
      </c>
      <c r="I209" t="s">
        <v>189</v>
      </c>
      <c r="J209">
        <v>1</v>
      </c>
      <c r="K209" t="s">
        <v>710</v>
      </c>
      <c r="L209" t="s">
        <v>833</v>
      </c>
    </row>
    <row r="210" spans="1:40" x14ac:dyDescent="0.35">
      <c r="A210">
        <v>1173268</v>
      </c>
      <c r="B210" t="s">
        <v>834</v>
      </c>
      <c r="C210" t="str">
        <f>"9780822351771"</f>
        <v>9780822351771</v>
      </c>
      <c r="D210" t="str">
        <f>"9780822395119"</f>
        <v>9780822395119</v>
      </c>
      <c r="E210" t="s">
        <v>687</v>
      </c>
      <c r="F210" t="s">
        <v>687</v>
      </c>
      <c r="G210" s="1">
        <v>41029</v>
      </c>
      <c r="H210" s="1">
        <v>41382</v>
      </c>
      <c r="I210" t="s">
        <v>189</v>
      </c>
      <c r="J210">
        <v>1</v>
      </c>
      <c r="L210" t="s">
        <v>835</v>
      </c>
      <c r="M210" t="s">
        <v>329</v>
      </c>
      <c r="N210" t="s">
        <v>836</v>
      </c>
      <c r="O210" t="s">
        <v>837</v>
      </c>
      <c r="Q210" t="s">
        <v>260</v>
      </c>
      <c r="R210" t="s">
        <v>261</v>
      </c>
      <c r="S210" t="s">
        <v>261</v>
      </c>
      <c r="T210" t="s">
        <v>261</v>
      </c>
      <c r="U210" t="s">
        <v>261</v>
      </c>
      <c r="V210" t="s">
        <v>262</v>
      </c>
      <c r="W210" t="s">
        <v>261</v>
      </c>
      <c r="X210" t="s">
        <v>261</v>
      </c>
      <c r="Y210" t="s">
        <v>261</v>
      </c>
      <c r="Z210" t="s">
        <v>409</v>
      </c>
      <c r="AB210" t="s">
        <v>409</v>
      </c>
      <c r="AC210" t="s">
        <v>409</v>
      </c>
      <c r="AD210" t="s">
        <v>262</v>
      </c>
      <c r="AE210">
        <v>10551786</v>
      </c>
      <c r="AF210">
        <v>366428</v>
      </c>
      <c r="AH210" t="s">
        <v>262</v>
      </c>
      <c r="AI210" t="s">
        <v>262</v>
      </c>
      <c r="AJ210" t="s">
        <v>261</v>
      </c>
      <c r="AK210" t="s">
        <v>261</v>
      </c>
      <c r="AM210" t="s">
        <v>262</v>
      </c>
      <c r="AN210" t="s">
        <v>838</v>
      </c>
    </row>
    <row r="211" spans="1:40" x14ac:dyDescent="0.35">
      <c r="A211">
        <v>1173296</v>
      </c>
      <c r="B211" t="s">
        <v>839</v>
      </c>
      <c r="C211" t="str">
        <f>"9780822352501"</f>
        <v>9780822352501</v>
      </c>
      <c r="D211" t="str">
        <f>"9780822395485"</f>
        <v>9780822395485</v>
      </c>
      <c r="E211" t="s">
        <v>687</v>
      </c>
      <c r="F211" t="s">
        <v>687</v>
      </c>
      <c r="G211" s="1">
        <v>41065</v>
      </c>
      <c r="H211" s="1">
        <v>41382</v>
      </c>
      <c r="I211" t="s">
        <v>189</v>
      </c>
      <c r="J211">
        <v>1</v>
      </c>
      <c r="K211" t="s">
        <v>710</v>
      </c>
      <c r="L211" t="s">
        <v>840</v>
      </c>
      <c r="M211" t="s">
        <v>219</v>
      </c>
      <c r="N211" t="s">
        <v>841</v>
      </c>
      <c r="Q211" t="s">
        <v>260</v>
      </c>
      <c r="R211" t="s">
        <v>261</v>
      </c>
      <c r="S211" t="s">
        <v>261</v>
      </c>
      <c r="T211" t="s">
        <v>261</v>
      </c>
      <c r="U211" t="s">
        <v>261</v>
      </c>
      <c r="V211" t="s">
        <v>262</v>
      </c>
      <c r="W211" t="s">
        <v>261</v>
      </c>
      <c r="X211" t="s">
        <v>261</v>
      </c>
      <c r="Y211" t="s">
        <v>261</v>
      </c>
      <c r="Z211" t="s">
        <v>409</v>
      </c>
      <c r="AB211" t="s">
        <v>409</v>
      </c>
      <c r="AC211" t="s">
        <v>409</v>
      </c>
      <c r="AD211" t="s">
        <v>262</v>
      </c>
      <c r="AE211">
        <v>10571132</v>
      </c>
      <c r="AF211">
        <v>385460</v>
      </c>
      <c r="AH211" t="s">
        <v>262</v>
      </c>
      <c r="AI211" t="s">
        <v>262</v>
      </c>
      <c r="AJ211" t="s">
        <v>261</v>
      </c>
      <c r="AK211" t="s">
        <v>261</v>
      </c>
      <c r="AM211" t="s">
        <v>262</v>
      </c>
      <c r="AN211" t="s">
        <v>842</v>
      </c>
    </row>
    <row r="212" spans="1:40" x14ac:dyDescent="0.35">
      <c r="A212">
        <v>1173303</v>
      </c>
      <c r="B212" t="s">
        <v>843</v>
      </c>
      <c r="C212" t="str">
        <f>"9780822351696"</f>
        <v>9780822351696</v>
      </c>
      <c r="D212" t="str">
        <f>"9780822395034"</f>
        <v>9780822395034</v>
      </c>
      <c r="E212" t="s">
        <v>687</v>
      </c>
      <c r="F212" t="s">
        <v>687</v>
      </c>
      <c r="G212" s="1">
        <v>40998</v>
      </c>
      <c r="H212" s="1">
        <v>41382</v>
      </c>
      <c r="I212" t="s">
        <v>189</v>
      </c>
      <c r="J212">
        <v>1</v>
      </c>
      <c r="L212" t="s">
        <v>844</v>
      </c>
      <c r="M212" t="s">
        <v>239</v>
      </c>
    </row>
    <row r="213" spans="1:40" x14ac:dyDescent="0.35">
      <c r="A213">
        <v>1174172</v>
      </c>
      <c r="B213" t="s">
        <v>845</v>
      </c>
      <c r="C213" t="str">
        <f>"9788376560106"</f>
        <v>9788376560106</v>
      </c>
      <c r="D213" t="str">
        <f>"9788376560113"</f>
        <v>9788376560113</v>
      </c>
      <c r="E213" t="s">
        <v>415</v>
      </c>
      <c r="F213" t="s">
        <v>659</v>
      </c>
      <c r="G213" s="1">
        <v>41452</v>
      </c>
      <c r="H213" s="1">
        <v>41585</v>
      </c>
      <c r="I213" t="s">
        <v>189</v>
      </c>
      <c r="J213">
        <v>1</v>
      </c>
      <c r="L213" t="s">
        <v>846</v>
      </c>
      <c r="M213" t="s">
        <v>847</v>
      </c>
    </row>
    <row r="214" spans="1:40" x14ac:dyDescent="0.35">
      <c r="A214">
        <v>1179263</v>
      </c>
      <c r="B214" t="s">
        <v>848</v>
      </c>
      <c r="C214" t="str">
        <f>"9780822353072"</f>
        <v>9780822353072</v>
      </c>
      <c r="D214" t="str">
        <f>"9780822395690"</f>
        <v>9780822395690</v>
      </c>
      <c r="E214" t="s">
        <v>687</v>
      </c>
      <c r="F214" t="s">
        <v>687</v>
      </c>
      <c r="G214" s="1">
        <v>41360</v>
      </c>
      <c r="H214" s="1">
        <v>41387</v>
      </c>
      <c r="I214" t="s">
        <v>189</v>
      </c>
      <c r="J214">
        <v>1</v>
      </c>
      <c r="L214" t="s">
        <v>849</v>
      </c>
      <c r="M214" t="s">
        <v>329</v>
      </c>
    </row>
    <row r="215" spans="1:40" x14ac:dyDescent="0.35">
      <c r="A215">
        <v>1184364</v>
      </c>
      <c r="B215" t="s">
        <v>850</v>
      </c>
      <c r="C215" t="str">
        <f>"9783110320022"</f>
        <v>9783110320022</v>
      </c>
      <c r="D215" t="str">
        <f>"9783110320268"</f>
        <v>9783110320268</v>
      </c>
      <c r="E215" t="s">
        <v>415</v>
      </c>
      <c r="F215" t="s">
        <v>665</v>
      </c>
      <c r="G215" s="1">
        <v>41806</v>
      </c>
      <c r="H215" s="1">
        <v>42220</v>
      </c>
      <c r="I215" t="s">
        <v>189</v>
      </c>
      <c r="J215">
        <v>1</v>
      </c>
      <c r="K215" t="s">
        <v>851</v>
      </c>
      <c r="L215" t="s">
        <v>852</v>
      </c>
      <c r="M215" t="s">
        <v>239</v>
      </c>
      <c r="N215" t="s">
        <v>853</v>
      </c>
      <c r="O215" s="2">
        <v>9405318</v>
      </c>
      <c r="P215" t="s">
        <v>854</v>
      </c>
    </row>
    <row r="216" spans="1:40" x14ac:dyDescent="0.35">
      <c r="A216">
        <v>1195380</v>
      </c>
      <c r="B216" t="s">
        <v>855</v>
      </c>
      <c r="C216" t="str">
        <f>"9783110325164"</f>
        <v>9783110325164</v>
      </c>
      <c r="D216" t="str">
        <f>"9783110325904"</f>
        <v>9783110325904</v>
      </c>
      <c r="E216" t="s">
        <v>346</v>
      </c>
      <c r="F216" t="s">
        <v>346</v>
      </c>
      <c r="G216" s="1">
        <v>40892</v>
      </c>
      <c r="H216" s="1">
        <v>41452</v>
      </c>
      <c r="I216" t="s">
        <v>189</v>
      </c>
      <c r="J216">
        <v>1</v>
      </c>
      <c r="K216" t="s">
        <v>856</v>
      </c>
      <c r="L216" t="s">
        <v>857</v>
      </c>
    </row>
    <row r="217" spans="1:40" x14ac:dyDescent="0.35">
      <c r="A217">
        <v>1195384</v>
      </c>
      <c r="B217" t="s">
        <v>858</v>
      </c>
      <c r="C217" t="str">
        <f>"9783110328592"</f>
        <v>9783110328592</v>
      </c>
      <c r="D217" t="str">
        <f>"9783110328912"</f>
        <v>9783110328912</v>
      </c>
      <c r="E217" t="s">
        <v>346</v>
      </c>
      <c r="F217" t="s">
        <v>346</v>
      </c>
      <c r="G217" s="1">
        <v>38913</v>
      </c>
      <c r="H217" s="1">
        <v>41452</v>
      </c>
      <c r="I217" t="s">
        <v>189</v>
      </c>
      <c r="J217">
        <v>1</v>
      </c>
      <c r="K217" t="s">
        <v>859</v>
      </c>
      <c r="L217" t="s">
        <v>8</v>
      </c>
    </row>
    <row r="218" spans="1:40" x14ac:dyDescent="0.35">
      <c r="A218">
        <v>1195385</v>
      </c>
      <c r="B218" t="s">
        <v>860</v>
      </c>
      <c r="C218" t="str">
        <f>"9783110328622"</f>
        <v>9783110328622</v>
      </c>
      <c r="D218" t="str">
        <f>"9783110328974"</f>
        <v>9783110328974</v>
      </c>
      <c r="E218" t="s">
        <v>346</v>
      </c>
      <c r="F218" t="s">
        <v>346</v>
      </c>
      <c r="G218" s="1">
        <v>39248</v>
      </c>
      <c r="H218" s="1">
        <v>41452</v>
      </c>
      <c r="I218" t="s">
        <v>189</v>
      </c>
      <c r="J218">
        <v>1</v>
      </c>
      <c r="K218" t="s">
        <v>859</v>
      </c>
      <c r="L218" t="s">
        <v>861</v>
      </c>
    </row>
    <row r="219" spans="1:40" x14ac:dyDescent="0.35">
      <c r="A219">
        <v>1195404</v>
      </c>
      <c r="B219" t="s">
        <v>862</v>
      </c>
      <c r="C219" t="str">
        <f>"9783110330199"</f>
        <v>9783110330199</v>
      </c>
      <c r="D219" t="str">
        <f>"9783110330595"</f>
        <v>9783110330595</v>
      </c>
      <c r="E219" t="s">
        <v>346</v>
      </c>
      <c r="F219" t="s">
        <v>346</v>
      </c>
      <c r="G219" s="1">
        <v>40373</v>
      </c>
      <c r="H219" s="1">
        <v>41452</v>
      </c>
      <c r="I219" t="s">
        <v>189</v>
      </c>
      <c r="J219">
        <v>1</v>
      </c>
      <c r="K219" t="s">
        <v>859</v>
      </c>
      <c r="L219" t="s">
        <v>863</v>
      </c>
    </row>
    <row r="220" spans="1:40" x14ac:dyDescent="0.35">
      <c r="A220">
        <v>1195405</v>
      </c>
      <c r="B220" t="s">
        <v>864</v>
      </c>
      <c r="C220" t="str">
        <f>"9783110333022"</f>
        <v>9783110333022</v>
      </c>
      <c r="D220" t="str">
        <f>"9783110333213"</f>
        <v>9783110333213</v>
      </c>
      <c r="E220" t="s">
        <v>346</v>
      </c>
      <c r="F220" t="s">
        <v>346</v>
      </c>
      <c r="G220" s="1">
        <v>41396</v>
      </c>
      <c r="H220" s="1">
        <v>41680</v>
      </c>
      <c r="I220" t="s">
        <v>189</v>
      </c>
      <c r="J220">
        <v>1</v>
      </c>
      <c r="K220" t="s">
        <v>859</v>
      </c>
      <c r="L220" t="s">
        <v>865</v>
      </c>
    </row>
    <row r="221" spans="1:40" x14ac:dyDescent="0.35">
      <c r="A221">
        <v>1195413</v>
      </c>
      <c r="B221" t="s">
        <v>866</v>
      </c>
      <c r="C221" t="str">
        <f>"9783110328639"</f>
        <v>9783110328639</v>
      </c>
      <c r="D221" t="str">
        <f>"9783110328998"</f>
        <v>9783110328998</v>
      </c>
      <c r="E221" t="s">
        <v>346</v>
      </c>
      <c r="F221" t="s">
        <v>346</v>
      </c>
      <c r="G221" s="1">
        <v>39614</v>
      </c>
      <c r="H221" s="1">
        <v>41452</v>
      </c>
      <c r="I221" t="s">
        <v>189</v>
      </c>
      <c r="J221">
        <v>1</v>
      </c>
      <c r="K221" t="s">
        <v>859</v>
      </c>
      <c r="L221" t="s">
        <v>867</v>
      </c>
    </row>
    <row r="222" spans="1:40" x14ac:dyDescent="0.35">
      <c r="A222">
        <v>1195435</v>
      </c>
      <c r="B222" t="s">
        <v>868</v>
      </c>
      <c r="C222" t="str">
        <f>"9783110329353"</f>
        <v>9783110329353</v>
      </c>
      <c r="D222" t="str">
        <f>"9783110329490"</f>
        <v>9783110329490</v>
      </c>
      <c r="E222" t="s">
        <v>346</v>
      </c>
      <c r="F222" t="s">
        <v>346</v>
      </c>
      <c r="G222" s="1">
        <v>40115</v>
      </c>
      <c r="H222" s="1">
        <v>41452</v>
      </c>
      <c r="I222" t="s">
        <v>189</v>
      </c>
      <c r="J222">
        <v>1</v>
      </c>
      <c r="K222" t="s">
        <v>859</v>
      </c>
      <c r="L222" t="s">
        <v>869</v>
      </c>
    </row>
    <row r="223" spans="1:40" x14ac:dyDescent="0.35">
      <c r="A223">
        <v>1195439</v>
      </c>
      <c r="B223" t="s">
        <v>870</v>
      </c>
      <c r="C223" t="str">
        <f>"9783110327267"</f>
        <v>9783110327267</v>
      </c>
      <c r="D223" t="str">
        <f>"9783110327496"</f>
        <v>9783110327496</v>
      </c>
      <c r="E223" t="s">
        <v>346</v>
      </c>
      <c r="F223" t="s">
        <v>346</v>
      </c>
      <c r="G223" s="1">
        <v>38336</v>
      </c>
      <c r="H223" s="1">
        <v>41452</v>
      </c>
      <c r="I223" t="s">
        <v>189</v>
      </c>
      <c r="J223">
        <v>1</v>
      </c>
      <c r="K223" t="s">
        <v>871</v>
      </c>
      <c r="L223" t="s">
        <v>872</v>
      </c>
    </row>
    <row r="224" spans="1:40" x14ac:dyDescent="0.35">
      <c r="A224">
        <v>1195442</v>
      </c>
      <c r="B224" t="s">
        <v>873</v>
      </c>
      <c r="C224" t="str">
        <f>"9783110326741"</f>
        <v>9783110326741</v>
      </c>
      <c r="D224" t="str">
        <f>"9783110327199"</f>
        <v>9783110327199</v>
      </c>
      <c r="E224" t="s">
        <v>346</v>
      </c>
      <c r="F224" t="s">
        <v>346</v>
      </c>
      <c r="G224" s="1">
        <v>39938</v>
      </c>
      <c r="H224" s="1">
        <v>41452</v>
      </c>
      <c r="I224" t="s">
        <v>189</v>
      </c>
      <c r="J224">
        <v>1</v>
      </c>
      <c r="K224" t="s">
        <v>871</v>
      </c>
      <c r="L224" t="s">
        <v>874</v>
      </c>
    </row>
    <row r="225" spans="1:40" x14ac:dyDescent="0.35">
      <c r="A225">
        <v>1195459</v>
      </c>
      <c r="B225" t="s">
        <v>875</v>
      </c>
      <c r="C225" t="str">
        <f>"9783110330120"</f>
        <v>9783110330120</v>
      </c>
      <c r="D225" t="str">
        <f>"9783110330496"</f>
        <v>9783110330496</v>
      </c>
      <c r="E225" t="s">
        <v>346</v>
      </c>
      <c r="F225" t="s">
        <v>346</v>
      </c>
      <c r="G225" s="1">
        <v>40754</v>
      </c>
      <c r="H225" s="1">
        <v>41480</v>
      </c>
      <c r="I225" t="s">
        <v>189</v>
      </c>
      <c r="J225">
        <v>1</v>
      </c>
      <c r="K225" t="s">
        <v>859</v>
      </c>
      <c r="L225" t="s">
        <v>876</v>
      </c>
    </row>
    <row r="226" spans="1:40" x14ac:dyDescent="0.35">
      <c r="A226">
        <v>1195474</v>
      </c>
      <c r="B226" t="s">
        <v>877</v>
      </c>
      <c r="C226" t="str">
        <f>"9783110328097"</f>
        <v>9783110328097</v>
      </c>
      <c r="D226" t="str">
        <f>"9783110328509"</f>
        <v>9783110328509</v>
      </c>
      <c r="E226" t="s">
        <v>346</v>
      </c>
      <c r="F226" t="s">
        <v>346</v>
      </c>
      <c r="G226" s="1">
        <v>39871</v>
      </c>
      <c r="H226" s="1">
        <v>41452</v>
      </c>
      <c r="I226" t="s">
        <v>189</v>
      </c>
      <c r="J226">
        <v>1</v>
      </c>
      <c r="K226" t="s">
        <v>859</v>
      </c>
      <c r="L226" t="s">
        <v>878</v>
      </c>
    </row>
    <row r="227" spans="1:40" x14ac:dyDescent="0.35">
      <c r="A227">
        <v>1195486</v>
      </c>
      <c r="B227" t="s">
        <v>879</v>
      </c>
      <c r="C227" t="str">
        <f>"9783110330137"</f>
        <v>9783110330137</v>
      </c>
      <c r="D227" t="str">
        <f>"9783110330519"</f>
        <v>9783110330519</v>
      </c>
      <c r="E227" t="s">
        <v>346</v>
      </c>
      <c r="F227" t="s">
        <v>346</v>
      </c>
      <c r="G227" s="1">
        <v>40754</v>
      </c>
      <c r="H227" s="1">
        <v>41480</v>
      </c>
      <c r="I227" t="s">
        <v>189</v>
      </c>
      <c r="J227">
        <v>1</v>
      </c>
      <c r="K227" t="s">
        <v>859</v>
      </c>
      <c r="L227" t="s">
        <v>876</v>
      </c>
    </row>
    <row r="228" spans="1:40" x14ac:dyDescent="0.35">
      <c r="A228">
        <v>1195506</v>
      </c>
      <c r="B228" t="s">
        <v>880</v>
      </c>
      <c r="C228" t="str">
        <f>"9783110330182"</f>
        <v>9783110330182</v>
      </c>
      <c r="D228" t="str">
        <f>"9783110330571"</f>
        <v>9783110330571</v>
      </c>
      <c r="E228" t="s">
        <v>346</v>
      </c>
      <c r="F228" t="s">
        <v>346</v>
      </c>
      <c r="G228" s="1">
        <v>40373</v>
      </c>
      <c r="H228" s="1">
        <v>41500</v>
      </c>
      <c r="I228" t="s">
        <v>189</v>
      </c>
      <c r="J228">
        <v>1</v>
      </c>
      <c r="K228" t="s">
        <v>859</v>
      </c>
      <c r="L228" t="s">
        <v>863</v>
      </c>
    </row>
    <row r="229" spans="1:40" x14ac:dyDescent="0.35">
      <c r="A229">
        <v>1195512</v>
      </c>
      <c r="B229" t="s">
        <v>881</v>
      </c>
      <c r="C229" t="str">
        <f>"9783110328530"</f>
        <v>9783110328530</v>
      </c>
      <c r="D229" t="str">
        <f>"9783110328837"</f>
        <v>9783110328837</v>
      </c>
      <c r="E229" t="s">
        <v>346</v>
      </c>
      <c r="F229" t="s">
        <v>346</v>
      </c>
      <c r="G229" s="1">
        <v>40905</v>
      </c>
      <c r="H229" s="1">
        <v>41452</v>
      </c>
      <c r="I229" t="s">
        <v>189</v>
      </c>
      <c r="J229">
        <v>1</v>
      </c>
      <c r="K229" t="s">
        <v>859</v>
      </c>
      <c r="L229" t="s">
        <v>882</v>
      </c>
    </row>
    <row r="230" spans="1:40" x14ac:dyDescent="0.35">
      <c r="A230">
        <v>1195514</v>
      </c>
      <c r="B230" t="s">
        <v>883</v>
      </c>
      <c r="C230" t="str">
        <f>"9783110328608"</f>
        <v>9783110328608</v>
      </c>
      <c r="D230" t="str">
        <f>"9783110328936"</f>
        <v>9783110328936</v>
      </c>
      <c r="E230" t="s">
        <v>346</v>
      </c>
      <c r="F230" t="s">
        <v>346</v>
      </c>
      <c r="G230" s="1">
        <v>39217</v>
      </c>
      <c r="H230" s="1">
        <v>41452</v>
      </c>
      <c r="I230" t="s">
        <v>189</v>
      </c>
      <c r="J230">
        <v>1</v>
      </c>
      <c r="K230" t="s">
        <v>859</v>
      </c>
      <c r="L230" t="s">
        <v>861</v>
      </c>
    </row>
    <row r="231" spans="1:40" x14ac:dyDescent="0.35">
      <c r="A231">
        <v>1195535</v>
      </c>
      <c r="B231" t="s">
        <v>884</v>
      </c>
      <c r="C231" t="str">
        <f>"9783110326635"</f>
        <v>9783110326635</v>
      </c>
      <c r="D231" t="str">
        <f>"9783110326970"</f>
        <v>9783110326970</v>
      </c>
      <c r="E231" t="s">
        <v>346</v>
      </c>
      <c r="F231" t="s">
        <v>346</v>
      </c>
      <c r="G231" s="1">
        <v>39128</v>
      </c>
      <c r="H231" s="1">
        <v>41452</v>
      </c>
      <c r="I231" t="s">
        <v>189</v>
      </c>
      <c r="J231">
        <v>1</v>
      </c>
      <c r="K231" t="s">
        <v>856</v>
      </c>
      <c r="L231" t="s">
        <v>885</v>
      </c>
      <c r="M231" t="s">
        <v>199</v>
      </c>
      <c r="N231" t="s">
        <v>886</v>
      </c>
      <c r="O231" s="2">
        <v>121686</v>
      </c>
      <c r="P231" t="s">
        <v>887</v>
      </c>
      <c r="Q231" t="s">
        <v>260</v>
      </c>
      <c r="R231" t="s">
        <v>261</v>
      </c>
      <c r="S231" t="s">
        <v>261</v>
      </c>
      <c r="T231" t="s">
        <v>261</v>
      </c>
      <c r="U231" t="s">
        <v>262</v>
      </c>
      <c r="V231" t="s">
        <v>262</v>
      </c>
      <c r="W231" t="s">
        <v>261</v>
      </c>
      <c r="X231" t="s">
        <v>262</v>
      </c>
      <c r="Y231" t="s">
        <v>261</v>
      </c>
      <c r="Z231" t="s">
        <v>409</v>
      </c>
      <c r="AA231" t="s">
        <v>409</v>
      </c>
      <c r="AB231" t="s">
        <v>409</v>
      </c>
      <c r="AC231" t="s">
        <v>409</v>
      </c>
      <c r="AD231" t="s">
        <v>262</v>
      </c>
      <c r="AE231">
        <v>10728633</v>
      </c>
      <c r="AF231">
        <v>503675</v>
      </c>
      <c r="AH231" t="s">
        <v>262</v>
      </c>
      <c r="AI231" t="s">
        <v>262</v>
      </c>
      <c r="AJ231" t="s">
        <v>261</v>
      </c>
      <c r="AK231" t="s">
        <v>261</v>
      </c>
      <c r="AM231" t="s">
        <v>262</v>
      </c>
      <c r="AN231" t="s">
        <v>888</v>
      </c>
    </row>
    <row r="232" spans="1:40" x14ac:dyDescent="0.35">
      <c r="A232">
        <v>1195545</v>
      </c>
      <c r="B232" t="s">
        <v>889</v>
      </c>
      <c r="C232" t="str">
        <f>"9783110328073"</f>
        <v>9783110328073</v>
      </c>
      <c r="D232" t="str">
        <f>"9783110328462"</f>
        <v>9783110328462</v>
      </c>
      <c r="E232" t="s">
        <v>346</v>
      </c>
      <c r="F232" t="s">
        <v>346</v>
      </c>
      <c r="G232" s="1">
        <v>39644</v>
      </c>
      <c r="H232" s="1">
        <v>41452</v>
      </c>
      <c r="I232" t="s">
        <v>189</v>
      </c>
      <c r="J232">
        <v>1</v>
      </c>
      <c r="K232" t="s">
        <v>859</v>
      </c>
      <c r="L232" t="s">
        <v>8</v>
      </c>
    </row>
    <row r="233" spans="1:40" x14ac:dyDescent="0.35">
      <c r="A233">
        <v>1195546</v>
      </c>
      <c r="B233" t="s">
        <v>890</v>
      </c>
      <c r="C233" t="str">
        <f>"9783110328080"</f>
        <v>9783110328080</v>
      </c>
      <c r="D233" t="str">
        <f>"9783110328486"</f>
        <v>9783110328486</v>
      </c>
      <c r="E233" t="s">
        <v>346</v>
      </c>
      <c r="F233" t="s">
        <v>346</v>
      </c>
      <c r="G233" s="1">
        <v>39644</v>
      </c>
      <c r="H233" s="1">
        <v>41452</v>
      </c>
      <c r="I233" t="s">
        <v>189</v>
      </c>
      <c r="J233">
        <v>1</v>
      </c>
      <c r="K233" t="s">
        <v>859</v>
      </c>
      <c r="L233" t="s">
        <v>7</v>
      </c>
    </row>
    <row r="234" spans="1:40" x14ac:dyDescent="0.35">
      <c r="A234">
        <v>1195558</v>
      </c>
      <c r="B234" t="s">
        <v>891</v>
      </c>
      <c r="C234" t="str">
        <f>"9783110324501"</f>
        <v>9783110324501</v>
      </c>
      <c r="D234" t="str">
        <f>"9783110324860"</f>
        <v>9783110324860</v>
      </c>
      <c r="E234" t="s">
        <v>346</v>
      </c>
      <c r="F234" t="s">
        <v>346</v>
      </c>
      <c r="G234" s="1">
        <v>39614</v>
      </c>
      <c r="H234" s="1">
        <v>41452</v>
      </c>
      <c r="I234" t="s">
        <v>189</v>
      </c>
      <c r="J234">
        <v>1</v>
      </c>
      <c r="K234" t="s">
        <v>892</v>
      </c>
      <c r="L234" t="s">
        <v>893</v>
      </c>
    </row>
    <row r="235" spans="1:40" x14ac:dyDescent="0.35">
      <c r="A235">
        <v>1195561</v>
      </c>
      <c r="B235" t="s">
        <v>894</v>
      </c>
      <c r="C235" t="str">
        <f>"9783110326758"</f>
        <v>9783110326758</v>
      </c>
      <c r="D235" t="str">
        <f>"9783110327212"</f>
        <v>9783110327212</v>
      </c>
      <c r="E235" t="s">
        <v>346</v>
      </c>
      <c r="F235" t="s">
        <v>346</v>
      </c>
      <c r="G235" s="1">
        <v>38457</v>
      </c>
      <c r="H235" s="1">
        <v>41452</v>
      </c>
      <c r="I235" t="s">
        <v>189</v>
      </c>
      <c r="J235">
        <v>1</v>
      </c>
      <c r="K235" t="s">
        <v>856</v>
      </c>
      <c r="L235" t="s">
        <v>895</v>
      </c>
      <c r="M235" t="s">
        <v>199</v>
      </c>
      <c r="N235" t="s">
        <v>896</v>
      </c>
      <c r="O235" t="s">
        <v>897</v>
      </c>
      <c r="P235" t="s">
        <v>898</v>
      </c>
      <c r="Q235" t="s">
        <v>408</v>
      </c>
      <c r="R235" t="s">
        <v>261</v>
      </c>
      <c r="S235" t="s">
        <v>261</v>
      </c>
      <c r="T235" t="s">
        <v>261</v>
      </c>
      <c r="U235" t="s">
        <v>262</v>
      </c>
      <c r="V235" t="s">
        <v>262</v>
      </c>
      <c r="W235" t="s">
        <v>261</v>
      </c>
      <c r="X235" t="s">
        <v>262</v>
      </c>
      <c r="Y235" t="s">
        <v>261</v>
      </c>
      <c r="Z235" t="s">
        <v>409</v>
      </c>
      <c r="AA235" t="s">
        <v>409</v>
      </c>
      <c r="AB235" t="s">
        <v>409</v>
      </c>
      <c r="AC235" t="s">
        <v>409</v>
      </c>
      <c r="AD235" t="s">
        <v>262</v>
      </c>
      <c r="AE235">
        <v>10728724</v>
      </c>
      <c r="AH235" t="s">
        <v>262</v>
      </c>
      <c r="AI235" t="s">
        <v>262</v>
      </c>
      <c r="AJ235" t="s">
        <v>261</v>
      </c>
      <c r="AK235" t="s">
        <v>261</v>
      </c>
      <c r="AM235" t="s">
        <v>262</v>
      </c>
      <c r="AN235" t="s">
        <v>899</v>
      </c>
    </row>
    <row r="236" spans="1:40" x14ac:dyDescent="0.35">
      <c r="A236">
        <v>1195574</v>
      </c>
      <c r="B236" t="s">
        <v>900</v>
      </c>
      <c r="C236" t="str">
        <f>"9783110325201"</f>
        <v>9783110325201</v>
      </c>
      <c r="D236" t="str">
        <f>"9783110325980"</f>
        <v>9783110325980</v>
      </c>
      <c r="E236" t="s">
        <v>346</v>
      </c>
      <c r="F236" t="s">
        <v>346</v>
      </c>
      <c r="G236" s="1">
        <v>39729</v>
      </c>
      <c r="H236" s="1">
        <v>41452</v>
      </c>
      <c r="I236" t="s">
        <v>189</v>
      </c>
      <c r="J236">
        <v>1</v>
      </c>
      <c r="K236" t="s">
        <v>856</v>
      </c>
      <c r="L236" t="s">
        <v>901</v>
      </c>
    </row>
    <row r="237" spans="1:40" x14ac:dyDescent="0.35">
      <c r="A237">
        <v>1205493</v>
      </c>
      <c r="B237" t="s">
        <v>902</v>
      </c>
      <c r="C237" t="str">
        <f>"9789004235700"</f>
        <v>9789004235700</v>
      </c>
      <c r="D237" t="str">
        <f>"9789004248168"</f>
        <v>9789004248168</v>
      </c>
      <c r="E237" t="s">
        <v>903</v>
      </c>
      <c r="F237" t="s">
        <v>903</v>
      </c>
      <c r="G237" s="1">
        <v>41411</v>
      </c>
      <c r="H237" s="1">
        <v>41426</v>
      </c>
      <c r="I237" t="s">
        <v>189</v>
      </c>
      <c r="J237">
        <v>1</v>
      </c>
      <c r="K237" t="s">
        <v>904</v>
      </c>
      <c r="L237" t="s">
        <v>905</v>
      </c>
      <c r="M237" t="s">
        <v>316</v>
      </c>
    </row>
    <row r="238" spans="1:40" x14ac:dyDescent="0.35">
      <c r="A238">
        <v>1209316</v>
      </c>
      <c r="B238" t="s">
        <v>906</v>
      </c>
      <c r="C238" t="str">
        <f>"9783110322262"</f>
        <v>9783110322262</v>
      </c>
      <c r="D238" t="str">
        <f>"9783110322644"</f>
        <v>9783110322644</v>
      </c>
      <c r="E238" t="s">
        <v>346</v>
      </c>
      <c r="F238" t="s">
        <v>346</v>
      </c>
      <c r="G238" s="1">
        <v>40709</v>
      </c>
      <c r="H238" s="1">
        <v>41480</v>
      </c>
      <c r="I238" t="s">
        <v>189</v>
      </c>
      <c r="J238">
        <v>1</v>
      </c>
      <c r="K238" t="s">
        <v>907</v>
      </c>
      <c r="L238" t="s">
        <v>908</v>
      </c>
      <c r="M238" t="s">
        <v>199</v>
      </c>
      <c r="N238" t="s">
        <v>909</v>
      </c>
      <c r="O238">
        <v>111</v>
      </c>
      <c r="P238" t="s">
        <v>910</v>
      </c>
    </row>
    <row r="239" spans="1:40" x14ac:dyDescent="0.35">
      <c r="A239">
        <v>1209317</v>
      </c>
      <c r="B239" t="s">
        <v>911</v>
      </c>
      <c r="C239" t="str">
        <f>"9783110322316"</f>
        <v>9783110322316</v>
      </c>
      <c r="D239" t="str">
        <f>"9783110322743"</f>
        <v>9783110322743</v>
      </c>
      <c r="E239" t="s">
        <v>346</v>
      </c>
      <c r="F239" t="s">
        <v>346</v>
      </c>
      <c r="G239" s="1">
        <v>37483</v>
      </c>
      <c r="H239" s="1">
        <v>41452</v>
      </c>
      <c r="I239" t="s">
        <v>189</v>
      </c>
      <c r="J239">
        <v>1</v>
      </c>
      <c r="K239" t="s">
        <v>907</v>
      </c>
      <c r="L239" t="s">
        <v>912</v>
      </c>
      <c r="M239" t="s">
        <v>199</v>
      </c>
    </row>
    <row r="240" spans="1:40" x14ac:dyDescent="0.35">
      <c r="A240">
        <v>1209342</v>
      </c>
      <c r="B240" t="s">
        <v>913</v>
      </c>
      <c r="C240" t="str">
        <f>"9783110322309"</f>
        <v>9783110322309</v>
      </c>
      <c r="D240" t="str">
        <f>"9783110322729"</f>
        <v>9783110322729</v>
      </c>
      <c r="E240" t="s">
        <v>346</v>
      </c>
      <c r="F240" t="s">
        <v>346</v>
      </c>
      <c r="G240" s="1">
        <v>41167</v>
      </c>
      <c r="H240" s="1">
        <v>41452</v>
      </c>
      <c r="I240" t="s">
        <v>189</v>
      </c>
      <c r="J240">
        <v>1</v>
      </c>
      <c r="K240" t="s">
        <v>907</v>
      </c>
      <c r="L240" t="s">
        <v>914</v>
      </c>
    </row>
    <row r="241" spans="1:40" x14ac:dyDescent="0.35">
      <c r="A241">
        <v>1209346</v>
      </c>
      <c r="B241" t="s">
        <v>915</v>
      </c>
      <c r="C241" t="str">
        <f>"9783110325133"</f>
        <v>9783110325133</v>
      </c>
      <c r="D241" t="str">
        <f>"9783110325843"</f>
        <v>9783110325843</v>
      </c>
      <c r="E241" t="s">
        <v>346</v>
      </c>
      <c r="F241" t="s">
        <v>346</v>
      </c>
      <c r="G241" s="1">
        <v>41214</v>
      </c>
      <c r="H241" s="1">
        <v>41452</v>
      </c>
      <c r="I241" t="s">
        <v>189</v>
      </c>
      <c r="J241">
        <v>1</v>
      </c>
      <c r="K241" t="s">
        <v>856</v>
      </c>
      <c r="L241" t="s">
        <v>916</v>
      </c>
    </row>
    <row r="242" spans="1:40" x14ac:dyDescent="0.35">
      <c r="A242">
        <v>1209347</v>
      </c>
      <c r="B242" t="s">
        <v>917</v>
      </c>
      <c r="C242" t="str">
        <f>"9783110325263"</f>
        <v>9783110325263</v>
      </c>
      <c r="D242" t="str">
        <f>"9783110326109"</f>
        <v>9783110326109</v>
      </c>
      <c r="E242" t="s">
        <v>346</v>
      </c>
      <c r="F242" t="s">
        <v>346</v>
      </c>
      <c r="G242" s="1">
        <v>40231</v>
      </c>
      <c r="H242" s="1">
        <v>41452</v>
      </c>
      <c r="I242" t="s">
        <v>189</v>
      </c>
      <c r="J242">
        <v>1</v>
      </c>
      <c r="K242" t="s">
        <v>856</v>
      </c>
      <c r="L242" t="s">
        <v>918</v>
      </c>
      <c r="M242" t="s">
        <v>199</v>
      </c>
      <c r="N242" t="s">
        <v>919</v>
      </c>
      <c r="O242">
        <v>111</v>
      </c>
      <c r="P242" t="s">
        <v>898</v>
      </c>
      <c r="Q242" t="s">
        <v>260</v>
      </c>
      <c r="R242" t="s">
        <v>261</v>
      </c>
      <c r="S242" t="s">
        <v>261</v>
      </c>
      <c r="T242" t="s">
        <v>261</v>
      </c>
      <c r="U242" t="s">
        <v>262</v>
      </c>
      <c r="V242" t="s">
        <v>262</v>
      </c>
      <c r="W242" t="s">
        <v>261</v>
      </c>
      <c r="X242" t="s">
        <v>262</v>
      </c>
      <c r="Y242" t="s">
        <v>261</v>
      </c>
      <c r="Z242" t="s">
        <v>409</v>
      </c>
      <c r="AA242" t="s">
        <v>409</v>
      </c>
      <c r="AB242" t="s">
        <v>409</v>
      </c>
      <c r="AC242" t="s">
        <v>409</v>
      </c>
      <c r="AD242" t="s">
        <v>262</v>
      </c>
      <c r="AE242">
        <v>10728851</v>
      </c>
      <c r="AH242" t="s">
        <v>262</v>
      </c>
      <c r="AI242" t="s">
        <v>262</v>
      </c>
      <c r="AJ242" t="s">
        <v>261</v>
      </c>
      <c r="AK242" t="s">
        <v>261</v>
      </c>
      <c r="AM242" t="s">
        <v>262</v>
      </c>
      <c r="AN242" t="s">
        <v>920</v>
      </c>
    </row>
    <row r="243" spans="1:40" x14ac:dyDescent="0.35">
      <c r="A243">
        <v>1215533</v>
      </c>
      <c r="B243" t="s">
        <v>921</v>
      </c>
      <c r="C243" t="str">
        <f>"9783110319996"</f>
        <v>9783110319996</v>
      </c>
      <c r="D243" t="str">
        <f>"9783110320206"</f>
        <v>9783110320206</v>
      </c>
      <c r="E243" t="s">
        <v>346</v>
      </c>
      <c r="F243" t="s">
        <v>346</v>
      </c>
      <c r="G243" s="1">
        <v>40983</v>
      </c>
      <c r="H243" s="1">
        <v>41452</v>
      </c>
      <c r="I243" t="s">
        <v>189</v>
      </c>
      <c r="J243">
        <v>1</v>
      </c>
      <c r="L243" t="s">
        <v>885</v>
      </c>
      <c r="M243" t="s">
        <v>199</v>
      </c>
      <c r="N243" t="s">
        <v>922</v>
      </c>
      <c r="P243" t="s">
        <v>923</v>
      </c>
      <c r="Q243" t="s">
        <v>260</v>
      </c>
      <c r="R243" t="s">
        <v>261</v>
      </c>
      <c r="S243" t="s">
        <v>261</v>
      </c>
      <c r="T243" t="s">
        <v>261</v>
      </c>
      <c r="U243" t="s">
        <v>262</v>
      </c>
      <c r="V243" t="s">
        <v>262</v>
      </c>
      <c r="W243" t="s">
        <v>261</v>
      </c>
      <c r="X243" t="s">
        <v>262</v>
      </c>
      <c r="Y243" t="s">
        <v>261</v>
      </c>
      <c r="Z243" t="s">
        <v>409</v>
      </c>
      <c r="AA243" t="s">
        <v>409</v>
      </c>
      <c r="AB243" t="s">
        <v>409</v>
      </c>
      <c r="AC243" t="s">
        <v>409</v>
      </c>
      <c r="AD243" t="s">
        <v>262</v>
      </c>
      <c r="AE243">
        <v>10728972</v>
      </c>
      <c r="AF243">
        <v>503516</v>
      </c>
      <c r="AH243" t="s">
        <v>262</v>
      </c>
      <c r="AI243" t="s">
        <v>262</v>
      </c>
      <c r="AJ243" t="s">
        <v>261</v>
      </c>
      <c r="AK243" t="s">
        <v>261</v>
      </c>
      <c r="AM243" t="s">
        <v>262</v>
      </c>
      <c r="AN243" t="s">
        <v>924</v>
      </c>
    </row>
    <row r="244" spans="1:40" x14ac:dyDescent="0.35">
      <c r="A244">
        <v>1215551</v>
      </c>
      <c r="B244" t="s">
        <v>925</v>
      </c>
      <c r="C244" t="str">
        <f>"9783110321050"</f>
        <v>9783110321050</v>
      </c>
      <c r="D244" t="str">
        <f>"9783110321364"</f>
        <v>9783110321364</v>
      </c>
      <c r="E244" t="s">
        <v>346</v>
      </c>
      <c r="F244" t="s">
        <v>346</v>
      </c>
      <c r="G244" s="1">
        <v>39522</v>
      </c>
      <c r="H244" s="1">
        <v>41452</v>
      </c>
      <c r="I244" t="s">
        <v>189</v>
      </c>
      <c r="J244">
        <v>1</v>
      </c>
      <c r="L244" t="s">
        <v>926</v>
      </c>
    </row>
    <row r="245" spans="1:40" x14ac:dyDescent="0.35">
      <c r="A245">
        <v>1215560</v>
      </c>
      <c r="B245" t="s">
        <v>927</v>
      </c>
      <c r="C245" t="str">
        <f>"9783110322224"</f>
        <v>9783110322224</v>
      </c>
      <c r="D245" t="str">
        <f>"9783110322569"</f>
        <v>9783110322569</v>
      </c>
      <c r="E245" t="s">
        <v>346</v>
      </c>
      <c r="F245" t="s">
        <v>346</v>
      </c>
      <c r="G245" s="1">
        <v>40589</v>
      </c>
      <c r="H245" s="1">
        <v>41452</v>
      </c>
      <c r="I245" t="s">
        <v>189</v>
      </c>
      <c r="J245">
        <v>1</v>
      </c>
      <c r="K245" t="s">
        <v>907</v>
      </c>
      <c r="L245" t="s">
        <v>928</v>
      </c>
      <c r="M245" t="s">
        <v>199</v>
      </c>
    </row>
    <row r="246" spans="1:40" x14ac:dyDescent="0.35">
      <c r="A246">
        <v>1215562</v>
      </c>
      <c r="B246" t="s">
        <v>929</v>
      </c>
      <c r="C246" t="str">
        <f>"9783110322286"</f>
        <v>9783110322286</v>
      </c>
      <c r="D246" t="str">
        <f>"9783110322682"</f>
        <v>9783110322682</v>
      </c>
      <c r="E246" t="s">
        <v>346</v>
      </c>
      <c r="F246" t="s">
        <v>346</v>
      </c>
      <c r="G246" s="1">
        <v>41014</v>
      </c>
      <c r="H246" s="1">
        <v>41452</v>
      </c>
      <c r="I246" t="s">
        <v>189</v>
      </c>
      <c r="J246">
        <v>1</v>
      </c>
      <c r="K246" t="s">
        <v>907</v>
      </c>
      <c r="L246" t="s">
        <v>930</v>
      </c>
      <c r="M246" t="s">
        <v>199</v>
      </c>
      <c r="N246" t="s">
        <v>931</v>
      </c>
      <c r="O246" t="s">
        <v>932</v>
      </c>
      <c r="P246" t="s">
        <v>933</v>
      </c>
    </row>
    <row r="247" spans="1:40" x14ac:dyDescent="0.35">
      <c r="A247">
        <v>1215563</v>
      </c>
      <c r="B247" t="s">
        <v>934</v>
      </c>
      <c r="C247" t="str">
        <f>"9783110322293"</f>
        <v>9783110322293</v>
      </c>
      <c r="D247" t="str">
        <f>"9783110322705"</f>
        <v>9783110322705</v>
      </c>
      <c r="E247" t="s">
        <v>346</v>
      </c>
      <c r="F247" t="s">
        <v>346</v>
      </c>
      <c r="G247" s="1">
        <v>41014</v>
      </c>
      <c r="H247" s="1">
        <v>41452</v>
      </c>
      <c r="I247" t="s">
        <v>189</v>
      </c>
      <c r="J247">
        <v>1</v>
      </c>
      <c r="K247" t="s">
        <v>907</v>
      </c>
      <c r="L247" t="s">
        <v>935</v>
      </c>
      <c r="M247" t="s">
        <v>199</v>
      </c>
      <c r="N247" t="s">
        <v>936</v>
      </c>
      <c r="O247" t="s">
        <v>932</v>
      </c>
      <c r="P247" t="s">
        <v>937</v>
      </c>
    </row>
    <row r="248" spans="1:40" x14ac:dyDescent="0.35">
      <c r="A248">
        <v>1215569</v>
      </c>
      <c r="B248" t="s">
        <v>938</v>
      </c>
      <c r="C248" t="str">
        <f>"9783110322866"</f>
        <v>9783110322866</v>
      </c>
      <c r="D248" t="str">
        <f>"9783110323306"</f>
        <v>9783110323306</v>
      </c>
      <c r="E248" t="s">
        <v>346</v>
      </c>
      <c r="F248" t="s">
        <v>346</v>
      </c>
      <c r="G248" s="1">
        <v>38944</v>
      </c>
      <c r="H248" s="1">
        <v>41452</v>
      </c>
      <c r="I248" t="s">
        <v>189</v>
      </c>
      <c r="J248">
        <v>1</v>
      </c>
      <c r="K248" t="s">
        <v>907</v>
      </c>
      <c r="L248" t="s">
        <v>939</v>
      </c>
      <c r="M248" t="s">
        <v>535</v>
      </c>
    </row>
    <row r="249" spans="1:40" x14ac:dyDescent="0.35">
      <c r="A249">
        <v>1215571</v>
      </c>
      <c r="B249" t="s">
        <v>940</v>
      </c>
      <c r="C249" t="str">
        <f>"9783110322880"</f>
        <v>9783110322880</v>
      </c>
      <c r="D249" t="str">
        <f>"9783110323344"</f>
        <v>9783110323344</v>
      </c>
      <c r="E249" t="s">
        <v>346</v>
      </c>
      <c r="F249" t="s">
        <v>346</v>
      </c>
      <c r="G249" s="1">
        <v>39156</v>
      </c>
      <c r="H249" s="1">
        <v>41452</v>
      </c>
      <c r="I249" t="s">
        <v>189</v>
      </c>
      <c r="J249">
        <v>1</v>
      </c>
      <c r="K249" t="s">
        <v>907</v>
      </c>
      <c r="L249" t="s">
        <v>941</v>
      </c>
      <c r="M249" t="s">
        <v>535</v>
      </c>
    </row>
    <row r="250" spans="1:40" x14ac:dyDescent="0.35">
      <c r="A250">
        <v>1215593</v>
      </c>
      <c r="B250" t="s">
        <v>942</v>
      </c>
      <c r="C250" t="str">
        <f>"9783110325171"</f>
        <v>9783110325171</v>
      </c>
      <c r="D250" t="str">
        <f>"9783110325928"</f>
        <v>9783110325928</v>
      </c>
      <c r="E250" t="s">
        <v>346</v>
      </c>
      <c r="F250" t="s">
        <v>346</v>
      </c>
      <c r="G250" s="1">
        <v>41320</v>
      </c>
      <c r="H250" s="1">
        <v>41452</v>
      </c>
      <c r="I250" t="s">
        <v>189</v>
      </c>
      <c r="J250">
        <v>1</v>
      </c>
      <c r="K250" t="s">
        <v>856</v>
      </c>
      <c r="L250" t="s">
        <v>943</v>
      </c>
      <c r="M250" t="s">
        <v>944</v>
      </c>
    </row>
    <row r="251" spans="1:40" x14ac:dyDescent="0.35">
      <c r="A251">
        <v>1215602</v>
      </c>
      <c r="B251" t="s">
        <v>945</v>
      </c>
      <c r="C251" t="str">
        <f>"9783110326536"</f>
        <v>9783110326536</v>
      </c>
      <c r="D251" t="str">
        <f>"9783110326857"</f>
        <v>9783110326857</v>
      </c>
      <c r="E251" t="s">
        <v>346</v>
      </c>
      <c r="F251" t="s">
        <v>346</v>
      </c>
      <c r="G251" s="1">
        <v>38183</v>
      </c>
      <c r="H251" s="1">
        <v>41452</v>
      </c>
      <c r="I251" t="s">
        <v>189</v>
      </c>
      <c r="J251">
        <v>1</v>
      </c>
      <c r="K251" t="s">
        <v>856</v>
      </c>
      <c r="L251" t="s">
        <v>946</v>
      </c>
    </row>
    <row r="252" spans="1:40" x14ac:dyDescent="0.35">
      <c r="A252">
        <v>1215617</v>
      </c>
      <c r="B252" t="s">
        <v>947</v>
      </c>
      <c r="C252" t="str">
        <f>"9783110328547"</f>
        <v>9783110328547</v>
      </c>
      <c r="D252" t="str">
        <f>"9783110328851"</f>
        <v>9783110328851</v>
      </c>
      <c r="E252" t="s">
        <v>346</v>
      </c>
      <c r="F252" t="s">
        <v>346</v>
      </c>
      <c r="G252" s="1">
        <v>40016</v>
      </c>
      <c r="H252" s="1">
        <v>41452</v>
      </c>
      <c r="I252" t="s">
        <v>189</v>
      </c>
      <c r="J252">
        <v>1</v>
      </c>
      <c r="K252" t="s">
        <v>859</v>
      </c>
      <c r="L252" t="s">
        <v>948</v>
      </c>
    </row>
    <row r="253" spans="1:40" x14ac:dyDescent="0.35">
      <c r="A253">
        <v>1215618</v>
      </c>
      <c r="B253" t="s">
        <v>949</v>
      </c>
      <c r="C253" t="str">
        <f>"9783110328578"</f>
        <v>9783110328578</v>
      </c>
      <c r="D253" t="str">
        <f>"9783110328875"</f>
        <v>9783110328875</v>
      </c>
      <c r="E253" t="s">
        <v>346</v>
      </c>
      <c r="F253" t="s">
        <v>346</v>
      </c>
      <c r="G253" s="1">
        <v>40016</v>
      </c>
      <c r="H253" s="1">
        <v>41452</v>
      </c>
      <c r="I253" t="s">
        <v>189</v>
      </c>
      <c r="J253">
        <v>1</v>
      </c>
      <c r="K253" t="s">
        <v>859</v>
      </c>
      <c r="L253" t="s">
        <v>948</v>
      </c>
    </row>
    <row r="254" spans="1:40" x14ac:dyDescent="0.35">
      <c r="A254">
        <v>1215619</v>
      </c>
      <c r="B254" t="s">
        <v>950</v>
      </c>
      <c r="C254" t="str">
        <f>"9783110328523"</f>
        <v>9783110328523</v>
      </c>
      <c r="D254" t="str">
        <f>"9783110328813"</f>
        <v>9783110328813</v>
      </c>
      <c r="E254" t="s">
        <v>346</v>
      </c>
      <c r="F254" t="s">
        <v>346</v>
      </c>
      <c r="G254" s="1">
        <v>39948</v>
      </c>
      <c r="H254" s="1">
        <v>41452</v>
      </c>
      <c r="I254" t="s">
        <v>189</v>
      </c>
      <c r="J254">
        <v>1</v>
      </c>
      <c r="K254" t="s">
        <v>859</v>
      </c>
      <c r="L254" t="s">
        <v>951</v>
      </c>
    </row>
    <row r="255" spans="1:40" x14ac:dyDescent="0.35">
      <c r="A255">
        <v>1215623</v>
      </c>
      <c r="B255" t="s">
        <v>952</v>
      </c>
      <c r="C255" t="str">
        <f>"9783110329346"</f>
        <v>9783110329346</v>
      </c>
      <c r="D255" t="str">
        <f>"9783110329476"</f>
        <v>9783110329476</v>
      </c>
      <c r="E255" t="s">
        <v>346</v>
      </c>
      <c r="F255" t="s">
        <v>346</v>
      </c>
      <c r="G255" s="1">
        <v>40016</v>
      </c>
      <c r="H255" s="1">
        <v>41452</v>
      </c>
      <c r="I255" t="s">
        <v>189</v>
      </c>
      <c r="J255">
        <v>1</v>
      </c>
      <c r="K255" t="s">
        <v>907</v>
      </c>
      <c r="L255" t="s">
        <v>953</v>
      </c>
      <c r="M255" t="s">
        <v>199</v>
      </c>
    </row>
    <row r="256" spans="1:40" x14ac:dyDescent="0.35">
      <c r="A256">
        <v>1249741</v>
      </c>
      <c r="B256" t="s">
        <v>954</v>
      </c>
      <c r="C256" t="str">
        <f>"9783110334357"</f>
        <v>9783110334357</v>
      </c>
      <c r="D256" t="str">
        <f>"9783110334395"</f>
        <v>9783110334395</v>
      </c>
      <c r="E256" t="s">
        <v>346</v>
      </c>
      <c r="F256" t="s">
        <v>346</v>
      </c>
      <c r="G256" s="1">
        <v>41687</v>
      </c>
      <c r="H256" s="1">
        <v>41716</v>
      </c>
      <c r="I256" t="s">
        <v>189</v>
      </c>
      <c r="J256">
        <v>1</v>
      </c>
      <c r="K256" t="s">
        <v>354</v>
      </c>
      <c r="L256" t="s">
        <v>9</v>
      </c>
    </row>
    <row r="257" spans="1:16" x14ac:dyDescent="0.35">
      <c r="A257">
        <v>1249831</v>
      </c>
      <c r="B257" t="s">
        <v>955</v>
      </c>
      <c r="C257" t="str">
        <f>"9788376560557"</f>
        <v>9788376560557</v>
      </c>
      <c r="D257" t="str">
        <f>"9788376560564"</f>
        <v>9788376560564</v>
      </c>
      <c r="E257" t="s">
        <v>415</v>
      </c>
      <c r="F257" t="s">
        <v>659</v>
      </c>
      <c r="G257" s="1">
        <v>41610</v>
      </c>
      <c r="H257" s="1">
        <v>41598</v>
      </c>
      <c r="I257" t="s">
        <v>189</v>
      </c>
      <c r="J257">
        <v>1</v>
      </c>
      <c r="L257" t="s">
        <v>956</v>
      </c>
      <c r="M257" t="s">
        <v>339</v>
      </c>
    </row>
    <row r="258" spans="1:16" x14ac:dyDescent="0.35">
      <c r="A258">
        <v>1249964</v>
      </c>
      <c r="B258" t="s">
        <v>957</v>
      </c>
      <c r="C258" t="str">
        <f>"9783598251290"</f>
        <v>9783598251290</v>
      </c>
      <c r="D258" t="str">
        <f>"9783110298437"</f>
        <v>9783110298437</v>
      </c>
      <c r="E258" t="s">
        <v>415</v>
      </c>
      <c r="F258" t="s">
        <v>665</v>
      </c>
      <c r="G258" s="1">
        <v>41772</v>
      </c>
      <c r="H258" s="1">
        <v>41994</v>
      </c>
      <c r="I258" t="s">
        <v>189</v>
      </c>
      <c r="J258">
        <v>1</v>
      </c>
      <c r="L258" t="s">
        <v>4</v>
      </c>
    </row>
    <row r="259" spans="1:16" x14ac:dyDescent="0.35">
      <c r="A259">
        <v>1249965</v>
      </c>
      <c r="B259" t="s">
        <v>958</v>
      </c>
      <c r="C259" t="str">
        <f>"9788376560526"</f>
        <v>9788376560526</v>
      </c>
      <c r="D259" t="str">
        <f>"9788376560533"</f>
        <v>9788376560533</v>
      </c>
      <c r="E259" t="s">
        <v>415</v>
      </c>
      <c r="F259" t="s">
        <v>659</v>
      </c>
      <c r="G259" s="1">
        <v>42089</v>
      </c>
      <c r="H259" s="1">
        <v>42074</v>
      </c>
      <c r="I259" t="s">
        <v>189</v>
      </c>
      <c r="J259">
        <v>1</v>
      </c>
      <c r="L259" t="s">
        <v>959</v>
      </c>
    </row>
    <row r="260" spans="1:16" x14ac:dyDescent="0.35">
      <c r="A260">
        <v>1249968</v>
      </c>
      <c r="B260" t="s">
        <v>960</v>
      </c>
      <c r="C260" t="str">
        <f>"9788376560403"</f>
        <v>9788376560403</v>
      </c>
      <c r="D260" t="str">
        <f>"9788376560410"</f>
        <v>9788376560410</v>
      </c>
      <c r="E260" t="s">
        <v>415</v>
      </c>
      <c r="F260" t="s">
        <v>659</v>
      </c>
      <c r="G260" s="1">
        <v>41662</v>
      </c>
      <c r="H260" s="1">
        <v>41662</v>
      </c>
      <c r="I260" t="s">
        <v>189</v>
      </c>
      <c r="J260">
        <v>1</v>
      </c>
      <c r="L260" t="s">
        <v>961</v>
      </c>
      <c r="M260" t="s">
        <v>329</v>
      </c>
    </row>
    <row r="261" spans="1:16" x14ac:dyDescent="0.35">
      <c r="A261">
        <v>1249969</v>
      </c>
      <c r="B261" t="s">
        <v>962</v>
      </c>
      <c r="C261" t="str">
        <f>"9788376560137"</f>
        <v>9788376560137</v>
      </c>
      <c r="D261" t="str">
        <f>"9788376560144"</f>
        <v>9788376560144</v>
      </c>
      <c r="E261" t="s">
        <v>415</v>
      </c>
      <c r="F261" t="s">
        <v>659</v>
      </c>
      <c r="G261" s="1">
        <v>42143</v>
      </c>
      <c r="H261" s="1">
        <v>41478</v>
      </c>
      <c r="I261" t="s">
        <v>189</v>
      </c>
      <c r="J261">
        <v>1</v>
      </c>
      <c r="L261" t="s">
        <v>963</v>
      </c>
      <c r="M261" t="s">
        <v>964</v>
      </c>
      <c r="N261" t="s">
        <v>965</v>
      </c>
      <c r="O261" t="s">
        <v>966</v>
      </c>
      <c r="P261" t="s">
        <v>967</v>
      </c>
    </row>
    <row r="262" spans="1:16" x14ac:dyDescent="0.35">
      <c r="A262">
        <v>1249975</v>
      </c>
      <c r="B262" t="s">
        <v>968</v>
      </c>
      <c r="C262" t="str">
        <f>"9788376560373"</f>
        <v>9788376560373</v>
      </c>
      <c r="D262" t="str">
        <f>"9788376560380"</f>
        <v>9788376560380</v>
      </c>
      <c r="E262" t="s">
        <v>415</v>
      </c>
      <c r="F262" t="s">
        <v>659</v>
      </c>
      <c r="G262" s="1">
        <v>41505</v>
      </c>
      <c r="H262" s="1">
        <v>41507</v>
      </c>
      <c r="I262" t="s">
        <v>189</v>
      </c>
      <c r="J262">
        <v>1</v>
      </c>
      <c r="L262" t="s">
        <v>969</v>
      </c>
      <c r="M262" t="s">
        <v>389</v>
      </c>
      <c r="N262" t="s">
        <v>970</v>
      </c>
      <c r="O262" t="s">
        <v>971</v>
      </c>
      <c r="P262" t="s">
        <v>972</v>
      </c>
    </row>
    <row r="263" spans="1:16" x14ac:dyDescent="0.35">
      <c r="A263">
        <v>1249976</v>
      </c>
      <c r="B263" t="s">
        <v>973</v>
      </c>
      <c r="C263" t="str">
        <f>"9788376560281"</f>
        <v>9788376560281</v>
      </c>
      <c r="D263" t="str">
        <f>"9788376560298"</f>
        <v>9788376560298</v>
      </c>
      <c r="E263" t="s">
        <v>415</v>
      </c>
      <c r="F263" t="s">
        <v>659</v>
      </c>
      <c r="G263" s="1">
        <v>41662</v>
      </c>
      <c r="H263" s="1">
        <v>41662</v>
      </c>
      <c r="I263" t="s">
        <v>189</v>
      </c>
      <c r="J263">
        <v>1</v>
      </c>
      <c r="L263" t="s">
        <v>974</v>
      </c>
      <c r="M263" t="s">
        <v>578</v>
      </c>
    </row>
    <row r="264" spans="1:16" x14ac:dyDescent="0.35">
      <c r="A264">
        <v>1249979</v>
      </c>
      <c r="B264" t="s">
        <v>975</v>
      </c>
      <c r="C264" t="str">
        <f>"9788376560311"</f>
        <v>9788376560311</v>
      </c>
      <c r="D264" t="str">
        <f>"9788376560328"</f>
        <v>9788376560328</v>
      </c>
      <c r="E264" t="s">
        <v>415</v>
      </c>
      <c r="F264" t="s">
        <v>659</v>
      </c>
      <c r="G264" s="1">
        <v>41848</v>
      </c>
      <c r="H264" s="1">
        <v>41640</v>
      </c>
      <c r="I264" t="s">
        <v>189</v>
      </c>
      <c r="J264">
        <v>1</v>
      </c>
      <c r="L264" t="s">
        <v>976</v>
      </c>
      <c r="M264" t="s">
        <v>389</v>
      </c>
      <c r="N264" t="s">
        <v>977</v>
      </c>
    </row>
    <row r="265" spans="1:16" x14ac:dyDescent="0.35">
      <c r="A265">
        <v>1249991</v>
      </c>
      <c r="B265" t="s">
        <v>978</v>
      </c>
      <c r="C265" t="str">
        <f>"9788376560342"</f>
        <v>9788376560342</v>
      </c>
      <c r="D265" t="str">
        <f>"9788376560359"</f>
        <v>9788376560359</v>
      </c>
      <c r="E265" t="s">
        <v>415</v>
      </c>
      <c r="F265" t="s">
        <v>659</v>
      </c>
      <c r="G265" s="1">
        <v>41696</v>
      </c>
      <c r="H265" s="1">
        <v>41598</v>
      </c>
      <c r="I265" t="s">
        <v>189</v>
      </c>
      <c r="J265">
        <v>1</v>
      </c>
      <c r="L265" t="s">
        <v>979</v>
      </c>
      <c r="M265" t="s">
        <v>389</v>
      </c>
      <c r="N265" t="s">
        <v>980</v>
      </c>
      <c r="O265">
        <v>215</v>
      </c>
      <c r="P265" t="s">
        <v>981</v>
      </c>
    </row>
    <row r="266" spans="1:16" x14ac:dyDescent="0.35">
      <c r="A266">
        <v>1249993</v>
      </c>
      <c r="B266" t="s">
        <v>982</v>
      </c>
      <c r="C266" t="str">
        <f>"9788376560434"</f>
        <v>9788376560434</v>
      </c>
      <c r="D266" t="str">
        <f>"9788376560441"</f>
        <v>9788376560441</v>
      </c>
      <c r="E266" t="s">
        <v>415</v>
      </c>
      <c r="F266" t="s">
        <v>659</v>
      </c>
      <c r="G266" s="1">
        <v>41569</v>
      </c>
      <c r="H266" s="1">
        <v>41571</v>
      </c>
      <c r="I266" t="s">
        <v>189</v>
      </c>
      <c r="J266">
        <v>1</v>
      </c>
      <c r="L266" t="s">
        <v>983</v>
      </c>
    </row>
    <row r="267" spans="1:16" x14ac:dyDescent="0.35">
      <c r="A267">
        <v>1317866</v>
      </c>
      <c r="B267" t="s">
        <v>984</v>
      </c>
      <c r="C267" t="str">
        <f>"9788376560496"</f>
        <v>9788376560496</v>
      </c>
      <c r="D267" t="str">
        <f>"9788376560502"</f>
        <v>9788376560502</v>
      </c>
      <c r="E267" t="s">
        <v>415</v>
      </c>
      <c r="F267" t="s">
        <v>659</v>
      </c>
      <c r="G267" s="1">
        <v>41505</v>
      </c>
      <c r="H267" s="1">
        <v>41507</v>
      </c>
      <c r="I267" t="s">
        <v>189</v>
      </c>
      <c r="J267">
        <v>1</v>
      </c>
      <c r="L267" t="s">
        <v>985</v>
      </c>
    </row>
    <row r="268" spans="1:16" x14ac:dyDescent="0.35">
      <c r="A268">
        <v>1317872</v>
      </c>
      <c r="B268" t="s">
        <v>986</v>
      </c>
      <c r="C268" t="str">
        <f>"9788376560588"</f>
        <v>9788376560588</v>
      </c>
      <c r="D268" t="str">
        <f>"9788376560595"</f>
        <v>9788376560595</v>
      </c>
      <c r="E268" t="s">
        <v>415</v>
      </c>
      <c r="F268" t="s">
        <v>659</v>
      </c>
      <c r="G268" s="1">
        <v>41670</v>
      </c>
      <c r="H268" s="1">
        <v>41670</v>
      </c>
      <c r="I268" t="s">
        <v>189</v>
      </c>
      <c r="J268">
        <v>1</v>
      </c>
      <c r="L268" t="s">
        <v>987</v>
      </c>
      <c r="M268" t="s">
        <v>988</v>
      </c>
    </row>
    <row r="269" spans="1:16" x14ac:dyDescent="0.35">
      <c r="A269">
        <v>1344875</v>
      </c>
      <c r="B269" t="s">
        <v>989</v>
      </c>
      <c r="C269" t="str">
        <f>"9783486565331"</f>
        <v>9783486565331</v>
      </c>
      <c r="D269" t="str">
        <f>"9783486707564"</f>
        <v>9783486707564</v>
      </c>
      <c r="E269" t="s">
        <v>415</v>
      </c>
      <c r="F269" t="s">
        <v>665</v>
      </c>
      <c r="G269" s="1">
        <v>37230</v>
      </c>
      <c r="H269" s="1">
        <v>41765</v>
      </c>
      <c r="I269" t="s">
        <v>189</v>
      </c>
      <c r="J269">
        <v>1</v>
      </c>
      <c r="K269" t="s">
        <v>990</v>
      </c>
      <c r="L269" t="s">
        <v>991</v>
      </c>
    </row>
    <row r="270" spans="1:16" x14ac:dyDescent="0.35">
      <c r="A270">
        <v>1344891</v>
      </c>
      <c r="B270" t="s">
        <v>992</v>
      </c>
      <c r="C270" t="str">
        <f>"9788376560250"</f>
        <v>9788376560250</v>
      </c>
      <c r="D270" t="str">
        <f>"9788376560267"</f>
        <v>9788376560267</v>
      </c>
      <c r="E270" t="s">
        <v>415</v>
      </c>
      <c r="F270" t="s">
        <v>659</v>
      </c>
      <c r="G270" s="1">
        <v>41626</v>
      </c>
      <c r="H270" s="1">
        <v>41625</v>
      </c>
      <c r="I270" t="s">
        <v>189</v>
      </c>
      <c r="J270">
        <v>1</v>
      </c>
      <c r="L270" t="s">
        <v>993</v>
      </c>
    </row>
    <row r="271" spans="1:16" x14ac:dyDescent="0.35">
      <c r="A271">
        <v>1344896</v>
      </c>
      <c r="B271" t="s">
        <v>994</v>
      </c>
      <c r="C271" t="str">
        <f>"9783486578461"</f>
        <v>9783486578461</v>
      </c>
      <c r="D271" t="str">
        <f>"9783486707663"</f>
        <v>9783486707663</v>
      </c>
      <c r="E271" t="s">
        <v>415</v>
      </c>
      <c r="F271" t="s">
        <v>665</v>
      </c>
      <c r="G271" s="1">
        <v>38665</v>
      </c>
      <c r="H271" s="1">
        <v>41765</v>
      </c>
      <c r="I271" t="s">
        <v>189</v>
      </c>
      <c r="J271">
        <v>1</v>
      </c>
      <c r="K271" t="s">
        <v>990</v>
      </c>
      <c r="L271" t="s">
        <v>995</v>
      </c>
    </row>
    <row r="272" spans="1:16" x14ac:dyDescent="0.35">
      <c r="A272">
        <v>1345171</v>
      </c>
      <c r="B272" t="s">
        <v>996</v>
      </c>
      <c r="C272" t="str">
        <f>"9783486597042"</f>
        <v>9783486597042</v>
      </c>
      <c r="D272" t="str">
        <f>"9783486719383"</f>
        <v>9783486719383</v>
      </c>
      <c r="E272" t="s">
        <v>415</v>
      </c>
      <c r="F272" t="s">
        <v>665</v>
      </c>
      <c r="G272" s="1">
        <v>40625</v>
      </c>
      <c r="H272" s="1">
        <v>41611</v>
      </c>
      <c r="I272" t="s">
        <v>189</v>
      </c>
      <c r="J272">
        <v>1</v>
      </c>
      <c r="K272" t="s">
        <v>997</v>
      </c>
      <c r="L272" t="s">
        <v>998</v>
      </c>
      <c r="M272" t="s">
        <v>239</v>
      </c>
      <c r="N272" t="s">
        <v>999</v>
      </c>
      <c r="O272" s="2">
        <v>94406092</v>
      </c>
      <c r="P272" t="s">
        <v>1000</v>
      </c>
    </row>
    <row r="273" spans="1:16" x14ac:dyDescent="0.35">
      <c r="A273">
        <v>1347153</v>
      </c>
      <c r="B273" t="s">
        <v>1001</v>
      </c>
      <c r="C273" t="str">
        <f>"9783486597714"</f>
        <v>9783486597714</v>
      </c>
      <c r="D273" t="str">
        <f>"9783486719390"</f>
        <v>9783486719390</v>
      </c>
      <c r="E273" t="s">
        <v>415</v>
      </c>
      <c r="F273" t="s">
        <v>665</v>
      </c>
      <c r="G273" s="1">
        <v>40751</v>
      </c>
      <c r="H273" s="1">
        <v>41611</v>
      </c>
      <c r="I273" t="s">
        <v>189</v>
      </c>
      <c r="J273">
        <v>1</v>
      </c>
      <c r="K273" t="s">
        <v>997</v>
      </c>
      <c r="L273" t="s">
        <v>1002</v>
      </c>
      <c r="M273" t="s">
        <v>239</v>
      </c>
    </row>
    <row r="274" spans="1:16" x14ac:dyDescent="0.35">
      <c r="A274">
        <v>1347205</v>
      </c>
      <c r="B274" t="s">
        <v>1003</v>
      </c>
      <c r="C274" t="str">
        <f>"9783486706710"</f>
        <v>9783486706710</v>
      </c>
      <c r="D274" t="str">
        <f>"9783486715194"</f>
        <v>9783486715194</v>
      </c>
      <c r="E274" t="s">
        <v>415</v>
      </c>
      <c r="F274" t="s">
        <v>665</v>
      </c>
      <c r="G274" s="1">
        <v>40961</v>
      </c>
      <c r="H274" s="1">
        <v>41766</v>
      </c>
      <c r="I274" t="s">
        <v>189</v>
      </c>
      <c r="J274">
        <v>1</v>
      </c>
      <c r="K274" t="s">
        <v>997</v>
      </c>
      <c r="L274" t="s">
        <v>1004</v>
      </c>
    </row>
    <row r="275" spans="1:16" x14ac:dyDescent="0.35">
      <c r="A275">
        <v>1377062</v>
      </c>
      <c r="B275" t="s">
        <v>1005</v>
      </c>
      <c r="C275" t="str">
        <f>"9783110339765"</f>
        <v>9783110339765</v>
      </c>
      <c r="D275" t="str">
        <f>"9783110339789"</f>
        <v>9783110339789</v>
      </c>
      <c r="E275" t="s">
        <v>415</v>
      </c>
      <c r="F275" t="s">
        <v>665</v>
      </c>
      <c r="G275" s="1">
        <v>41988</v>
      </c>
      <c r="H275" s="1">
        <v>42043</v>
      </c>
      <c r="I275" t="s">
        <v>189</v>
      </c>
      <c r="J275">
        <v>1</v>
      </c>
      <c r="K275" t="s">
        <v>1006</v>
      </c>
      <c r="L275" t="s">
        <v>1007</v>
      </c>
    </row>
    <row r="276" spans="1:16" x14ac:dyDescent="0.35">
      <c r="A276">
        <v>1377095</v>
      </c>
      <c r="B276" t="s">
        <v>1008</v>
      </c>
      <c r="C276" t="str">
        <f>"9783110330847"</f>
        <v>9783110330847</v>
      </c>
      <c r="D276" t="str">
        <f>"9783110330953"</f>
        <v>9783110330953</v>
      </c>
      <c r="E276" t="s">
        <v>346</v>
      </c>
      <c r="F276" t="s">
        <v>346</v>
      </c>
      <c r="G276" s="1">
        <v>41870</v>
      </c>
      <c r="H276" s="1">
        <v>41885</v>
      </c>
      <c r="I276" t="s">
        <v>189</v>
      </c>
      <c r="J276">
        <v>1</v>
      </c>
      <c r="K276" t="s">
        <v>354</v>
      </c>
      <c r="L276" t="s">
        <v>1009</v>
      </c>
      <c r="M276" t="s">
        <v>389</v>
      </c>
    </row>
    <row r="277" spans="1:16" x14ac:dyDescent="0.35">
      <c r="A277">
        <v>1377117</v>
      </c>
      <c r="B277" t="s">
        <v>1010</v>
      </c>
      <c r="C277" t="str">
        <f>"9783110300987"</f>
        <v>9783110300987</v>
      </c>
      <c r="D277" t="str">
        <f>"9783110301342"</f>
        <v>9783110301342</v>
      </c>
      <c r="E277" t="s">
        <v>346</v>
      </c>
      <c r="F277" t="s">
        <v>346</v>
      </c>
      <c r="G277" s="1">
        <v>41620</v>
      </c>
      <c r="H277" s="1">
        <v>41921</v>
      </c>
      <c r="I277" t="s">
        <v>189</v>
      </c>
      <c r="J277">
        <v>1</v>
      </c>
      <c r="K277" t="s">
        <v>1006</v>
      </c>
      <c r="L277" t="s">
        <v>1007</v>
      </c>
    </row>
    <row r="278" spans="1:16" x14ac:dyDescent="0.35">
      <c r="A278">
        <v>1377136</v>
      </c>
      <c r="B278" t="s">
        <v>1011</v>
      </c>
      <c r="C278" t="str">
        <f>"9783110337457"</f>
        <v>9783110337457</v>
      </c>
      <c r="D278" t="str">
        <f>"9783110337594"</f>
        <v>9783110337594</v>
      </c>
      <c r="E278" t="s">
        <v>346</v>
      </c>
      <c r="F278" t="s">
        <v>346</v>
      </c>
      <c r="G278" s="1">
        <v>41960</v>
      </c>
      <c r="H278" s="1">
        <v>41994</v>
      </c>
      <c r="I278" t="s">
        <v>189</v>
      </c>
      <c r="J278">
        <v>1</v>
      </c>
      <c r="K278" t="s">
        <v>354</v>
      </c>
      <c r="L278" t="s">
        <v>1012</v>
      </c>
      <c r="M278" t="s">
        <v>239</v>
      </c>
    </row>
    <row r="279" spans="1:16" x14ac:dyDescent="0.35">
      <c r="A279">
        <v>1394738</v>
      </c>
      <c r="B279" t="s">
        <v>1013</v>
      </c>
      <c r="C279" t="str">
        <f>"9783486761368"</f>
        <v>9783486761368</v>
      </c>
      <c r="D279" t="str">
        <f>"9783486858662"</f>
        <v>9783486858662</v>
      </c>
      <c r="E279" t="s">
        <v>415</v>
      </c>
      <c r="F279" t="s">
        <v>665</v>
      </c>
      <c r="G279" s="1">
        <v>41960</v>
      </c>
      <c r="H279" s="1">
        <v>42005</v>
      </c>
      <c r="I279" t="s">
        <v>189</v>
      </c>
      <c r="J279">
        <v>1</v>
      </c>
      <c r="L279" t="s">
        <v>1014</v>
      </c>
    </row>
    <row r="280" spans="1:16" x14ac:dyDescent="0.35">
      <c r="A280">
        <v>1394781</v>
      </c>
      <c r="B280" t="s">
        <v>1015</v>
      </c>
      <c r="C280" t="str">
        <f>"9783486765380"</f>
        <v>9783486765380</v>
      </c>
      <c r="D280" t="str">
        <f>"9783486858846"</f>
        <v>9783486858846</v>
      </c>
      <c r="E280" t="s">
        <v>415</v>
      </c>
      <c r="F280" t="s">
        <v>665</v>
      </c>
      <c r="G280" s="1">
        <v>41897</v>
      </c>
      <c r="H280" s="1">
        <v>41927</v>
      </c>
      <c r="I280" t="s">
        <v>189</v>
      </c>
      <c r="J280">
        <v>1</v>
      </c>
      <c r="L280" t="s">
        <v>1016</v>
      </c>
    </row>
    <row r="281" spans="1:16" x14ac:dyDescent="0.35">
      <c r="A281">
        <v>1394810</v>
      </c>
      <c r="B281" t="s">
        <v>1017</v>
      </c>
      <c r="C281" t="str">
        <f>"9783486717150"</f>
        <v>9783486717150</v>
      </c>
      <c r="D281" t="str">
        <f>"9783486755732"</f>
        <v>9783486755732</v>
      </c>
      <c r="E281" t="s">
        <v>415</v>
      </c>
      <c r="F281" t="s">
        <v>665</v>
      </c>
      <c r="G281" s="1">
        <v>41533</v>
      </c>
      <c r="H281" s="1">
        <v>41608</v>
      </c>
      <c r="I281" t="s">
        <v>189</v>
      </c>
      <c r="J281">
        <v>1</v>
      </c>
      <c r="L281" t="s">
        <v>1018</v>
      </c>
    </row>
    <row r="282" spans="1:16" x14ac:dyDescent="0.35">
      <c r="A282">
        <v>1433395</v>
      </c>
      <c r="B282" t="s">
        <v>1019</v>
      </c>
      <c r="C282" t="str">
        <f>"9783486585858"</f>
        <v>9783486585858</v>
      </c>
      <c r="D282" t="str">
        <f>"9783486989274"</f>
        <v>9783486989274</v>
      </c>
      <c r="E282" t="s">
        <v>415</v>
      </c>
      <c r="F282" t="s">
        <v>665</v>
      </c>
      <c r="G282" s="1">
        <v>39524</v>
      </c>
      <c r="H282" s="1">
        <v>39448</v>
      </c>
      <c r="I282" t="s">
        <v>189</v>
      </c>
      <c r="J282">
        <v>1</v>
      </c>
      <c r="K282" t="s">
        <v>1020</v>
      </c>
      <c r="L282" t="s">
        <v>1021</v>
      </c>
    </row>
    <row r="283" spans="1:16" x14ac:dyDescent="0.35">
      <c r="A283">
        <v>1433428</v>
      </c>
      <c r="B283" t="s">
        <v>1022</v>
      </c>
      <c r="C283" t="str">
        <f>"9788376560731"</f>
        <v>9788376560731</v>
      </c>
      <c r="D283" t="str">
        <f>"9788376560748"</f>
        <v>9788376560748</v>
      </c>
      <c r="E283" t="s">
        <v>415</v>
      </c>
      <c r="F283" t="s">
        <v>659</v>
      </c>
      <c r="G283" s="1">
        <v>41610</v>
      </c>
      <c r="H283" s="1">
        <v>41619</v>
      </c>
      <c r="I283" t="s">
        <v>189</v>
      </c>
      <c r="J283">
        <v>1</v>
      </c>
      <c r="L283" t="s">
        <v>1023</v>
      </c>
    </row>
    <row r="284" spans="1:16" x14ac:dyDescent="0.35">
      <c r="A284">
        <v>1433435</v>
      </c>
      <c r="B284" t="s">
        <v>1024</v>
      </c>
      <c r="C284" t="str">
        <f>"9783486591408"</f>
        <v>9783486591408</v>
      </c>
      <c r="D284" t="str">
        <f>"9783486989298"</f>
        <v>9783486989298</v>
      </c>
      <c r="E284" t="s">
        <v>415</v>
      </c>
      <c r="F284" t="s">
        <v>665</v>
      </c>
      <c r="G284" s="1">
        <v>40093</v>
      </c>
      <c r="H284" s="1">
        <v>39814</v>
      </c>
      <c r="I284" t="s">
        <v>189</v>
      </c>
      <c r="J284">
        <v>1</v>
      </c>
      <c r="K284" t="s">
        <v>1020</v>
      </c>
      <c r="L284" t="s">
        <v>1025</v>
      </c>
    </row>
    <row r="285" spans="1:16" x14ac:dyDescent="0.35">
      <c r="A285">
        <v>1433436</v>
      </c>
      <c r="B285" t="s">
        <v>1026</v>
      </c>
      <c r="C285" t="str">
        <f>"9783486591446"</f>
        <v>9783486591446</v>
      </c>
      <c r="D285" t="str">
        <f>"9783486989281"</f>
        <v>9783486989281</v>
      </c>
      <c r="E285" t="s">
        <v>415</v>
      </c>
      <c r="F285" t="s">
        <v>665</v>
      </c>
      <c r="G285" s="1">
        <v>40093</v>
      </c>
      <c r="H285" s="1">
        <v>39814</v>
      </c>
      <c r="I285" t="s">
        <v>189</v>
      </c>
      <c r="J285">
        <v>1</v>
      </c>
      <c r="K285" t="s">
        <v>1020</v>
      </c>
      <c r="L285" t="s">
        <v>1027</v>
      </c>
      <c r="M285" t="s">
        <v>329</v>
      </c>
      <c r="N285" t="s">
        <v>1028</v>
      </c>
      <c r="O285" s="2">
        <v>3058009</v>
      </c>
      <c r="P285" t="s">
        <v>1029</v>
      </c>
    </row>
    <row r="286" spans="1:16" x14ac:dyDescent="0.35">
      <c r="A286">
        <v>1480531</v>
      </c>
      <c r="B286" t="s">
        <v>1030</v>
      </c>
      <c r="C286" t="str">
        <f>"9788376560199"</f>
        <v>9788376560199</v>
      </c>
      <c r="D286" t="str">
        <f>"9788376560205"</f>
        <v>9788376560205</v>
      </c>
      <c r="E286" t="s">
        <v>415</v>
      </c>
      <c r="F286" t="s">
        <v>659</v>
      </c>
      <c r="G286" s="1">
        <v>42527</v>
      </c>
      <c r="H286" s="1">
        <v>41561</v>
      </c>
      <c r="I286" t="s">
        <v>189</v>
      </c>
      <c r="J286">
        <v>1</v>
      </c>
      <c r="L286" t="s">
        <v>1031</v>
      </c>
      <c r="M286" t="s">
        <v>219</v>
      </c>
      <c r="N286" t="s">
        <v>1032</v>
      </c>
      <c r="O286" t="s">
        <v>1033</v>
      </c>
      <c r="P286" t="s">
        <v>1034</v>
      </c>
    </row>
    <row r="287" spans="1:16" x14ac:dyDescent="0.35">
      <c r="A287">
        <v>1524370</v>
      </c>
      <c r="B287" t="s">
        <v>1035</v>
      </c>
      <c r="C287" t="str">
        <f>"9783110345483"</f>
        <v>9783110345483</v>
      </c>
      <c r="D287" t="str">
        <f>"9783110347302"</f>
        <v>9783110347302</v>
      </c>
      <c r="E287" t="s">
        <v>346</v>
      </c>
      <c r="F287" t="s">
        <v>346</v>
      </c>
      <c r="G287" s="1">
        <v>41925</v>
      </c>
      <c r="H287" s="1">
        <v>41994</v>
      </c>
      <c r="I287" t="s">
        <v>189</v>
      </c>
      <c r="J287">
        <v>1</v>
      </c>
      <c r="K287" t="s">
        <v>354</v>
      </c>
      <c r="L287" t="s">
        <v>1036</v>
      </c>
      <c r="M287" t="s">
        <v>239</v>
      </c>
      <c r="N287" t="s">
        <v>1037</v>
      </c>
      <c r="O287" t="s">
        <v>1038</v>
      </c>
      <c r="P287" t="s">
        <v>1039</v>
      </c>
    </row>
    <row r="288" spans="1:16" x14ac:dyDescent="0.35">
      <c r="A288">
        <v>1524372</v>
      </c>
      <c r="B288" t="s">
        <v>1040</v>
      </c>
      <c r="C288" t="str">
        <f>"9783486585087"</f>
        <v>9783486585087</v>
      </c>
      <c r="D288" t="str">
        <f>"9783486989267"</f>
        <v>9783486989267</v>
      </c>
      <c r="E288" t="s">
        <v>415</v>
      </c>
      <c r="F288" t="s">
        <v>665</v>
      </c>
      <c r="G288" s="1">
        <v>39391</v>
      </c>
      <c r="H288" s="1">
        <v>39083</v>
      </c>
      <c r="I288" t="s">
        <v>189</v>
      </c>
      <c r="J288">
        <v>1</v>
      </c>
      <c r="K288" t="s">
        <v>1020</v>
      </c>
      <c r="L288" t="s">
        <v>1041</v>
      </c>
    </row>
    <row r="289" spans="1:40" x14ac:dyDescent="0.35">
      <c r="A289">
        <v>1524378</v>
      </c>
      <c r="B289" t="s">
        <v>1042</v>
      </c>
      <c r="C289" t="str">
        <f>"9788376560700"</f>
        <v>9788376560700</v>
      </c>
      <c r="D289" t="str">
        <f>"9788376560717"</f>
        <v>9788376560717</v>
      </c>
      <c r="E289" t="s">
        <v>415</v>
      </c>
      <c r="F289" t="s">
        <v>659</v>
      </c>
      <c r="G289" s="1">
        <v>41878</v>
      </c>
      <c r="H289" s="1">
        <v>41883</v>
      </c>
      <c r="I289" t="s">
        <v>189</v>
      </c>
      <c r="J289">
        <v>1</v>
      </c>
      <c r="L289" t="s">
        <v>1043</v>
      </c>
      <c r="M289" t="s">
        <v>807</v>
      </c>
      <c r="N289" t="s">
        <v>1044</v>
      </c>
      <c r="O289" s="2">
        <v>6356572</v>
      </c>
      <c r="P289" t="s">
        <v>1045</v>
      </c>
      <c r="Q289" t="s">
        <v>260</v>
      </c>
      <c r="R289" t="s">
        <v>261</v>
      </c>
      <c r="S289" t="s">
        <v>261</v>
      </c>
      <c r="T289" t="s">
        <v>261</v>
      </c>
      <c r="U289" t="s">
        <v>262</v>
      </c>
      <c r="V289" t="s">
        <v>262</v>
      </c>
      <c r="W289" t="s">
        <v>261</v>
      </c>
      <c r="X289" t="s">
        <v>262</v>
      </c>
      <c r="Y289" t="s">
        <v>261</v>
      </c>
      <c r="Z289" t="s">
        <v>409</v>
      </c>
      <c r="AA289" t="s">
        <v>409</v>
      </c>
      <c r="AB289" t="s">
        <v>409</v>
      </c>
      <c r="AC289" t="s">
        <v>409</v>
      </c>
      <c r="AD289" t="s">
        <v>262</v>
      </c>
      <c r="AE289">
        <v>11054986</v>
      </c>
      <c r="AH289" t="s">
        <v>262</v>
      </c>
      <c r="AI289" t="s">
        <v>262</v>
      </c>
      <c r="AJ289" t="s">
        <v>261</v>
      </c>
      <c r="AK289" t="s">
        <v>261</v>
      </c>
      <c r="AM289" t="s">
        <v>262</v>
      </c>
      <c r="AN289" t="s">
        <v>1046</v>
      </c>
    </row>
    <row r="290" spans="1:40" x14ac:dyDescent="0.35">
      <c r="A290">
        <v>1524415</v>
      </c>
      <c r="B290" t="s">
        <v>1047</v>
      </c>
      <c r="C290" t="str">
        <f>"9788376560670"</f>
        <v>9788376560670</v>
      </c>
      <c r="D290" t="str">
        <f>"9783110368123"</f>
        <v>9783110368123</v>
      </c>
      <c r="E290" t="s">
        <v>415</v>
      </c>
      <c r="F290" t="s">
        <v>659</v>
      </c>
      <c r="G290" s="1">
        <v>41844</v>
      </c>
      <c r="H290" s="1">
        <v>41844</v>
      </c>
      <c r="I290" t="s">
        <v>189</v>
      </c>
      <c r="J290">
        <v>1</v>
      </c>
      <c r="L290" t="s">
        <v>1048</v>
      </c>
      <c r="M290" t="s">
        <v>219</v>
      </c>
      <c r="N290" t="s">
        <v>1049</v>
      </c>
      <c r="O290" s="2">
        <v>823912</v>
      </c>
      <c r="P290" t="s">
        <v>1050</v>
      </c>
    </row>
    <row r="291" spans="1:40" x14ac:dyDescent="0.35">
      <c r="A291">
        <v>1563454</v>
      </c>
      <c r="B291" t="s">
        <v>1051</v>
      </c>
      <c r="C291" t="str">
        <f>"9788376560229"</f>
        <v>9788376560229</v>
      </c>
      <c r="D291" t="str">
        <f>"9788376560236"</f>
        <v>9788376560236</v>
      </c>
      <c r="E291" t="s">
        <v>415</v>
      </c>
      <c r="F291" t="s">
        <v>659</v>
      </c>
      <c r="G291" s="1">
        <v>41610</v>
      </c>
      <c r="H291" s="1">
        <v>41619</v>
      </c>
      <c r="I291" t="s">
        <v>189</v>
      </c>
      <c r="J291">
        <v>1</v>
      </c>
      <c r="L291" t="s">
        <v>1052</v>
      </c>
      <c r="M291" t="s">
        <v>339</v>
      </c>
    </row>
    <row r="292" spans="1:40" x14ac:dyDescent="0.35">
      <c r="A292">
        <v>1575463</v>
      </c>
      <c r="B292" t="s">
        <v>1053</v>
      </c>
      <c r="C292" t="str">
        <f>"9788376560649"</f>
        <v>9788376560649</v>
      </c>
      <c r="D292" t="str">
        <f>"9783110368147"</f>
        <v>9783110368147</v>
      </c>
      <c r="E292" t="s">
        <v>415</v>
      </c>
      <c r="F292" t="s">
        <v>659</v>
      </c>
      <c r="G292" s="1">
        <v>41814</v>
      </c>
      <c r="H292" s="1">
        <v>41820</v>
      </c>
      <c r="I292" t="s">
        <v>189</v>
      </c>
      <c r="J292">
        <v>1</v>
      </c>
      <c r="L292" t="s">
        <v>1054</v>
      </c>
    </row>
    <row r="293" spans="1:40" x14ac:dyDescent="0.35">
      <c r="A293">
        <v>1586238</v>
      </c>
      <c r="B293" t="s">
        <v>1055</v>
      </c>
      <c r="C293" t="str">
        <f>"9783110350524"</f>
        <v>9783110350524</v>
      </c>
      <c r="D293" t="str">
        <f>"9783110350548"</f>
        <v>9783110350548</v>
      </c>
      <c r="E293" t="s">
        <v>346</v>
      </c>
      <c r="F293" t="s">
        <v>346</v>
      </c>
      <c r="G293" s="1">
        <v>41627</v>
      </c>
      <c r="H293" s="1">
        <v>41690</v>
      </c>
      <c r="I293" t="s">
        <v>189</v>
      </c>
      <c r="J293">
        <v>1</v>
      </c>
      <c r="K293" t="s">
        <v>564</v>
      </c>
      <c r="L293" t="s">
        <v>1056</v>
      </c>
      <c r="M293" t="s">
        <v>316</v>
      </c>
      <c r="N293" t="s">
        <v>1057</v>
      </c>
      <c r="O293" t="s">
        <v>1058</v>
      </c>
      <c r="P293" t="s">
        <v>1059</v>
      </c>
      <c r="Q293" t="s">
        <v>408</v>
      </c>
      <c r="R293" t="s">
        <v>261</v>
      </c>
      <c r="S293" t="s">
        <v>261</v>
      </c>
      <c r="T293" t="s">
        <v>261</v>
      </c>
      <c r="U293" t="s">
        <v>261</v>
      </c>
      <c r="V293" t="s">
        <v>262</v>
      </c>
      <c r="W293" t="s">
        <v>261</v>
      </c>
      <c r="X293" t="s">
        <v>261</v>
      </c>
      <c r="Y293" t="s">
        <v>261</v>
      </c>
      <c r="Z293" t="s">
        <v>409</v>
      </c>
      <c r="AA293" t="s">
        <v>409</v>
      </c>
      <c r="AB293" t="s">
        <v>409</v>
      </c>
      <c r="AC293" t="s">
        <v>409</v>
      </c>
      <c r="AD293" t="s">
        <v>262</v>
      </c>
      <c r="AE293">
        <v>10849003</v>
      </c>
      <c r="AF293">
        <v>577530</v>
      </c>
      <c r="AH293" t="s">
        <v>262</v>
      </c>
      <c r="AI293" t="s">
        <v>262</v>
      </c>
      <c r="AJ293" t="s">
        <v>261</v>
      </c>
      <c r="AK293" t="s">
        <v>261</v>
      </c>
      <c r="AM293" t="s">
        <v>262</v>
      </c>
      <c r="AN293" t="s">
        <v>1060</v>
      </c>
    </row>
    <row r="294" spans="1:40" x14ac:dyDescent="0.35">
      <c r="A294">
        <v>1597580</v>
      </c>
      <c r="B294" t="s">
        <v>1061</v>
      </c>
      <c r="C294" t="str">
        <f>"9783110354645"</f>
        <v>9783110354645</v>
      </c>
      <c r="D294" t="str">
        <f>"9783110354782"</f>
        <v>9783110354782</v>
      </c>
      <c r="E294" t="s">
        <v>346</v>
      </c>
      <c r="F294" t="s">
        <v>346</v>
      </c>
      <c r="G294" s="1">
        <v>41687</v>
      </c>
      <c r="H294" s="1">
        <v>41690</v>
      </c>
      <c r="I294" t="s">
        <v>189</v>
      </c>
      <c r="J294">
        <v>1</v>
      </c>
      <c r="L294" t="s">
        <v>1062</v>
      </c>
    </row>
    <row r="295" spans="1:40" x14ac:dyDescent="0.35">
      <c r="A295">
        <v>1603736</v>
      </c>
      <c r="B295" t="s">
        <v>1063</v>
      </c>
      <c r="C295" t="str">
        <f>"9780822354857"</f>
        <v>9780822354857</v>
      </c>
      <c r="D295" t="str">
        <f>"9780822378259"</f>
        <v>9780822378259</v>
      </c>
      <c r="E295" t="s">
        <v>687</v>
      </c>
      <c r="F295" t="s">
        <v>687</v>
      </c>
      <c r="G295" s="1">
        <v>41593</v>
      </c>
      <c r="H295" s="1">
        <v>41666</v>
      </c>
      <c r="I295" t="s">
        <v>189</v>
      </c>
      <c r="J295">
        <v>1</v>
      </c>
      <c r="K295" t="s">
        <v>1064</v>
      </c>
      <c r="L295" t="s">
        <v>1065</v>
      </c>
      <c r="M295" t="s">
        <v>339</v>
      </c>
      <c r="N295" t="s">
        <v>1066</v>
      </c>
      <c r="O295" s="2">
        <v>6181780599</v>
      </c>
      <c r="Q295" t="s">
        <v>260</v>
      </c>
      <c r="R295" t="s">
        <v>261</v>
      </c>
      <c r="S295" t="s">
        <v>261</v>
      </c>
      <c r="T295" t="s">
        <v>261</v>
      </c>
      <c r="U295" t="s">
        <v>261</v>
      </c>
      <c r="V295" t="s">
        <v>262</v>
      </c>
      <c r="W295" t="s">
        <v>261</v>
      </c>
      <c r="X295" t="s">
        <v>261</v>
      </c>
      <c r="Y295" t="s">
        <v>261</v>
      </c>
      <c r="Z295" t="s">
        <v>409</v>
      </c>
      <c r="AB295" t="s">
        <v>409</v>
      </c>
      <c r="AC295" t="s">
        <v>409</v>
      </c>
      <c r="AD295" t="s">
        <v>262</v>
      </c>
      <c r="AE295">
        <v>10797287</v>
      </c>
      <c r="AF295">
        <v>543715</v>
      </c>
      <c r="AH295" t="s">
        <v>262</v>
      </c>
      <c r="AI295" t="s">
        <v>262</v>
      </c>
      <c r="AJ295" t="s">
        <v>261</v>
      </c>
      <c r="AK295" t="s">
        <v>261</v>
      </c>
      <c r="AM295" t="s">
        <v>262</v>
      </c>
      <c r="AN295" t="s">
        <v>1067</v>
      </c>
    </row>
    <row r="296" spans="1:40" x14ac:dyDescent="0.35">
      <c r="A296">
        <v>1603739</v>
      </c>
      <c r="B296" t="s">
        <v>1068</v>
      </c>
      <c r="C296" t="str">
        <f>"9780822355427"</f>
        <v>9780822355427</v>
      </c>
      <c r="D296" t="str">
        <f>"9780822377306"</f>
        <v>9780822377306</v>
      </c>
      <c r="E296" t="s">
        <v>687</v>
      </c>
      <c r="F296" t="s">
        <v>687</v>
      </c>
      <c r="G296" s="1">
        <v>41628</v>
      </c>
      <c r="H296" s="1">
        <v>41666</v>
      </c>
      <c r="I296" t="s">
        <v>189</v>
      </c>
      <c r="J296">
        <v>1</v>
      </c>
      <c r="L296" t="s">
        <v>1069</v>
      </c>
      <c r="M296" t="s">
        <v>329</v>
      </c>
    </row>
    <row r="297" spans="1:40" x14ac:dyDescent="0.35">
      <c r="A297">
        <v>1603762</v>
      </c>
      <c r="B297" t="s">
        <v>1070</v>
      </c>
      <c r="C297" t="str">
        <f>"9780822355717"</f>
        <v>9780822355717</v>
      </c>
      <c r="D297" t="str">
        <f>"9780822377177"</f>
        <v>9780822377177</v>
      </c>
      <c r="E297" t="s">
        <v>687</v>
      </c>
      <c r="F297" t="s">
        <v>687</v>
      </c>
      <c r="G297" s="1">
        <v>41614</v>
      </c>
      <c r="H297" s="1">
        <v>41666</v>
      </c>
      <c r="I297" t="s">
        <v>189</v>
      </c>
      <c r="J297">
        <v>1</v>
      </c>
      <c r="K297" t="s">
        <v>730</v>
      </c>
      <c r="L297" t="s">
        <v>1071</v>
      </c>
      <c r="M297" t="s">
        <v>249</v>
      </c>
    </row>
    <row r="298" spans="1:40" x14ac:dyDescent="0.35">
      <c r="A298">
        <v>1603773</v>
      </c>
      <c r="B298" t="s">
        <v>1072</v>
      </c>
      <c r="C298" t="str">
        <f>"9780822354680"</f>
        <v>9780822354680</v>
      </c>
      <c r="D298" t="str">
        <f>"9780822378280"</f>
        <v>9780822378280</v>
      </c>
      <c r="E298" t="s">
        <v>687</v>
      </c>
      <c r="F298" t="s">
        <v>687</v>
      </c>
      <c r="G298" s="1">
        <v>41584</v>
      </c>
      <c r="H298" s="1">
        <v>41666</v>
      </c>
      <c r="I298" t="s">
        <v>189</v>
      </c>
      <c r="J298">
        <v>1</v>
      </c>
      <c r="L298" t="s">
        <v>1073</v>
      </c>
      <c r="M298" t="s">
        <v>578</v>
      </c>
      <c r="N298" t="s">
        <v>1074</v>
      </c>
      <c r="O298" t="s">
        <v>1075</v>
      </c>
      <c r="Q298" t="s">
        <v>260</v>
      </c>
      <c r="R298" t="s">
        <v>261</v>
      </c>
      <c r="S298" t="s">
        <v>261</v>
      </c>
      <c r="T298" t="s">
        <v>261</v>
      </c>
      <c r="U298" t="s">
        <v>261</v>
      </c>
      <c r="V298" t="s">
        <v>262</v>
      </c>
      <c r="W298" t="s">
        <v>261</v>
      </c>
      <c r="X298" t="s">
        <v>261</v>
      </c>
      <c r="Y298" t="s">
        <v>261</v>
      </c>
      <c r="Z298" t="s">
        <v>409</v>
      </c>
      <c r="AB298" t="s">
        <v>409</v>
      </c>
      <c r="AC298" t="s">
        <v>409</v>
      </c>
      <c r="AD298" t="s">
        <v>262</v>
      </c>
      <c r="AE298">
        <v>10785989</v>
      </c>
      <c r="AF298">
        <v>538961</v>
      </c>
      <c r="AH298" t="s">
        <v>262</v>
      </c>
      <c r="AI298" t="s">
        <v>262</v>
      </c>
      <c r="AJ298" t="s">
        <v>261</v>
      </c>
      <c r="AK298" t="s">
        <v>261</v>
      </c>
      <c r="AM298" t="s">
        <v>262</v>
      </c>
      <c r="AN298" t="s">
        <v>1076</v>
      </c>
    </row>
    <row r="299" spans="1:40" x14ac:dyDescent="0.35">
      <c r="A299">
        <v>1603780</v>
      </c>
      <c r="B299" t="s">
        <v>1077</v>
      </c>
      <c r="C299" t="str">
        <f>"9780822355168"</f>
        <v>9780822355168</v>
      </c>
      <c r="D299" t="str">
        <f>"9780822377474"</f>
        <v>9780822377474</v>
      </c>
      <c r="E299" t="s">
        <v>687</v>
      </c>
      <c r="F299" t="s">
        <v>687</v>
      </c>
      <c r="G299" s="1">
        <v>41557</v>
      </c>
      <c r="H299" s="1">
        <v>41666</v>
      </c>
      <c r="I299" t="s">
        <v>189</v>
      </c>
      <c r="J299">
        <v>1</v>
      </c>
      <c r="L299" t="s">
        <v>1078</v>
      </c>
    </row>
    <row r="300" spans="1:40" x14ac:dyDescent="0.35">
      <c r="A300">
        <v>1609411</v>
      </c>
      <c r="B300" t="s">
        <v>1079</v>
      </c>
      <c r="C300" t="str">
        <f>"9788376560908"</f>
        <v>9788376560908</v>
      </c>
      <c r="D300" t="str">
        <f>"9788376560915"</f>
        <v>9788376560915</v>
      </c>
      <c r="E300" t="s">
        <v>415</v>
      </c>
      <c r="F300" t="s">
        <v>659</v>
      </c>
      <c r="G300" s="1">
        <v>41673</v>
      </c>
      <c r="H300" s="1">
        <v>41680</v>
      </c>
      <c r="I300" t="s">
        <v>189</v>
      </c>
      <c r="J300">
        <v>1</v>
      </c>
      <c r="L300" t="s">
        <v>1080</v>
      </c>
    </row>
    <row r="301" spans="1:40" x14ac:dyDescent="0.35">
      <c r="A301">
        <v>1609443</v>
      </c>
      <c r="B301" t="s">
        <v>1081</v>
      </c>
      <c r="C301" t="str">
        <f>"9788376560755"</f>
        <v>9788376560755</v>
      </c>
      <c r="D301" t="str">
        <f>"9788376560762"</f>
        <v>9788376560762</v>
      </c>
      <c r="E301" t="s">
        <v>415</v>
      </c>
      <c r="F301" t="s">
        <v>659</v>
      </c>
      <c r="G301" s="1">
        <v>41673</v>
      </c>
      <c r="H301" s="1">
        <v>41670</v>
      </c>
      <c r="I301" t="s">
        <v>189</v>
      </c>
      <c r="J301">
        <v>1</v>
      </c>
      <c r="L301" t="s">
        <v>1080</v>
      </c>
    </row>
    <row r="302" spans="1:40" x14ac:dyDescent="0.35">
      <c r="A302">
        <v>1609457</v>
      </c>
      <c r="B302" t="s">
        <v>1082</v>
      </c>
      <c r="C302" t="str">
        <f>"9788376560878"</f>
        <v>9788376560878</v>
      </c>
      <c r="D302" t="str">
        <f>"9788376560885"</f>
        <v>9788376560885</v>
      </c>
      <c r="E302" t="s">
        <v>415</v>
      </c>
      <c r="F302" t="s">
        <v>659</v>
      </c>
      <c r="G302" s="1">
        <v>41673</v>
      </c>
      <c r="H302" s="1">
        <v>41670</v>
      </c>
      <c r="I302" t="s">
        <v>189</v>
      </c>
      <c r="J302">
        <v>1</v>
      </c>
      <c r="L302" t="s">
        <v>1080</v>
      </c>
    </row>
    <row r="303" spans="1:40" x14ac:dyDescent="0.35">
      <c r="A303">
        <v>1632035</v>
      </c>
      <c r="B303" t="s">
        <v>1083</v>
      </c>
      <c r="C303" t="str">
        <f>"9780822355151"</f>
        <v>9780822355151</v>
      </c>
      <c r="D303" t="str">
        <f>"9780822377467"</f>
        <v>9780822377467</v>
      </c>
      <c r="E303" t="s">
        <v>687</v>
      </c>
      <c r="F303" t="s">
        <v>687</v>
      </c>
      <c r="G303" s="1">
        <v>41691</v>
      </c>
      <c r="H303" s="1">
        <v>41683</v>
      </c>
      <c r="I303" t="s">
        <v>189</v>
      </c>
      <c r="J303">
        <v>1</v>
      </c>
      <c r="L303" t="s">
        <v>1084</v>
      </c>
      <c r="M303" t="s">
        <v>578</v>
      </c>
      <c r="N303" t="s">
        <v>1085</v>
      </c>
      <c r="O303" t="s">
        <v>1086</v>
      </c>
      <c r="Q303" t="s">
        <v>260</v>
      </c>
      <c r="R303" t="s">
        <v>261</v>
      </c>
      <c r="S303" t="s">
        <v>261</v>
      </c>
      <c r="T303" t="s">
        <v>261</v>
      </c>
      <c r="U303" t="s">
        <v>261</v>
      </c>
      <c r="V303" t="s">
        <v>262</v>
      </c>
      <c r="W303" t="s">
        <v>261</v>
      </c>
      <c r="X303" t="s">
        <v>261</v>
      </c>
      <c r="Y303" t="s">
        <v>261</v>
      </c>
      <c r="Z303" t="s">
        <v>409</v>
      </c>
      <c r="AB303" t="s">
        <v>409</v>
      </c>
      <c r="AC303" t="s">
        <v>409</v>
      </c>
      <c r="AD303" t="s">
        <v>262</v>
      </c>
      <c r="AE303">
        <v>10837734</v>
      </c>
      <c r="AF303">
        <v>576685</v>
      </c>
      <c r="AH303" t="s">
        <v>262</v>
      </c>
      <c r="AI303" t="s">
        <v>262</v>
      </c>
      <c r="AJ303" t="s">
        <v>261</v>
      </c>
      <c r="AK303" t="s">
        <v>261</v>
      </c>
      <c r="AM303" t="s">
        <v>262</v>
      </c>
      <c r="AN303" t="s">
        <v>1087</v>
      </c>
    </row>
    <row r="304" spans="1:40" x14ac:dyDescent="0.35">
      <c r="A304">
        <v>1632039</v>
      </c>
      <c r="B304" t="s">
        <v>1088</v>
      </c>
      <c r="C304" t="str">
        <f>"9780822355793"</f>
        <v>9780822355793</v>
      </c>
      <c r="D304" t="str">
        <f>"9780822377078"</f>
        <v>9780822377078</v>
      </c>
      <c r="E304" t="s">
        <v>687</v>
      </c>
      <c r="F304" t="s">
        <v>687</v>
      </c>
      <c r="G304" s="1">
        <v>41649</v>
      </c>
      <c r="H304" s="1">
        <v>41683</v>
      </c>
      <c r="I304" t="s">
        <v>189</v>
      </c>
      <c r="J304">
        <v>1</v>
      </c>
      <c r="L304" t="s">
        <v>1089</v>
      </c>
      <c r="M304" t="s">
        <v>239</v>
      </c>
    </row>
    <row r="305" spans="1:40" x14ac:dyDescent="0.35">
      <c r="A305">
        <v>1634353</v>
      </c>
      <c r="B305" t="s">
        <v>1090</v>
      </c>
      <c r="C305" t="str">
        <f>"9788376560816"</f>
        <v>9788376560816</v>
      </c>
      <c r="D305" t="str">
        <f>"9788376560823"</f>
        <v>9788376560823</v>
      </c>
      <c r="E305" t="s">
        <v>415</v>
      </c>
      <c r="F305" t="s">
        <v>659</v>
      </c>
      <c r="G305" s="1">
        <v>41698</v>
      </c>
      <c r="H305" s="1">
        <v>41694</v>
      </c>
      <c r="I305" t="s">
        <v>189</v>
      </c>
      <c r="J305">
        <v>1</v>
      </c>
      <c r="L305" t="s">
        <v>1091</v>
      </c>
    </row>
    <row r="306" spans="1:40" x14ac:dyDescent="0.35">
      <c r="A306">
        <v>1640872</v>
      </c>
      <c r="B306" t="s">
        <v>1092</v>
      </c>
      <c r="C306" t="str">
        <f>"9780822355212"</f>
        <v>9780822355212</v>
      </c>
      <c r="D306" t="str">
        <f>"9780822377368"</f>
        <v>9780822377368</v>
      </c>
      <c r="E306" t="s">
        <v>687</v>
      </c>
      <c r="F306" t="s">
        <v>687</v>
      </c>
      <c r="G306" s="1">
        <v>41712</v>
      </c>
      <c r="H306" s="1">
        <v>41697</v>
      </c>
      <c r="I306" t="s">
        <v>189</v>
      </c>
      <c r="J306">
        <v>1</v>
      </c>
      <c r="K306" t="s">
        <v>796</v>
      </c>
      <c r="L306" t="s">
        <v>1093</v>
      </c>
      <c r="M306" t="s">
        <v>239</v>
      </c>
    </row>
    <row r="307" spans="1:40" x14ac:dyDescent="0.35">
      <c r="A307">
        <v>1642656</v>
      </c>
      <c r="B307" t="s">
        <v>1094</v>
      </c>
      <c r="C307" t="str">
        <f>"9783486705041"</f>
        <v>9783486705041</v>
      </c>
      <c r="D307" t="str">
        <f>"9783110345476"</f>
        <v>9783110345476</v>
      </c>
      <c r="E307" t="s">
        <v>415</v>
      </c>
      <c r="F307" t="s">
        <v>665</v>
      </c>
      <c r="G307" s="1">
        <v>42076</v>
      </c>
      <c r="H307" s="1">
        <v>42113</v>
      </c>
      <c r="I307" t="s">
        <v>189</v>
      </c>
      <c r="J307">
        <v>1</v>
      </c>
      <c r="K307" t="s">
        <v>1095</v>
      </c>
      <c r="L307" t="s">
        <v>1096</v>
      </c>
      <c r="M307" t="s">
        <v>239</v>
      </c>
    </row>
    <row r="308" spans="1:40" x14ac:dyDescent="0.35">
      <c r="A308">
        <v>1642701</v>
      </c>
      <c r="B308" t="s">
        <v>1097</v>
      </c>
      <c r="C308" t="str">
        <f>"9783486778441"</f>
        <v>9783486778441</v>
      </c>
      <c r="D308" t="str">
        <f>"9783486859089"</f>
        <v>9783486859089</v>
      </c>
      <c r="E308" t="s">
        <v>415</v>
      </c>
      <c r="F308" t="s">
        <v>665</v>
      </c>
      <c r="G308" s="1">
        <v>41988</v>
      </c>
      <c r="H308" s="1">
        <v>42036</v>
      </c>
      <c r="I308" t="s">
        <v>189</v>
      </c>
      <c r="J308">
        <v>1</v>
      </c>
      <c r="K308" t="s">
        <v>1098</v>
      </c>
      <c r="L308" t="s">
        <v>1099</v>
      </c>
      <c r="M308" t="s">
        <v>1100</v>
      </c>
    </row>
    <row r="309" spans="1:40" x14ac:dyDescent="0.35">
      <c r="A309">
        <v>1642715</v>
      </c>
      <c r="B309" t="s">
        <v>1101</v>
      </c>
      <c r="C309" t="str">
        <f>"9783486781397"</f>
        <v>9783486781397</v>
      </c>
      <c r="D309" t="str">
        <f>"9783110345438"</f>
        <v>9783110345438</v>
      </c>
      <c r="E309" t="s">
        <v>415</v>
      </c>
      <c r="F309" t="s">
        <v>665</v>
      </c>
      <c r="G309" s="1">
        <v>41960</v>
      </c>
      <c r="H309" s="1">
        <v>41994</v>
      </c>
      <c r="I309" t="s">
        <v>189</v>
      </c>
      <c r="J309">
        <v>1</v>
      </c>
      <c r="K309" t="s">
        <v>1102</v>
      </c>
      <c r="L309" t="s">
        <v>1103</v>
      </c>
    </row>
    <row r="310" spans="1:40" x14ac:dyDescent="0.35">
      <c r="A310">
        <v>1642718</v>
      </c>
      <c r="B310" t="s">
        <v>1104</v>
      </c>
      <c r="C310" t="str">
        <f>"9783110353617"</f>
        <v>9783110353617</v>
      </c>
      <c r="D310" t="str">
        <f>"9783110353716"</f>
        <v>9783110353716</v>
      </c>
      <c r="E310" t="s">
        <v>415</v>
      </c>
      <c r="F310" t="s">
        <v>665</v>
      </c>
      <c r="G310" s="1">
        <v>41870</v>
      </c>
      <c r="H310" s="1">
        <v>41885</v>
      </c>
      <c r="I310" t="s">
        <v>189</v>
      </c>
      <c r="J310">
        <v>1</v>
      </c>
      <c r="K310" t="s">
        <v>990</v>
      </c>
      <c r="L310" t="s">
        <v>1105</v>
      </c>
    </row>
    <row r="311" spans="1:40" x14ac:dyDescent="0.35">
      <c r="A311">
        <v>1642761</v>
      </c>
      <c r="B311" t="s">
        <v>1106</v>
      </c>
      <c r="C311" t="str">
        <f>"9783038216469"</f>
        <v>9783038216469</v>
      </c>
      <c r="D311" t="str">
        <f>"9783038216506"</f>
        <v>9783038216506</v>
      </c>
      <c r="E311" t="s">
        <v>415</v>
      </c>
      <c r="F311" t="s">
        <v>1107</v>
      </c>
      <c r="G311" s="1">
        <v>41969</v>
      </c>
      <c r="H311" s="1">
        <v>42005</v>
      </c>
      <c r="I311" t="s">
        <v>189</v>
      </c>
      <c r="J311">
        <v>1</v>
      </c>
      <c r="L311" t="s">
        <v>1108</v>
      </c>
    </row>
    <row r="312" spans="1:40" x14ac:dyDescent="0.35">
      <c r="A312">
        <v>1642781</v>
      </c>
      <c r="B312" t="s">
        <v>1109</v>
      </c>
      <c r="C312" t="str">
        <f>"9783110347074"</f>
        <v>9783110347074</v>
      </c>
      <c r="D312" t="str">
        <f>"9783110348750"</f>
        <v>9783110348750</v>
      </c>
      <c r="E312" t="s">
        <v>415</v>
      </c>
      <c r="F312" t="s">
        <v>665</v>
      </c>
      <c r="G312" s="1">
        <v>41939</v>
      </c>
      <c r="H312" s="1">
        <v>41994</v>
      </c>
      <c r="I312" t="s">
        <v>189</v>
      </c>
      <c r="J312">
        <v>1</v>
      </c>
      <c r="K312" t="s">
        <v>1095</v>
      </c>
      <c r="L312" t="s">
        <v>1110</v>
      </c>
    </row>
    <row r="313" spans="1:40" x14ac:dyDescent="0.35">
      <c r="A313">
        <v>1647711</v>
      </c>
      <c r="B313" t="s">
        <v>1111</v>
      </c>
      <c r="C313" t="str">
        <f>"9780822356400"</f>
        <v>9780822356400</v>
      </c>
      <c r="D313" t="str">
        <f>"9780822376811"</f>
        <v>9780822376811</v>
      </c>
      <c r="E313" t="s">
        <v>687</v>
      </c>
      <c r="F313" t="s">
        <v>687</v>
      </c>
      <c r="G313" s="1">
        <v>41719</v>
      </c>
      <c r="H313" s="1">
        <v>41706</v>
      </c>
      <c r="I313" t="s">
        <v>189</v>
      </c>
      <c r="J313">
        <v>1</v>
      </c>
      <c r="L313" t="s">
        <v>757</v>
      </c>
      <c r="M313" t="s">
        <v>578</v>
      </c>
      <c r="N313" t="s">
        <v>1112</v>
      </c>
      <c r="O313" t="s">
        <v>1113</v>
      </c>
      <c r="Q313" t="s">
        <v>260</v>
      </c>
      <c r="R313" t="s">
        <v>261</v>
      </c>
      <c r="S313" t="s">
        <v>261</v>
      </c>
      <c r="T313" t="s">
        <v>261</v>
      </c>
      <c r="U313" t="s">
        <v>261</v>
      </c>
      <c r="V313" t="s">
        <v>262</v>
      </c>
      <c r="W313" t="s">
        <v>261</v>
      </c>
      <c r="X313" t="s">
        <v>261</v>
      </c>
      <c r="Y313" t="s">
        <v>261</v>
      </c>
      <c r="Z313" t="s">
        <v>409</v>
      </c>
      <c r="AB313" t="s">
        <v>409</v>
      </c>
      <c r="AC313" t="s">
        <v>409</v>
      </c>
      <c r="AD313" t="s">
        <v>262</v>
      </c>
      <c r="AE313">
        <v>10846212</v>
      </c>
      <c r="AF313">
        <v>580689</v>
      </c>
      <c r="AH313" t="s">
        <v>262</v>
      </c>
      <c r="AI313" t="s">
        <v>262</v>
      </c>
      <c r="AJ313" t="s">
        <v>261</v>
      </c>
      <c r="AK313" t="s">
        <v>261</v>
      </c>
      <c r="AM313" t="s">
        <v>262</v>
      </c>
      <c r="AN313" t="s">
        <v>1114</v>
      </c>
    </row>
    <row r="314" spans="1:40" x14ac:dyDescent="0.35">
      <c r="A314">
        <v>1652352</v>
      </c>
      <c r="B314" t="s">
        <v>1115</v>
      </c>
      <c r="C314" t="str">
        <f>"9783110367652"</f>
        <v>9783110367652</v>
      </c>
      <c r="D314" t="str">
        <f>"9783110367669"</f>
        <v>9783110367669</v>
      </c>
      <c r="E314" t="s">
        <v>415</v>
      </c>
      <c r="F314" t="s">
        <v>659</v>
      </c>
      <c r="G314" s="1">
        <v>41793</v>
      </c>
      <c r="H314" s="1">
        <v>41794</v>
      </c>
      <c r="I314" t="s">
        <v>189</v>
      </c>
      <c r="J314">
        <v>1</v>
      </c>
      <c r="L314" t="s">
        <v>1116</v>
      </c>
    </row>
    <row r="315" spans="1:40" x14ac:dyDescent="0.35">
      <c r="A315">
        <v>1652397</v>
      </c>
      <c r="B315" t="s">
        <v>1117</v>
      </c>
      <c r="C315" t="str">
        <f>"9783110362114"</f>
        <v>9783110362114</v>
      </c>
      <c r="D315" t="str">
        <f>"9783110278149"</f>
        <v>9783110278149</v>
      </c>
      <c r="E315" t="s">
        <v>415</v>
      </c>
      <c r="F315" t="s">
        <v>665</v>
      </c>
      <c r="G315" s="1">
        <v>41939</v>
      </c>
      <c r="H315" s="1">
        <v>41994</v>
      </c>
      <c r="I315" t="s">
        <v>189</v>
      </c>
      <c r="J315">
        <v>1</v>
      </c>
      <c r="L315" t="s">
        <v>10</v>
      </c>
    </row>
    <row r="316" spans="1:40" x14ac:dyDescent="0.35">
      <c r="A316">
        <v>1652464</v>
      </c>
      <c r="B316" t="s">
        <v>1118</v>
      </c>
      <c r="C316" t="str">
        <f>"9783110341331"</f>
        <v>9783110341331</v>
      </c>
      <c r="D316" t="str">
        <f>"9783110369267"</f>
        <v>9783110369267</v>
      </c>
      <c r="E316" t="s">
        <v>346</v>
      </c>
      <c r="F316" t="s">
        <v>346</v>
      </c>
      <c r="G316" s="1">
        <v>41757</v>
      </c>
      <c r="H316" s="1">
        <v>41885</v>
      </c>
      <c r="I316" t="s">
        <v>189</v>
      </c>
      <c r="J316">
        <v>1</v>
      </c>
      <c r="K316" t="s">
        <v>552</v>
      </c>
      <c r="L316" t="s">
        <v>1119</v>
      </c>
    </row>
    <row r="317" spans="1:40" x14ac:dyDescent="0.35">
      <c r="A317">
        <v>1663091</v>
      </c>
      <c r="B317" t="s">
        <v>1120</v>
      </c>
      <c r="C317" t="str">
        <f>"9783110370102"</f>
        <v>9783110370102</v>
      </c>
      <c r="D317" t="str">
        <f>"9783110370119"</f>
        <v>9783110370119</v>
      </c>
      <c r="E317" t="s">
        <v>415</v>
      </c>
      <c r="F317" t="s">
        <v>659</v>
      </c>
      <c r="G317" s="1">
        <v>41814</v>
      </c>
      <c r="H317" s="1">
        <v>41820</v>
      </c>
      <c r="I317" t="s">
        <v>189</v>
      </c>
      <c r="J317">
        <v>1</v>
      </c>
      <c r="L317" t="s">
        <v>1121</v>
      </c>
      <c r="M317" t="s">
        <v>249</v>
      </c>
    </row>
    <row r="318" spans="1:40" x14ac:dyDescent="0.35">
      <c r="A318">
        <v>1663116</v>
      </c>
      <c r="B318" t="s">
        <v>1122</v>
      </c>
      <c r="C318" t="str">
        <f>"9783110356977"</f>
        <v>9783110356977</v>
      </c>
      <c r="D318" t="str">
        <f>"9783110363227"</f>
        <v>9783110363227</v>
      </c>
      <c r="E318" t="s">
        <v>415</v>
      </c>
      <c r="F318" t="s">
        <v>665</v>
      </c>
      <c r="G318" s="1">
        <v>41925</v>
      </c>
      <c r="H318" s="1">
        <v>41994</v>
      </c>
      <c r="I318" t="s">
        <v>189</v>
      </c>
      <c r="J318">
        <v>1</v>
      </c>
      <c r="L318" t="s">
        <v>1123</v>
      </c>
    </row>
    <row r="319" spans="1:40" x14ac:dyDescent="0.35">
      <c r="A319">
        <v>1663129</v>
      </c>
      <c r="B319" t="s">
        <v>1124</v>
      </c>
      <c r="C319" t="str">
        <f>"9783486778410"</f>
        <v>9783486778410</v>
      </c>
      <c r="D319" t="str">
        <f>"9783110348736"</f>
        <v>9783110348736</v>
      </c>
      <c r="E319" t="s">
        <v>415</v>
      </c>
      <c r="F319" t="s">
        <v>665</v>
      </c>
      <c r="G319" s="1">
        <v>41969</v>
      </c>
      <c r="H319" s="1">
        <v>41994</v>
      </c>
      <c r="I319" t="s">
        <v>189</v>
      </c>
      <c r="J319">
        <v>1</v>
      </c>
      <c r="K319" t="s">
        <v>1125</v>
      </c>
      <c r="L319" t="s">
        <v>1126</v>
      </c>
      <c r="M319" t="s">
        <v>1127</v>
      </c>
    </row>
    <row r="320" spans="1:40" x14ac:dyDescent="0.35">
      <c r="A320">
        <v>1663210</v>
      </c>
      <c r="B320" t="s">
        <v>1128</v>
      </c>
      <c r="C320" t="str">
        <f>"9783110370300"</f>
        <v>9783110370300</v>
      </c>
      <c r="D320" t="str">
        <f>"9783110370317"</f>
        <v>9783110370317</v>
      </c>
      <c r="E320" t="s">
        <v>415</v>
      </c>
      <c r="F320" t="s">
        <v>659</v>
      </c>
      <c r="G320" s="1">
        <v>41824</v>
      </c>
      <c r="H320" s="1">
        <v>41824</v>
      </c>
      <c r="I320" t="s">
        <v>189</v>
      </c>
      <c r="J320">
        <v>1</v>
      </c>
      <c r="L320" t="s">
        <v>1129</v>
      </c>
    </row>
    <row r="321" spans="1:40" x14ac:dyDescent="0.35">
      <c r="A321">
        <v>1680085</v>
      </c>
      <c r="B321" t="s">
        <v>1130</v>
      </c>
      <c r="C321" t="str">
        <f>"9780813565309"</f>
        <v>9780813565309</v>
      </c>
      <c r="D321" t="str">
        <f>"9780813565392"</f>
        <v>9780813565392</v>
      </c>
      <c r="E321" t="s">
        <v>336</v>
      </c>
      <c r="F321" t="s">
        <v>336</v>
      </c>
      <c r="G321" s="1">
        <v>41831</v>
      </c>
      <c r="H321" s="1">
        <v>41757</v>
      </c>
      <c r="I321" t="s">
        <v>189</v>
      </c>
      <c r="J321">
        <v>1</v>
      </c>
      <c r="K321" t="s">
        <v>1131</v>
      </c>
      <c r="L321" t="s">
        <v>1132</v>
      </c>
      <c r="M321" t="s">
        <v>219</v>
      </c>
      <c r="N321" t="s">
        <v>1133</v>
      </c>
      <c r="O321" t="s">
        <v>1134</v>
      </c>
      <c r="Q321" t="s">
        <v>260</v>
      </c>
      <c r="R321" t="s">
        <v>261</v>
      </c>
      <c r="S321" t="s">
        <v>261</v>
      </c>
      <c r="T321" t="s">
        <v>261</v>
      </c>
      <c r="U321" t="s">
        <v>261</v>
      </c>
      <c r="V321" t="s">
        <v>262</v>
      </c>
      <c r="W321" t="s">
        <v>261</v>
      </c>
      <c r="X321" t="s">
        <v>261</v>
      </c>
      <c r="Y321" t="s">
        <v>261</v>
      </c>
      <c r="Z321" t="s">
        <v>1135</v>
      </c>
      <c r="AA321" t="s">
        <v>1135</v>
      </c>
      <c r="AB321" t="s">
        <v>1136</v>
      </c>
      <c r="AC321" t="s">
        <v>1137</v>
      </c>
      <c r="AD321" t="s">
        <v>262</v>
      </c>
      <c r="AE321">
        <v>10864840</v>
      </c>
      <c r="AF321">
        <v>600678</v>
      </c>
      <c r="AH321" t="s">
        <v>262</v>
      </c>
      <c r="AI321" t="s">
        <v>261</v>
      </c>
      <c r="AJ321" t="s">
        <v>261</v>
      </c>
      <c r="AK321" t="s">
        <v>261</v>
      </c>
      <c r="AM321" t="s">
        <v>262</v>
      </c>
      <c r="AN321" t="s">
        <v>1138</v>
      </c>
    </row>
    <row r="322" spans="1:40" x14ac:dyDescent="0.35">
      <c r="A322">
        <v>1684537</v>
      </c>
      <c r="B322" t="s">
        <v>1139</v>
      </c>
      <c r="C322" t="str">
        <f>"9780822356301"</f>
        <v>9780822356301</v>
      </c>
      <c r="D322" t="str">
        <f>"9780822376842"</f>
        <v>9780822376842</v>
      </c>
      <c r="E322" t="s">
        <v>687</v>
      </c>
      <c r="F322" t="s">
        <v>687</v>
      </c>
      <c r="G322" s="1">
        <v>41754</v>
      </c>
      <c r="H322" s="1">
        <v>41762</v>
      </c>
      <c r="I322" t="s">
        <v>189</v>
      </c>
      <c r="J322">
        <v>1</v>
      </c>
      <c r="L322" t="s">
        <v>1140</v>
      </c>
    </row>
    <row r="323" spans="1:40" x14ac:dyDescent="0.35">
      <c r="A323">
        <v>1685351</v>
      </c>
      <c r="B323" t="s">
        <v>1141</v>
      </c>
      <c r="C323" t="str">
        <f>"9783110372700"</f>
        <v>9783110372700</v>
      </c>
      <c r="D323" t="str">
        <f>"9783110372717"</f>
        <v>9783110372717</v>
      </c>
      <c r="E323" t="s">
        <v>415</v>
      </c>
      <c r="F323" t="s">
        <v>659</v>
      </c>
      <c r="G323" s="1">
        <v>41878</v>
      </c>
      <c r="H323" s="1">
        <v>41883</v>
      </c>
      <c r="I323" t="s">
        <v>189</v>
      </c>
      <c r="J323">
        <v>1</v>
      </c>
      <c r="L323" t="s">
        <v>1142</v>
      </c>
      <c r="M323" t="s">
        <v>535</v>
      </c>
    </row>
    <row r="324" spans="1:40" x14ac:dyDescent="0.35">
      <c r="A324">
        <v>1691223</v>
      </c>
      <c r="B324" t="s">
        <v>1143</v>
      </c>
      <c r="C324" t="str">
        <f>"9780822355496"</f>
        <v>9780822355496</v>
      </c>
      <c r="D324" t="str">
        <f>"9780822377238"</f>
        <v>9780822377238</v>
      </c>
      <c r="E324" t="s">
        <v>687</v>
      </c>
      <c r="F324" t="s">
        <v>687</v>
      </c>
      <c r="G324" s="1">
        <v>41677</v>
      </c>
      <c r="H324" s="1">
        <v>41775</v>
      </c>
      <c r="I324" t="s">
        <v>189</v>
      </c>
      <c r="J324">
        <v>1</v>
      </c>
      <c r="L324" t="s">
        <v>1144</v>
      </c>
      <c r="M324" t="s">
        <v>207</v>
      </c>
    </row>
    <row r="325" spans="1:40" x14ac:dyDescent="0.35">
      <c r="A325">
        <v>1692429</v>
      </c>
      <c r="B325" t="s">
        <v>1145</v>
      </c>
      <c r="C325" t="str">
        <f>"9783110346022"</f>
        <v>9783110346022</v>
      </c>
      <c r="D325" t="str">
        <f>"9783110347227"</f>
        <v>9783110347227</v>
      </c>
      <c r="E325" t="s">
        <v>415</v>
      </c>
      <c r="F325" t="s">
        <v>665</v>
      </c>
      <c r="G325" s="1">
        <v>41925</v>
      </c>
      <c r="H325" s="1">
        <v>41936</v>
      </c>
      <c r="I325" t="s">
        <v>189</v>
      </c>
      <c r="J325">
        <v>1</v>
      </c>
      <c r="K325" t="s">
        <v>1020</v>
      </c>
      <c r="L325" t="s">
        <v>1146</v>
      </c>
    </row>
    <row r="326" spans="1:40" x14ac:dyDescent="0.35">
      <c r="A326">
        <v>1692473</v>
      </c>
      <c r="B326" t="s">
        <v>1147</v>
      </c>
      <c r="C326" t="str">
        <f>"9783110346466"</f>
        <v>9783110346466</v>
      </c>
      <c r="D326" t="str">
        <f>"9783110346473"</f>
        <v>9783110346473</v>
      </c>
      <c r="E326" t="s">
        <v>346</v>
      </c>
      <c r="F326" t="s">
        <v>346</v>
      </c>
      <c r="G326" s="1">
        <v>42118</v>
      </c>
      <c r="H326" s="1">
        <v>42118</v>
      </c>
      <c r="I326" t="s">
        <v>189</v>
      </c>
      <c r="J326">
        <v>1</v>
      </c>
      <c r="L326" t="s">
        <v>1148</v>
      </c>
    </row>
    <row r="327" spans="1:40" x14ac:dyDescent="0.35">
      <c r="A327">
        <v>1692483</v>
      </c>
      <c r="B327" t="s">
        <v>1149</v>
      </c>
      <c r="C327" t="str">
        <f>"9783110372649"</f>
        <v>9783110372649</v>
      </c>
      <c r="D327" t="str">
        <f>"9783110372656"</f>
        <v>9783110372656</v>
      </c>
      <c r="E327" t="s">
        <v>415</v>
      </c>
      <c r="F327" t="s">
        <v>659</v>
      </c>
      <c r="G327" s="1">
        <v>41920</v>
      </c>
      <c r="H327" s="1">
        <v>41920</v>
      </c>
      <c r="I327" t="s">
        <v>189</v>
      </c>
      <c r="J327">
        <v>1</v>
      </c>
      <c r="L327" t="s">
        <v>1150</v>
      </c>
      <c r="M327" t="s">
        <v>199</v>
      </c>
      <c r="N327" t="s">
        <v>1151</v>
      </c>
      <c r="O327" t="s">
        <v>1152</v>
      </c>
      <c r="P327" t="s">
        <v>1153</v>
      </c>
    </row>
    <row r="328" spans="1:40" x14ac:dyDescent="0.35">
      <c r="A328">
        <v>1692485</v>
      </c>
      <c r="B328" t="s">
        <v>1154</v>
      </c>
      <c r="C328" t="str">
        <f>"9783110372328"</f>
        <v>9783110372328</v>
      </c>
      <c r="D328" t="str">
        <f>"9783110372335"</f>
        <v>9783110372335</v>
      </c>
      <c r="E328" t="s">
        <v>415</v>
      </c>
      <c r="F328" t="s">
        <v>659</v>
      </c>
      <c r="G328" s="1">
        <v>41824</v>
      </c>
      <c r="H328" s="1">
        <v>41824</v>
      </c>
      <c r="I328" t="s">
        <v>189</v>
      </c>
      <c r="J328">
        <v>1</v>
      </c>
      <c r="L328" t="s">
        <v>1155</v>
      </c>
      <c r="M328" t="s">
        <v>239</v>
      </c>
    </row>
    <row r="329" spans="1:40" x14ac:dyDescent="0.35">
      <c r="A329">
        <v>1713021</v>
      </c>
      <c r="B329" t="s">
        <v>1156</v>
      </c>
      <c r="C329" t="str">
        <f>"9783110246117"</f>
        <v>9783110246117</v>
      </c>
      <c r="D329" t="str">
        <f>"9783110246124"</f>
        <v>9783110246124</v>
      </c>
      <c r="E329" t="s">
        <v>346</v>
      </c>
      <c r="F329" t="s">
        <v>346</v>
      </c>
      <c r="G329" s="1">
        <v>41971</v>
      </c>
      <c r="H329" s="1">
        <v>41994</v>
      </c>
      <c r="I329" t="s">
        <v>189</v>
      </c>
      <c r="J329">
        <v>1</v>
      </c>
      <c r="L329" t="s">
        <v>1157</v>
      </c>
    </row>
    <row r="330" spans="1:40" x14ac:dyDescent="0.35">
      <c r="A330">
        <v>1713062</v>
      </c>
      <c r="B330" t="s">
        <v>1158</v>
      </c>
      <c r="C330" t="str">
        <f>"9783110371239"</f>
        <v>9783110371239</v>
      </c>
      <c r="D330" t="str">
        <f>"9783110371222"</f>
        <v>9783110371222</v>
      </c>
      <c r="E330" t="s">
        <v>346</v>
      </c>
      <c r="F330" t="s">
        <v>346</v>
      </c>
      <c r="G330" s="1">
        <v>42033</v>
      </c>
      <c r="H330" s="1">
        <v>42059</v>
      </c>
      <c r="I330" t="s">
        <v>189</v>
      </c>
      <c r="J330">
        <v>1</v>
      </c>
      <c r="K330" t="s">
        <v>1159</v>
      </c>
      <c r="L330" t="s">
        <v>1160</v>
      </c>
    </row>
    <row r="331" spans="1:40" x14ac:dyDescent="0.35">
      <c r="A331">
        <v>1727128</v>
      </c>
      <c r="B331" t="s">
        <v>1161</v>
      </c>
      <c r="C331" t="str">
        <f>"9783110401448"</f>
        <v>9783110401448</v>
      </c>
      <c r="D331" t="str">
        <f>"9783110401455"</f>
        <v>9783110401455</v>
      </c>
      <c r="E331" t="s">
        <v>415</v>
      </c>
      <c r="F331" t="s">
        <v>659</v>
      </c>
      <c r="G331" s="1">
        <v>41848</v>
      </c>
      <c r="H331" s="1">
        <v>41640</v>
      </c>
      <c r="I331" t="s">
        <v>189</v>
      </c>
      <c r="J331">
        <v>1</v>
      </c>
      <c r="L331" t="s">
        <v>1162</v>
      </c>
    </row>
    <row r="332" spans="1:40" x14ac:dyDescent="0.35">
      <c r="A332">
        <v>1727151</v>
      </c>
      <c r="B332" t="s">
        <v>1163</v>
      </c>
      <c r="C332" t="str">
        <f>"9783110377163"</f>
        <v>9783110377163</v>
      </c>
      <c r="D332" t="str">
        <f>"9783110400724"</f>
        <v>9783110400724</v>
      </c>
      <c r="E332" t="s">
        <v>415</v>
      </c>
      <c r="F332" t="s">
        <v>665</v>
      </c>
      <c r="G332" s="1">
        <v>41969</v>
      </c>
      <c r="H332" s="1">
        <v>42114</v>
      </c>
      <c r="I332" t="s">
        <v>189</v>
      </c>
      <c r="J332">
        <v>1</v>
      </c>
      <c r="K332" t="s">
        <v>1164</v>
      </c>
      <c r="L332" t="s">
        <v>43</v>
      </c>
      <c r="M332" t="s">
        <v>239</v>
      </c>
      <c r="N332" t="s">
        <v>1165</v>
      </c>
      <c r="O332" s="2">
        <v>94310874</v>
      </c>
      <c r="P332" t="s">
        <v>1166</v>
      </c>
    </row>
    <row r="333" spans="1:40" x14ac:dyDescent="0.35">
      <c r="A333">
        <v>1727155</v>
      </c>
      <c r="B333" t="s">
        <v>1167</v>
      </c>
      <c r="C333" t="str">
        <f>"9783110371307"</f>
        <v>9783110371307</v>
      </c>
      <c r="D333" t="str">
        <f>"9783110371345"</f>
        <v>9783110371345</v>
      </c>
      <c r="E333" t="s">
        <v>346</v>
      </c>
      <c r="F333" t="s">
        <v>346</v>
      </c>
      <c r="G333" s="1">
        <v>41969</v>
      </c>
      <c r="H333" s="1">
        <v>42005</v>
      </c>
      <c r="I333" t="s">
        <v>189</v>
      </c>
      <c r="J333">
        <v>1</v>
      </c>
      <c r="K333" t="s">
        <v>1159</v>
      </c>
      <c r="L333" t="s">
        <v>1168</v>
      </c>
    </row>
    <row r="334" spans="1:40" x14ac:dyDescent="0.35">
      <c r="A334">
        <v>1727173</v>
      </c>
      <c r="B334" t="s">
        <v>1169</v>
      </c>
      <c r="C334" t="str">
        <f>"9783110371246"</f>
        <v>9783110371246</v>
      </c>
      <c r="D334" t="str">
        <f>"9783110371277"</f>
        <v>9783110371277</v>
      </c>
      <c r="E334" t="s">
        <v>346</v>
      </c>
      <c r="F334" t="s">
        <v>346</v>
      </c>
      <c r="G334" s="1">
        <v>41969</v>
      </c>
      <c r="H334" s="1">
        <v>42005</v>
      </c>
      <c r="I334" t="s">
        <v>189</v>
      </c>
      <c r="J334">
        <v>1</v>
      </c>
      <c r="K334" t="s">
        <v>1159</v>
      </c>
      <c r="L334" t="s">
        <v>1170</v>
      </c>
    </row>
    <row r="335" spans="1:40" x14ac:dyDescent="0.35">
      <c r="A335">
        <v>1727238</v>
      </c>
      <c r="B335" t="s">
        <v>1171</v>
      </c>
      <c r="C335" t="str">
        <f>"9783110353044"</f>
        <v>9783110353044</v>
      </c>
      <c r="D335" t="str">
        <f>"9783110353587"</f>
        <v>9783110353587</v>
      </c>
      <c r="E335" t="s">
        <v>346</v>
      </c>
      <c r="F335" t="s">
        <v>346</v>
      </c>
      <c r="G335" s="1">
        <v>41715</v>
      </c>
      <c r="H335" s="1">
        <v>41731</v>
      </c>
      <c r="I335" t="s">
        <v>189</v>
      </c>
      <c r="J335">
        <v>1</v>
      </c>
      <c r="K335" t="s">
        <v>1159</v>
      </c>
      <c r="L335" t="s">
        <v>1172</v>
      </c>
    </row>
    <row r="336" spans="1:40" x14ac:dyDescent="0.35">
      <c r="A336">
        <v>1744549</v>
      </c>
      <c r="B336" t="s">
        <v>1173</v>
      </c>
      <c r="C336" t="str">
        <f>"9783110402483"</f>
        <v>9783110402483</v>
      </c>
      <c r="D336" t="str">
        <f>"9783110402490"</f>
        <v>9783110402490</v>
      </c>
      <c r="E336" t="s">
        <v>415</v>
      </c>
      <c r="F336" t="s">
        <v>659</v>
      </c>
      <c r="G336" s="1">
        <v>41920</v>
      </c>
      <c r="H336" s="1">
        <v>41920</v>
      </c>
      <c r="I336" t="s">
        <v>189</v>
      </c>
      <c r="J336">
        <v>1</v>
      </c>
      <c r="L336" t="s">
        <v>1174</v>
      </c>
    </row>
    <row r="337" spans="1:40" x14ac:dyDescent="0.35">
      <c r="A337">
        <v>1744550</v>
      </c>
      <c r="B337" t="s">
        <v>1175</v>
      </c>
      <c r="C337" t="str">
        <f>"9783110370140"</f>
        <v>9783110370140</v>
      </c>
      <c r="D337" t="str">
        <f>"9783110370188"</f>
        <v>9783110370188</v>
      </c>
      <c r="E337" t="s">
        <v>346</v>
      </c>
      <c r="F337" t="s">
        <v>346</v>
      </c>
      <c r="G337" s="1">
        <v>41878</v>
      </c>
      <c r="H337" s="1">
        <v>41927</v>
      </c>
      <c r="I337" t="s">
        <v>189</v>
      </c>
      <c r="J337">
        <v>1</v>
      </c>
      <c r="K337" t="s">
        <v>1159</v>
      </c>
      <c r="L337" t="s">
        <v>1176</v>
      </c>
    </row>
    <row r="338" spans="1:40" x14ac:dyDescent="0.35">
      <c r="A338">
        <v>1744557</v>
      </c>
      <c r="B338" t="s">
        <v>1177</v>
      </c>
      <c r="C338" t="str">
        <f>"9783110401714"</f>
        <v>9783110401714</v>
      </c>
      <c r="D338" t="str">
        <f>"9783110401721"</f>
        <v>9783110401721</v>
      </c>
      <c r="E338" t="s">
        <v>415</v>
      </c>
      <c r="F338" t="s">
        <v>659</v>
      </c>
      <c r="G338" s="1">
        <v>41920</v>
      </c>
      <c r="H338" s="1">
        <v>41920</v>
      </c>
      <c r="I338" t="s">
        <v>189</v>
      </c>
      <c r="J338">
        <v>1</v>
      </c>
      <c r="L338" t="s">
        <v>1178</v>
      </c>
    </row>
    <row r="339" spans="1:40" x14ac:dyDescent="0.35">
      <c r="A339">
        <v>1744558</v>
      </c>
      <c r="B339" t="s">
        <v>1179</v>
      </c>
      <c r="C339" t="str">
        <f>"9783110401691"</f>
        <v>9783110401691</v>
      </c>
      <c r="D339" t="str">
        <f>"9783110401707"</f>
        <v>9783110401707</v>
      </c>
      <c r="E339" t="s">
        <v>415</v>
      </c>
      <c r="F339" t="s">
        <v>659</v>
      </c>
      <c r="G339" s="1">
        <v>41887</v>
      </c>
      <c r="H339" s="1">
        <v>41887</v>
      </c>
      <c r="I339" t="s">
        <v>189</v>
      </c>
      <c r="J339">
        <v>1</v>
      </c>
      <c r="L339" t="s">
        <v>1180</v>
      </c>
    </row>
    <row r="340" spans="1:40" x14ac:dyDescent="0.35">
      <c r="A340">
        <v>1744595</v>
      </c>
      <c r="B340" t="s">
        <v>1181</v>
      </c>
      <c r="C340" t="str">
        <f>"9783110401738"</f>
        <v>9783110401738</v>
      </c>
      <c r="D340" t="str">
        <f>"9783110401745"</f>
        <v>9783110401745</v>
      </c>
      <c r="E340" t="s">
        <v>415</v>
      </c>
      <c r="F340" t="s">
        <v>659</v>
      </c>
      <c r="G340" s="1">
        <v>41920</v>
      </c>
      <c r="H340" s="1">
        <v>41920</v>
      </c>
      <c r="I340" t="s">
        <v>189</v>
      </c>
      <c r="J340">
        <v>1</v>
      </c>
      <c r="L340" t="s">
        <v>1182</v>
      </c>
      <c r="M340" t="s">
        <v>329</v>
      </c>
      <c r="N340" t="s">
        <v>1183</v>
      </c>
      <c r="O340">
        <v>300</v>
      </c>
      <c r="P340" t="s">
        <v>1184</v>
      </c>
    </row>
    <row r="341" spans="1:40" x14ac:dyDescent="0.35">
      <c r="A341">
        <v>1744596</v>
      </c>
      <c r="B341" t="s">
        <v>1185</v>
      </c>
      <c r="C341" t="str">
        <f>"9783110401493"</f>
        <v>9783110401493</v>
      </c>
      <c r="D341" t="str">
        <f>"9783110401509"</f>
        <v>9783110401509</v>
      </c>
      <c r="E341" t="s">
        <v>415</v>
      </c>
      <c r="F341" t="s">
        <v>659</v>
      </c>
      <c r="G341" s="1">
        <v>42023</v>
      </c>
      <c r="H341" s="1">
        <v>42033</v>
      </c>
      <c r="I341" t="s">
        <v>189</v>
      </c>
      <c r="J341">
        <v>1</v>
      </c>
      <c r="L341" t="s">
        <v>1186</v>
      </c>
      <c r="M341" t="s">
        <v>988</v>
      </c>
    </row>
    <row r="342" spans="1:40" x14ac:dyDescent="0.35">
      <c r="A342">
        <v>1759922</v>
      </c>
      <c r="B342" t="s">
        <v>1187</v>
      </c>
      <c r="C342" t="str">
        <f>"9783110371369"</f>
        <v>9783110371369</v>
      </c>
      <c r="D342" t="str">
        <f>"9783110371413"</f>
        <v>9783110371413</v>
      </c>
      <c r="E342" t="s">
        <v>346</v>
      </c>
      <c r="F342" t="s">
        <v>346</v>
      </c>
      <c r="G342" s="1">
        <v>42033</v>
      </c>
      <c r="H342" s="1">
        <v>42059</v>
      </c>
      <c r="I342" t="s">
        <v>189</v>
      </c>
      <c r="J342">
        <v>1</v>
      </c>
      <c r="K342" t="s">
        <v>1159</v>
      </c>
      <c r="L342" t="s">
        <v>1188</v>
      </c>
    </row>
    <row r="343" spans="1:40" x14ac:dyDescent="0.35">
      <c r="A343">
        <v>1767601</v>
      </c>
      <c r="B343" t="s">
        <v>1189</v>
      </c>
      <c r="C343" t="str">
        <f>"9783110373462"</f>
        <v>9783110373462</v>
      </c>
      <c r="D343" t="str">
        <f>"9783110367430"</f>
        <v>9783110367430</v>
      </c>
      <c r="E343" t="s">
        <v>346</v>
      </c>
      <c r="F343" t="s">
        <v>346</v>
      </c>
      <c r="G343" s="1">
        <v>42061</v>
      </c>
      <c r="H343" s="1">
        <v>42120</v>
      </c>
      <c r="I343" t="s">
        <v>189</v>
      </c>
      <c r="J343">
        <v>1</v>
      </c>
      <c r="K343" t="s">
        <v>354</v>
      </c>
      <c r="L343" t="s">
        <v>1190</v>
      </c>
      <c r="M343" t="s">
        <v>1191</v>
      </c>
    </row>
    <row r="344" spans="1:40" x14ac:dyDescent="0.35">
      <c r="A344">
        <v>1773710</v>
      </c>
      <c r="B344" t="s">
        <v>1192</v>
      </c>
      <c r="C344" t="str">
        <f>"9789089647122"</f>
        <v>9789089647122</v>
      </c>
      <c r="D344" t="str">
        <f>"9789048524365"</f>
        <v>9789048524365</v>
      </c>
      <c r="E344" t="s">
        <v>361</v>
      </c>
      <c r="F344" t="s">
        <v>361</v>
      </c>
      <c r="G344" s="1">
        <v>41772</v>
      </c>
      <c r="H344" s="1">
        <v>41774</v>
      </c>
      <c r="I344" t="s">
        <v>189</v>
      </c>
      <c r="J344">
        <v>1</v>
      </c>
      <c r="L344" t="s">
        <v>1193</v>
      </c>
    </row>
    <row r="345" spans="1:40" x14ac:dyDescent="0.35">
      <c r="A345">
        <v>1773720</v>
      </c>
      <c r="B345" t="s">
        <v>1194</v>
      </c>
      <c r="C345" t="str">
        <f>"9789089644718"</f>
        <v>9789089644718</v>
      </c>
      <c r="D345" t="str">
        <f>"9789048517763"</f>
        <v>9789048517763</v>
      </c>
      <c r="E345" t="s">
        <v>361</v>
      </c>
      <c r="F345" t="s">
        <v>361</v>
      </c>
      <c r="G345" s="1">
        <v>41317</v>
      </c>
      <c r="H345" s="1">
        <v>41470</v>
      </c>
      <c r="I345" t="s">
        <v>189</v>
      </c>
      <c r="J345">
        <v>1</v>
      </c>
      <c r="K345" t="s">
        <v>1195</v>
      </c>
      <c r="L345" t="s">
        <v>1196</v>
      </c>
      <c r="M345" t="s">
        <v>578</v>
      </c>
      <c r="N345" t="s">
        <v>1197</v>
      </c>
      <c r="O345" s="2">
        <v>700905</v>
      </c>
      <c r="P345" t="s">
        <v>1198</v>
      </c>
    </row>
    <row r="346" spans="1:40" x14ac:dyDescent="0.35">
      <c r="A346">
        <v>1773725</v>
      </c>
      <c r="B346" t="s">
        <v>1199</v>
      </c>
      <c r="C346" t="str">
        <f>"9789089645517"</f>
        <v>9789089645517</v>
      </c>
      <c r="D346" t="str">
        <f>"9789048518425"</f>
        <v>9789048518425</v>
      </c>
      <c r="E346" t="s">
        <v>361</v>
      </c>
      <c r="F346" t="s">
        <v>361</v>
      </c>
      <c r="G346" s="1">
        <v>41407</v>
      </c>
      <c r="H346" s="1">
        <v>41470</v>
      </c>
      <c r="I346" t="s">
        <v>189</v>
      </c>
      <c r="J346">
        <v>1</v>
      </c>
      <c r="K346" t="s">
        <v>1195</v>
      </c>
      <c r="L346" t="s">
        <v>1200</v>
      </c>
    </row>
    <row r="347" spans="1:40" x14ac:dyDescent="0.35">
      <c r="A347">
        <v>1773754</v>
      </c>
      <c r="B347" t="s">
        <v>1201</v>
      </c>
      <c r="C347" t="str">
        <f>"9789089645593"</f>
        <v>9789089645593</v>
      </c>
      <c r="D347" t="str">
        <f>"9789048519552"</f>
        <v>9789048519552</v>
      </c>
      <c r="E347" t="s">
        <v>361</v>
      </c>
      <c r="F347" t="s">
        <v>361</v>
      </c>
      <c r="G347" s="1">
        <v>41553</v>
      </c>
      <c r="H347" s="1">
        <v>41755</v>
      </c>
      <c r="I347" t="s">
        <v>189</v>
      </c>
      <c r="J347">
        <v>1</v>
      </c>
      <c r="K347" t="s">
        <v>1202</v>
      </c>
      <c r="L347" t="s">
        <v>1203</v>
      </c>
      <c r="M347" t="s">
        <v>239</v>
      </c>
    </row>
    <row r="348" spans="1:40" x14ac:dyDescent="0.35">
      <c r="A348">
        <v>1773761</v>
      </c>
      <c r="B348" t="s">
        <v>1204</v>
      </c>
      <c r="C348" t="str">
        <f>"9789089642912"</f>
        <v>9789089642912</v>
      </c>
      <c r="D348" t="str">
        <f>"9789048513833"</f>
        <v>9789048513833</v>
      </c>
      <c r="E348" t="s">
        <v>361</v>
      </c>
      <c r="F348" t="s">
        <v>361</v>
      </c>
      <c r="G348" s="1">
        <v>41302</v>
      </c>
      <c r="H348" s="1">
        <v>41302</v>
      </c>
      <c r="I348" t="s">
        <v>189</v>
      </c>
      <c r="J348">
        <v>1</v>
      </c>
      <c r="K348" t="s">
        <v>1205</v>
      </c>
      <c r="L348" t="s">
        <v>1206</v>
      </c>
    </row>
    <row r="349" spans="1:40" x14ac:dyDescent="0.35">
      <c r="A349">
        <v>1773777</v>
      </c>
      <c r="B349" t="s">
        <v>1207</v>
      </c>
      <c r="C349" t="str">
        <f>"9789089646514"</f>
        <v>9789089646514</v>
      </c>
      <c r="D349" t="str">
        <f>"9789048523184"</f>
        <v>9789048523184</v>
      </c>
      <c r="E349" t="s">
        <v>361</v>
      </c>
      <c r="F349" t="s">
        <v>361</v>
      </c>
      <c r="G349" s="1">
        <v>41927</v>
      </c>
      <c r="H349" s="1">
        <v>41858</v>
      </c>
      <c r="I349" t="s">
        <v>189</v>
      </c>
      <c r="J349">
        <v>1</v>
      </c>
      <c r="K349" t="s">
        <v>1208</v>
      </c>
      <c r="L349" t="s">
        <v>1209</v>
      </c>
      <c r="M349" t="s">
        <v>329</v>
      </c>
      <c r="Q349" t="s">
        <v>260</v>
      </c>
      <c r="R349" t="s">
        <v>261</v>
      </c>
      <c r="S349" t="s">
        <v>261</v>
      </c>
      <c r="T349" t="s">
        <v>261</v>
      </c>
      <c r="U349" t="s">
        <v>261</v>
      </c>
      <c r="V349" t="s">
        <v>262</v>
      </c>
      <c r="W349" t="s">
        <v>261</v>
      </c>
      <c r="X349" t="s">
        <v>261</v>
      </c>
      <c r="Y349" t="s">
        <v>261</v>
      </c>
      <c r="Z349" t="s">
        <v>409</v>
      </c>
      <c r="AA349" t="s">
        <v>409</v>
      </c>
      <c r="AB349" t="s">
        <v>409</v>
      </c>
      <c r="AC349" t="s">
        <v>409</v>
      </c>
      <c r="AD349" t="s">
        <v>262</v>
      </c>
      <c r="AE349">
        <v>10910349</v>
      </c>
      <c r="AF349">
        <v>801029</v>
      </c>
      <c r="AH349" t="s">
        <v>262</v>
      </c>
      <c r="AI349" t="s">
        <v>262</v>
      </c>
      <c r="AJ349" t="s">
        <v>261</v>
      </c>
      <c r="AK349" t="s">
        <v>261</v>
      </c>
      <c r="AM349" t="s">
        <v>262</v>
      </c>
      <c r="AN349" t="s">
        <v>1210</v>
      </c>
    </row>
    <row r="350" spans="1:40" x14ac:dyDescent="0.35">
      <c r="A350">
        <v>1773778</v>
      </c>
      <c r="B350" t="s">
        <v>1211</v>
      </c>
      <c r="C350" t="str">
        <f>"9789089646507"</f>
        <v>9789089646507</v>
      </c>
      <c r="D350" t="str">
        <f>"9789048523177"</f>
        <v>9789048523177</v>
      </c>
      <c r="E350" t="s">
        <v>361</v>
      </c>
      <c r="F350" t="s">
        <v>361</v>
      </c>
      <c r="G350" s="1">
        <v>41855</v>
      </c>
      <c r="H350" s="1">
        <v>41866</v>
      </c>
      <c r="I350" t="s">
        <v>189</v>
      </c>
      <c r="J350">
        <v>1</v>
      </c>
      <c r="K350" t="s">
        <v>1208</v>
      </c>
      <c r="L350" t="s">
        <v>1212</v>
      </c>
    </row>
    <row r="351" spans="1:40" x14ac:dyDescent="0.35">
      <c r="A351">
        <v>1773780</v>
      </c>
      <c r="B351" t="s">
        <v>1213</v>
      </c>
      <c r="C351" t="str">
        <f>"9789089646491"</f>
        <v>9789089646491</v>
      </c>
      <c r="D351" t="str">
        <f>"9789048523160"</f>
        <v>9789048523160</v>
      </c>
      <c r="E351" t="s">
        <v>361</v>
      </c>
      <c r="F351" t="s">
        <v>361</v>
      </c>
      <c r="G351" s="1">
        <v>41883</v>
      </c>
      <c r="H351" s="1">
        <v>41858</v>
      </c>
      <c r="I351" t="s">
        <v>189</v>
      </c>
      <c r="J351">
        <v>1</v>
      </c>
      <c r="K351" t="s">
        <v>1208</v>
      </c>
      <c r="L351" t="s">
        <v>1214</v>
      </c>
    </row>
    <row r="352" spans="1:40" x14ac:dyDescent="0.35">
      <c r="A352">
        <v>1782253</v>
      </c>
      <c r="B352" t="s">
        <v>1215</v>
      </c>
      <c r="C352" t="str">
        <f>"9780822357643"</f>
        <v>9780822357643</v>
      </c>
      <c r="D352" t="str">
        <f>"9780822376132"</f>
        <v>9780822376132</v>
      </c>
      <c r="E352" t="s">
        <v>687</v>
      </c>
      <c r="F352" t="s">
        <v>687</v>
      </c>
      <c r="G352" s="1">
        <v>41915</v>
      </c>
      <c r="H352" s="1">
        <v>41893</v>
      </c>
      <c r="I352" t="s">
        <v>189</v>
      </c>
      <c r="J352">
        <v>1</v>
      </c>
      <c r="L352" t="s">
        <v>1216</v>
      </c>
      <c r="M352" t="s">
        <v>239</v>
      </c>
      <c r="N352" t="s">
        <v>1217</v>
      </c>
      <c r="O352" t="s">
        <v>1218</v>
      </c>
      <c r="Q352" t="s">
        <v>260</v>
      </c>
      <c r="R352" t="s">
        <v>262</v>
      </c>
      <c r="S352" t="s">
        <v>261</v>
      </c>
      <c r="T352" t="s">
        <v>261</v>
      </c>
      <c r="U352" t="s">
        <v>262</v>
      </c>
      <c r="V352" t="s">
        <v>262</v>
      </c>
      <c r="W352" t="s">
        <v>261</v>
      </c>
      <c r="X352" t="s">
        <v>262</v>
      </c>
      <c r="Y352" t="s">
        <v>262</v>
      </c>
      <c r="Z352" t="s">
        <v>703</v>
      </c>
      <c r="AB352" t="s">
        <v>704</v>
      </c>
      <c r="AC352" t="s">
        <v>703</v>
      </c>
      <c r="AD352" t="s">
        <v>262</v>
      </c>
      <c r="AE352">
        <v>10930098</v>
      </c>
      <c r="AF352">
        <v>645361</v>
      </c>
      <c r="AH352" t="s">
        <v>262</v>
      </c>
      <c r="AI352" t="s">
        <v>261</v>
      </c>
      <c r="AJ352" t="s">
        <v>261</v>
      </c>
      <c r="AK352" t="s">
        <v>261</v>
      </c>
      <c r="AM352" t="s">
        <v>262</v>
      </c>
      <c r="AN352" t="s">
        <v>1219</v>
      </c>
    </row>
    <row r="353" spans="1:40" x14ac:dyDescent="0.35">
      <c r="A353">
        <v>1783874</v>
      </c>
      <c r="B353" t="s">
        <v>1220</v>
      </c>
      <c r="C353" t="str">
        <f>"9783899497571"</f>
        <v>9783899497571</v>
      </c>
      <c r="D353" t="str">
        <f>"9783110402520"</f>
        <v>9783110402520</v>
      </c>
      <c r="E353" t="s">
        <v>346</v>
      </c>
      <c r="F353" t="s">
        <v>346</v>
      </c>
      <c r="G353" s="1">
        <v>40317</v>
      </c>
      <c r="H353" s="1">
        <v>41894</v>
      </c>
      <c r="I353" t="s">
        <v>189</v>
      </c>
      <c r="J353">
        <v>1</v>
      </c>
      <c r="K353" t="s">
        <v>552</v>
      </c>
      <c r="L353" t="s">
        <v>82</v>
      </c>
    </row>
    <row r="354" spans="1:40" x14ac:dyDescent="0.35">
      <c r="A354">
        <v>1787135</v>
      </c>
      <c r="B354" t="s">
        <v>1221</v>
      </c>
      <c r="C354" t="str">
        <f>"9783110373806"</f>
        <v>9783110373806</v>
      </c>
      <c r="D354" t="str">
        <f>"9783110399370"</f>
        <v>9783110399370</v>
      </c>
      <c r="E354" t="s">
        <v>346</v>
      </c>
      <c r="F354" t="s">
        <v>346</v>
      </c>
      <c r="G354" s="1">
        <v>42118</v>
      </c>
      <c r="H354" s="1">
        <v>42150</v>
      </c>
      <c r="I354" t="s">
        <v>189</v>
      </c>
      <c r="J354">
        <v>1</v>
      </c>
      <c r="K354" t="s">
        <v>354</v>
      </c>
      <c r="L354" t="s">
        <v>1222</v>
      </c>
    </row>
    <row r="355" spans="1:40" x14ac:dyDescent="0.35">
      <c r="A355">
        <v>1787139</v>
      </c>
      <c r="B355" t="s">
        <v>1223</v>
      </c>
      <c r="C355" t="str">
        <f>"9783110411300"</f>
        <v>9783110411300</v>
      </c>
      <c r="D355" t="str">
        <f>"9783110411317"</f>
        <v>9783110411317</v>
      </c>
      <c r="E355" t="s">
        <v>415</v>
      </c>
      <c r="F355" t="s">
        <v>659</v>
      </c>
      <c r="G355" s="1">
        <v>41974</v>
      </c>
      <c r="H355" s="1">
        <v>41975</v>
      </c>
      <c r="I355" t="s">
        <v>189</v>
      </c>
      <c r="J355">
        <v>1</v>
      </c>
      <c r="L355" t="s">
        <v>1224</v>
      </c>
      <c r="M355" t="s">
        <v>676</v>
      </c>
      <c r="N355" t="s">
        <v>1225</v>
      </c>
      <c r="O355" s="2">
        <v>491935</v>
      </c>
      <c r="P355" t="s">
        <v>1226</v>
      </c>
    </row>
    <row r="356" spans="1:40" x14ac:dyDescent="0.35">
      <c r="A356">
        <v>1787145</v>
      </c>
      <c r="B356" t="s">
        <v>1227</v>
      </c>
      <c r="C356" t="str">
        <f>"9788376560168"</f>
        <v>9788376560168</v>
      </c>
      <c r="D356" t="str">
        <f>"9788376560175"</f>
        <v>9788376560175</v>
      </c>
      <c r="E356" t="s">
        <v>415</v>
      </c>
      <c r="F356" t="s">
        <v>659</v>
      </c>
      <c r="G356" s="1">
        <v>41505</v>
      </c>
      <c r="H356" s="1">
        <v>41507</v>
      </c>
      <c r="I356" t="s">
        <v>189</v>
      </c>
      <c r="J356">
        <v>1</v>
      </c>
      <c r="L356" t="s">
        <v>1228</v>
      </c>
      <c r="M356" t="s">
        <v>676</v>
      </c>
      <c r="N356" t="s">
        <v>1229</v>
      </c>
      <c r="O356" s="2">
        <v>418020971</v>
      </c>
      <c r="P356" t="s">
        <v>1230</v>
      </c>
    </row>
    <row r="357" spans="1:40" x14ac:dyDescent="0.35">
      <c r="A357">
        <v>1787150</v>
      </c>
      <c r="B357" t="s">
        <v>1231</v>
      </c>
      <c r="C357" t="str">
        <f>"9783110411324"</f>
        <v>9783110411324</v>
      </c>
      <c r="D357" t="str">
        <f>"9783110411331"</f>
        <v>9783110411331</v>
      </c>
      <c r="E357" t="s">
        <v>415</v>
      </c>
      <c r="F357" t="s">
        <v>659</v>
      </c>
      <c r="G357" s="1">
        <v>41988</v>
      </c>
      <c r="H357" s="1">
        <v>42005</v>
      </c>
      <c r="I357" t="s">
        <v>189</v>
      </c>
      <c r="J357">
        <v>1</v>
      </c>
      <c r="L357" t="s">
        <v>1232</v>
      </c>
    </row>
    <row r="358" spans="1:40" x14ac:dyDescent="0.35">
      <c r="A358">
        <v>1787195</v>
      </c>
      <c r="B358" t="s">
        <v>1233</v>
      </c>
      <c r="C358" t="str">
        <f>"9783110400434"</f>
        <v>9783110400434</v>
      </c>
      <c r="D358" t="str">
        <f>"9783110404951"</f>
        <v>9783110404951</v>
      </c>
      <c r="E358" t="s">
        <v>346</v>
      </c>
      <c r="F358" t="s">
        <v>346</v>
      </c>
      <c r="G358" s="1">
        <v>42061</v>
      </c>
      <c r="H358" s="1">
        <v>42113</v>
      </c>
      <c r="I358" t="s">
        <v>189</v>
      </c>
      <c r="J358">
        <v>1</v>
      </c>
      <c r="K358" t="s">
        <v>354</v>
      </c>
      <c r="L358" t="s">
        <v>3</v>
      </c>
      <c r="M358" t="s">
        <v>389</v>
      </c>
    </row>
    <row r="359" spans="1:40" x14ac:dyDescent="0.35">
      <c r="A359">
        <v>1787209</v>
      </c>
      <c r="B359" t="s">
        <v>1234</v>
      </c>
      <c r="C359" t="str">
        <f>"9783110410150"</f>
        <v>9783110410150</v>
      </c>
      <c r="D359" t="str">
        <f>"9783110410167"</f>
        <v>9783110410167</v>
      </c>
      <c r="E359" t="s">
        <v>415</v>
      </c>
      <c r="F359" t="s">
        <v>659</v>
      </c>
      <c r="G359" s="1">
        <v>42143</v>
      </c>
      <c r="H359" s="1">
        <v>42122</v>
      </c>
      <c r="I359" t="s">
        <v>189</v>
      </c>
      <c r="J359">
        <v>1</v>
      </c>
      <c r="L359" t="s">
        <v>1235</v>
      </c>
    </row>
    <row r="360" spans="1:40" x14ac:dyDescent="0.35">
      <c r="A360">
        <v>1787212</v>
      </c>
      <c r="B360" t="s">
        <v>1236</v>
      </c>
      <c r="C360" t="str">
        <f>"9783110410198"</f>
        <v>9783110410198</v>
      </c>
      <c r="D360" t="str">
        <f>"9783110410204"</f>
        <v>9783110410204</v>
      </c>
      <c r="E360" t="s">
        <v>415</v>
      </c>
      <c r="F360" t="s">
        <v>659</v>
      </c>
      <c r="G360" s="1">
        <v>41974</v>
      </c>
      <c r="H360" s="1">
        <v>41975</v>
      </c>
      <c r="I360" t="s">
        <v>189</v>
      </c>
      <c r="J360">
        <v>1</v>
      </c>
      <c r="L360" t="s">
        <v>1237</v>
      </c>
      <c r="M360" t="s">
        <v>239</v>
      </c>
      <c r="N360" t="s">
        <v>1238</v>
      </c>
      <c r="O360" s="2">
        <v>9301028</v>
      </c>
      <c r="P360" t="s">
        <v>1239</v>
      </c>
      <c r="Q360" t="s">
        <v>260</v>
      </c>
      <c r="R360" t="s">
        <v>261</v>
      </c>
      <c r="S360" t="s">
        <v>261</v>
      </c>
      <c r="T360" t="s">
        <v>261</v>
      </c>
      <c r="U360" t="s">
        <v>262</v>
      </c>
      <c r="V360" t="s">
        <v>262</v>
      </c>
      <c r="W360" t="s">
        <v>261</v>
      </c>
      <c r="X360" t="s">
        <v>262</v>
      </c>
      <c r="Y360" t="s">
        <v>261</v>
      </c>
      <c r="Z360" t="s">
        <v>409</v>
      </c>
      <c r="AA360" t="s">
        <v>409</v>
      </c>
      <c r="AB360" t="s">
        <v>409</v>
      </c>
      <c r="AC360" t="s">
        <v>409</v>
      </c>
      <c r="AD360" t="s">
        <v>262</v>
      </c>
      <c r="AE360">
        <v>11054956</v>
      </c>
      <c r="AH360" t="s">
        <v>262</v>
      </c>
      <c r="AI360" t="s">
        <v>262</v>
      </c>
      <c r="AJ360" t="s">
        <v>261</v>
      </c>
      <c r="AK360" t="s">
        <v>261</v>
      </c>
      <c r="AM360" t="s">
        <v>262</v>
      </c>
      <c r="AN360" t="s">
        <v>1240</v>
      </c>
    </row>
    <row r="361" spans="1:40" x14ac:dyDescent="0.35">
      <c r="A361">
        <v>1787226</v>
      </c>
      <c r="B361" t="s">
        <v>1241</v>
      </c>
      <c r="C361" t="str">
        <f>"9783110401967"</f>
        <v>9783110401967</v>
      </c>
      <c r="D361" t="str">
        <f>"9783110402100"</f>
        <v>9783110402100</v>
      </c>
      <c r="E361" t="s">
        <v>415</v>
      </c>
      <c r="F361" t="s">
        <v>659</v>
      </c>
      <c r="G361" s="1">
        <v>41974</v>
      </c>
      <c r="H361" s="1">
        <v>41975</v>
      </c>
      <c r="I361" t="s">
        <v>189</v>
      </c>
      <c r="J361">
        <v>1</v>
      </c>
      <c r="L361" t="s">
        <v>1242</v>
      </c>
      <c r="M361" t="s">
        <v>578</v>
      </c>
    </row>
    <row r="362" spans="1:40" x14ac:dyDescent="0.35">
      <c r="A362">
        <v>1787230</v>
      </c>
      <c r="B362" t="s">
        <v>1243</v>
      </c>
      <c r="C362" t="str">
        <f>"9783110409451"</f>
        <v>9783110409451</v>
      </c>
      <c r="D362" t="str">
        <f>"9783110409475"</f>
        <v>9783110409475</v>
      </c>
      <c r="E362" t="s">
        <v>415</v>
      </c>
      <c r="F362" t="s">
        <v>659</v>
      </c>
      <c r="G362" s="1">
        <v>41988</v>
      </c>
      <c r="H362" s="1">
        <v>42005</v>
      </c>
      <c r="I362" t="s">
        <v>189</v>
      </c>
      <c r="J362">
        <v>1</v>
      </c>
      <c r="L362" t="s">
        <v>1244</v>
      </c>
      <c r="M362" t="s">
        <v>535</v>
      </c>
    </row>
    <row r="363" spans="1:40" x14ac:dyDescent="0.35">
      <c r="A363">
        <v>1787235</v>
      </c>
      <c r="B363" t="s">
        <v>1245</v>
      </c>
      <c r="C363" t="str">
        <f>"9783110409673"</f>
        <v>9783110409673</v>
      </c>
      <c r="D363" t="str">
        <f>"9783110409697"</f>
        <v>9783110409697</v>
      </c>
      <c r="E363" t="s">
        <v>415</v>
      </c>
      <c r="F363" t="s">
        <v>659</v>
      </c>
      <c r="G363" s="1">
        <v>41920</v>
      </c>
      <c r="H363" s="1">
        <v>41920</v>
      </c>
      <c r="I363" t="s">
        <v>189</v>
      </c>
      <c r="J363">
        <v>1</v>
      </c>
      <c r="L363" t="s">
        <v>14</v>
      </c>
    </row>
    <row r="364" spans="1:40" x14ac:dyDescent="0.35">
      <c r="A364">
        <v>1787238</v>
      </c>
      <c r="B364" t="s">
        <v>1246</v>
      </c>
      <c r="C364" t="str">
        <f>"9783110410174"</f>
        <v>9783110410174</v>
      </c>
      <c r="D364" t="str">
        <f>"9783110410181"</f>
        <v>9783110410181</v>
      </c>
      <c r="E364" t="s">
        <v>415</v>
      </c>
      <c r="F364" t="s">
        <v>659</v>
      </c>
      <c r="G364" s="1">
        <v>41974</v>
      </c>
      <c r="H364" s="1">
        <v>41975</v>
      </c>
      <c r="I364" t="s">
        <v>189</v>
      </c>
      <c r="J364">
        <v>1</v>
      </c>
      <c r="L364" t="s">
        <v>1247</v>
      </c>
      <c r="M364" t="s">
        <v>1248</v>
      </c>
    </row>
    <row r="365" spans="1:40" x14ac:dyDescent="0.35">
      <c r="A365">
        <v>1787242</v>
      </c>
      <c r="B365" t="s">
        <v>1249</v>
      </c>
      <c r="C365" t="str">
        <f>"9783110410235"</f>
        <v>9783110410235</v>
      </c>
      <c r="D365" t="str">
        <f>"9783110410242"</f>
        <v>9783110410242</v>
      </c>
      <c r="E365" t="s">
        <v>415</v>
      </c>
      <c r="F365" t="s">
        <v>659</v>
      </c>
      <c r="G365" s="1">
        <v>42089</v>
      </c>
      <c r="H365" s="1">
        <v>41640</v>
      </c>
      <c r="I365" t="s">
        <v>189</v>
      </c>
      <c r="J365">
        <v>1</v>
      </c>
      <c r="L365" t="s">
        <v>1250</v>
      </c>
    </row>
    <row r="366" spans="1:40" x14ac:dyDescent="0.35">
      <c r="A366">
        <v>1789533</v>
      </c>
      <c r="B366" t="s">
        <v>1251</v>
      </c>
      <c r="C366" t="str">
        <f>"9783110410211"</f>
        <v>9783110410211</v>
      </c>
      <c r="D366" t="str">
        <f>"9783110410228"</f>
        <v>9783110410228</v>
      </c>
      <c r="E366" t="s">
        <v>415</v>
      </c>
      <c r="F366" t="s">
        <v>659</v>
      </c>
      <c r="G366" s="1">
        <v>41988</v>
      </c>
      <c r="H366" s="1">
        <v>41988</v>
      </c>
      <c r="I366" t="s">
        <v>189</v>
      </c>
      <c r="J366">
        <v>1</v>
      </c>
      <c r="L366" t="s">
        <v>1252</v>
      </c>
    </row>
    <row r="367" spans="1:40" x14ac:dyDescent="0.35">
      <c r="A367">
        <v>1791733</v>
      </c>
      <c r="B367" t="s">
        <v>1253</v>
      </c>
      <c r="C367" t="str">
        <f>"9789089646439"</f>
        <v>9789089646439</v>
      </c>
      <c r="D367" t="str">
        <f>"9789048523085"</f>
        <v>9789048523085</v>
      </c>
      <c r="E367" t="s">
        <v>361</v>
      </c>
      <c r="F367" t="s">
        <v>361</v>
      </c>
      <c r="G367" s="1">
        <v>41883</v>
      </c>
      <c r="H367" s="1">
        <v>41863</v>
      </c>
      <c r="I367" t="s">
        <v>189</v>
      </c>
      <c r="J367">
        <v>1</v>
      </c>
      <c r="K367" t="s">
        <v>1208</v>
      </c>
      <c r="L367" t="s">
        <v>1254</v>
      </c>
      <c r="M367" t="s">
        <v>210</v>
      </c>
      <c r="N367" t="s">
        <v>1255</v>
      </c>
      <c r="Q367" t="s">
        <v>260</v>
      </c>
      <c r="R367" t="s">
        <v>261</v>
      </c>
      <c r="S367" t="s">
        <v>261</v>
      </c>
      <c r="T367" t="s">
        <v>261</v>
      </c>
      <c r="U367" t="s">
        <v>261</v>
      </c>
      <c r="V367" t="s">
        <v>262</v>
      </c>
      <c r="W367" t="s">
        <v>261</v>
      </c>
      <c r="X367" t="s">
        <v>261</v>
      </c>
      <c r="Y367" t="s">
        <v>261</v>
      </c>
      <c r="Z367" t="s">
        <v>409</v>
      </c>
      <c r="AA367" t="s">
        <v>409</v>
      </c>
      <c r="AB367" t="s">
        <v>409</v>
      </c>
      <c r="AC367" t="s">
        <v>409</v>
      </c>
      <c r="AD367" t="s">
        <v>262</v>
      </c>
      <c r="AE367">
        <v>10938435</v>
      </c>
      <c r="AF367">
        <v>801040</v>
      </c>
      <c r="AH367" t="s">
        <v>262</v>
      </c>
      <c r="AI367" t="s">
        <v>262</v>
      </c>
      <c r="AJ367" t="s">
        <v>261</v>
      </c>
      <c r="AK367" t="s">
        <v>261</v>
      </c>
      <c r="AM367" t="s">
        <v>262</v>
      </c>
      <c r="AN367" t="s">
        <v>1256</v>
      </c>
    </row>
    <row r="368" spans="1:40" x14ac:dyDescent="0.35">
      <c r="A368">
        <v>1791735</v>
      </c>
      <c r="B368" t="s">
        <v>1257</v>
      </c>
      <c r="C368" t="str">
        <f>"9789089645166"</f>
        <v>9789089645166</v>
      </c>
      <c r="D368" t="str">
        <f>"9789048518449"</f>
        <v>9789048518449</v>
      </c>
      <c r="E368" t="s">
        <v>361</v>
      </c>
      <c r="F368" t="s">
        <v>361</v>
      </c>
      <c r="G368" s="1">
        <v>41894</v>
      </c>
      <c r="H368" s="1">
        <v>41898</v>
      </c>
      <c r="I368" t="s">
        <v>189</v>
      </c>
      <c r="J368">
        <v>1</v>
      </c>
      <c r="L368" t="s">
        <v>1258</v>
      </c>
    </row>
    <row r="369" spans="1:40" x14ac:dyDescent="0.35">
      <c r="A369">
        <v>1809928</v>
      </c>
      <c r="B369" t="s">
        <v>1259</v>
      </c>
      <c r="C369" t="str">
        <f>"9783110412611"</f>
        <v>9783110412611</v>
      </c>
      <c r="D369" t="str">
        <f>"9783110412628"</f>
        <v>9783110412628</v>
      </c>
      <c r="E369" t="s">
        <v>415</v>
      </c>
      <c r="F369" t="s">
        <v>659</v>
      </c>
      <c r="G369" s="1">
        <v>42023</v>
      </c>
      <c r="H369" s="1">
        <v>42033</v>
      </c>
      <c r="I369" t="s">
        <v>189</v>
      </c>
      <c r="J369">
        <v>1</v>
      </c>
      <c r="L369" t="s">
        <v>1260</v>
      </c>
      <c r="M369" t="s">
        <v>339</v>
      </c>
      <c r="N369" t="s">
        <v>1261</v>
      </c>
      <c r="O369">
        <v>610</v>
      </c>
      <c r="P369" t="s">
        <v>1262</v>
      </c>
    </row>
    <row r="370" spans="1:40" x14ac:dyDescent="0.35">
      <c r="A370">
        <v>1809930</v>
      </c>
      <c r="B370" t="s">
        <v>1263</v>
      </c>
      <c r="C370" t="str">
        <f>"9783110412765"</f>
        <v>9783110412765</v>
      </c>
      <c r="D370" t="str">
        <f>"9783110412772"</f>
        <v>9783110412772</v>
      </c>
      <c r="E370" t="s">
        <v>415</v>
      </c>
      <c r="F370" t="s">
        <v>659</v>
      </c>
      <c r="G370" s="1">
        <v>42003</v>
      </c>
      <c r="H370" s="1">
        <v>42005</v>
      </c>
      <c r="I370" t="s">
        <v>189</v>
      </c>
      <c r="J370">
        <v>1</v>
      </c>
      <c r="L370" t="s">
        <v>1264</v>
      </c>
      <c r="M370" t="s">
        <v>329</v>
      </c>
    </row>
    <row r="371" spans="1:40" x14ac:dyDescent="0.35">
      <c r="A371">
        <v>1820380</v>
      </c>
      <c r="B371" t="s">
        <v>1265</v>
      </c>
      <c r="C371" t="str">
        <f>"9783110405835"</f>
        <v>9783110405835</v>
      </c>
      <c r="D371" t="str">
        <f>"9783110406597"</f>
        <v>9783110406597</v>
      </c>
      <c r="E371" t="s">
        <v>415</v>
      </c>
      <c r="F371" t="s">
        <v>1266</v>
      </c>
      <c r="G371" s="1">
        <v>41960</v>
      </c>
      <c r="H371" s="1">
        <v>42005</v>
      </c>
      <c r="I371" t="s">
        <v>189</v>
      </c>
      <c r="J371">
        <v>1</v>
      </c>
      <c r="K371" t="s">
        <v>1267</v>
      </c>
      <c r="L371" t="s">
        <v>1268</v>
      </c>
      <c r="M371" t="s">
        <v>339</v>
      </c>
      <c r="N371" t="s">
        <v>1269</v>
      </c>
      <c r="O371" s="2">
        <v>610938</v>
      </c>
      <c r="P371" t="s">
        <v>1270</v>
      </c>
    </row>
    <row r="372" spans="1:40" x14ac:dyDescent="0.35">
      <c r="A372">
        <v>1820394</v>
      </c>
      <c r="B372" t="s">
        <v>1271</v>
      </c>
      <c r="C372" t="str">
        <f>"9783110374988"</f>
        <v>9783110374988</v>
      </c>
      <c r="D372" t="str">
        <f>"9783110369120"</f>
        <v>9783110369120</v>
      </c>
      <c r="E372" t="s">
        <v>346</v>
      </c>
      <c r="F372" t="s">
        <v>346</v>
      </c>
      <c r="G372" s="1">
        <v>42061</v>
      </c>
      <c r="H372" s="1">
        <v>42113</v>
      </c>
      <c r="I372" t="s">
        <v>189</v>
      </c>
      <c r="J372">
        <v>1</v>
      </c>
      <c r="K372" t="s">
        <v>1272</v>
      </c>
      <c r="L372" t="s">
        <v>15</v>
      </c>
    </row>
    <row r="373" spans="1:40" x14ac:dyDescent="0.35">
      <c r="A373">
        <v>1826875</v>
      </c>
      <c r="B373" t="s">
        <v>1273</v>
      </c>
      <c r="C373" t="str">
        <f>"9789004281066"</f>
        <v>9789004281066</v>
      </c>
      <c r="D373" t="str">
        <f>"9789004281073"</f>
        <v>9789004281073</v>
      </c>
      <c r="E373" t="s">
        <v>903</v>
      </c>
      <c r="F373" t="s">
        <v>903</v>
      </c>
      <c r="G373" s="1">
        <v>41940</v>
      </c>
      <c r="H373" s="1">
        <v>41941</v>
      </c>
      <c r="I373" t="s">
        <v>189</v>
      </c>
      <c r="J373">
        <v>1</v>
      </c>
      <c r="K373" t="s">
        <v>1274</v>
      </c>
      <c r="L373" t="s">
        <v>1275</v>
      </c>
      <c r="M373" t="s">
        <v>316</v>
      </c>
      <c r="N373" t="s">
        <v>1276</v>
      </c>
      <c r="O373" t="s">
        <v>1277</v>
      </c>
      <c r="P373" t="s">
        <v>1278</v>
      </c>
      <c r="Q373" t="s">
        <v>260</v>
      </c>
      <c r="R373" t="s">
        <v>261</v>
      </c>
      <c r="S373" t="s">
        <v>261</v>
      </c>
      <c r="T373" t="s">
        <v>261</v>
      </c>
      <c r="U373" t="s">
        <v>261</v>
      </c>
      <c r="V373" t="s">
        <v>262</v>
      </c>
      <c r="W373" t="s">
        <v>261</v>
      </c>
      <c r="X373" t="s">
        <v>261</v>
      </c>
      <c r="Y373" t="s">
        <v>261</v>
      </c>
      <c r="AD373" t="s">
        <v>262</v>
      </c>
      <c r="AE373">
        <v>10960931</v>
      </c>
      <c r="AF373">
        <v>654999</v>
      </c>
      <c r="AH373" t="s">
        <v>262</v>
      </c>
      <c r="AI373" t="s">
        <v>261</v>
      </c>
      <c r="AJ373" t="s">
        <v>261</v>
      </c>
      <c r="AK373" t="s">
        <v>261</v>
      </c>
      <c r="AM373" t="s">
        <v>262</v>
      </c>
      <c r="AN373" t="s">
        <v>1279</v>
      </c>
    </row>
    <row r="374" spans="1:40" x14ac:dyDescent="0.35">
      <c r="A374">
        <v>1865296</v>
      </c>
      <c r="B374" t="s">
        <v>1280</v>
      </c>
      <c r="C374" t="str">
        <f>"9780813564692"</f>
        <v>9780813564692</v>
      </c>
      <c r="D374" t="str">
        <f>"9780813564708"</f>
        <v>9780813564708</v>
      </c>
      <c r="E374" t="s">
        <v>336</v>
      </c>
      <c r="F374" t="s">
        <v>336</v>
      </c>
      <c r="G374" s="1">
        <v>41982</v>
      </c>
      <c r="H374" s="1">
        <v>41982</v>
      </c>
      <c r="I374" t="s">
        <v>189</v>
      </c>
      <c r="J374">
        <v>1</v>
      </c>
      <c r="L374" t="s">
        <v>1281</v>
      </c>
      <c r="M374" t="s">
        <v>329</v>
      </c>
    </row>
    <row r="375" spans="1:40" x14ac:dyDescent="0.35">
      <c r="A375">
        <v>1865424</v>
      </c>
      <c r="B375" t="s">
        <v>1282</v>
      </c>
      <c r="C375" t="str">
        <f>"9780822357711"</f>
        <v>9780822357711</v>
      </c>
      <c r="D375" t="str">
        <f>"9780822376064"</f>
        <v>9780822376064</v>
      </c>
      <c r="E375" t="s">
        <v>687</v>
      </c>
      <c r="F375" t="s">
        <v>687</v>
      </c>
      <c r="G375" s="1">
        <v>41978</v>
      </c>
      <c r="H375" s="1">
        <v>41964</v>
      </c>
      <c r="I375" t="s">
        <v>189</v>
      </c>
      <c r="J375">
        <v>1</v>
      </c>
      <c r="K375" t="s">
        <v>1064</v>
      </c>
      <c r="L375" t="s">
        <v>1283</v>
      </c>
      <c r="M375" t="s">
        <v>964</v>
      </c>
    </row>
    <row r="376" spans="1:40" x14ac:dyDescent="0.35">
      <c r="A376">
        <v>1866480</v>
      </c>
      <c r="B376" t="s">
        <v>1284</v>
      </c>
      <c r="C376" t="str">
        <f>"9780822357650"</f>
        <v>9780822357650</v>
      </c>
      <c r="D376" t="str">
        <f>"9780822376125"</f>
        <v>9780822376125</v>
      </c>
      <c r="E376" t="s">
        <v>687</v>
      </c>
      <c r="F376" t="s">
        <v>687</v>
      </c>
      <c r="G376" s="1">
        <v>41992</v>
      </c>
      <c r="H376" s="1">
        <v>41965</v>
      </c>
      <c r="I376" t="s">
        <v>189</v>
      </c>
      <c r="J376">
        <v>1</v>
      </c>
      <c r="L376" t="s">
        <v>1285</v>
      </c>
      <c r="M376" t="s">
        <v>578</v>
      </c>
      <c r="N376" t="s">
        <v>1286</v>
      </c>
      <c r="Q376" t="s">
        <v>260</v>
      </c>
      <c r="R376" t="s">
        <v>261</v>
      </c>
      <c r="S376" t="s">
        <v>261</v>
      </c>
      <c r="T376" t="s">
        <v>261</v>
      </c>
      <c r="U376" t="s">
        <v>261</v>
      </c>
      <c r="V376" t="s">
        <v>262</v>
      </c>
      <c r="W376" t="s">
        <v>261</v>
      </c>
      <c r="X376" t="s">
        <v>261</v>
      </c>
      <c r="Y376" t="s">
        <v>261</v>
      </c>
      <c r="Z376" t="s">
        <v>409</v>
      </c>
      <c r="AB376" t="s">
        <v>409</v>
      </c>
      <c r="AC376" t="s">
        <v>409</v>
      </c>
      <c r="AD376" t="s">
        <v>262</v>
      </c>
      <c r="AE376">
        <v>10991570</v>
      </c>
      <c r="AF376">
        <v>664804</v>
      </c>
      <c r="AH376" t="s">
        <v>262</v>
      </c>
      <c r="AI376" t="s">
        <v>262</v>
      </c>
      <c r="AJ376" t="s">
        <v>261</v>
      </c>
      <c r="AK376" t="s">
        <v>261</v>
      </c>
      <c r="AM376" t="s">
        <v>262</v>
      </c>
      <c r="AN376" t="s">
        <v>1287</v>
      </c>
    </row>
    <row r="377" spans="1:40" x14ac:dyDescent="0.35">
      <c r="A377">
        <v>1867184</v>
      </c>
      <c r="B377" t="s">
        <v>1288</v>
      </c>
      <c r="C377" t="str">
        <f>"9783110417586"</f>
        <v>9783110417586</v>
      </c>
      <c r="D377" t="str">
        <f>"9783110417593"</f>
        <v>9783110417593</v>
      </c>
      <c r="E377" t="s">
        <v>415</v>
      </c>
      <c r="F377" t="s">
        <v>659</v>
      </c>
      <c r="G377" s="1">
        <v>41974</v>
      </c>
      <c r="H377" s="1">
        <v>41975</v>
      </c>
      <c r="I377" t="s">
        <v>189</v>
      </c>
      <c r="J377">
        <v>1</v>
      </c>
      <c r="L377" t="s">
        <v>1289</v>
      </c>
      <c r="M377" t="s">
        <v>199</v>
      </c>
    </row>
    <row r="378" spans="1:40" x14ac:dyDescent="0.35">
      <c r="A378">
        <v>1867301</v>
      </c>
      <c r="B378" t="s">
        <v>1290</v>
      </c>
      <c r="C378" t="str">
        <f>"9783110420067"</f>
        <v>9783110420067</v>
      </c>
      <c r="D378" t="str">
        <f>"9783110422504"</f>
        <v>9783110422504</v>
      </c>
      <c r="E378" t="s">
        <v>415</v>
      </c>
      <c r="F378" t="s">
        <v>659</v>
      </c>
      <c r="G378" s="1">
        <v>42004</v>
      </c>
      <c r="H378" s="1">
        <v>41640</v>
      </c>
      <c r="I378" t="s">
        <v>189</v>
      </c>
      <c r="J378">
        <v>1</v>
      </c>
      <c r="L378" t="s">
        <v>16</v>
      </c>
    </row>
    <row r="379" spans="1:40" x14ac:dyDescent="0.35">
      <c r="A379">
        <v>1867338</v>
      </c>
      <c r="B379" t="s">
        <v>1291</v>
      </c>
      <c r="C379" t="str">
        <f>"9783899495355"</f>
        <v>9783899495355</v>
      </c>
      <c r="D379" t="str">
        <f>"9783110977899"</f>
        <v>9783110977899</v>
      </c>
      <c r="E379" t="s">
        <v>346</v>
      </c>
      <c r="F379" t="s">
        <v>346</v>
      </c>
      <c r="G379" s="1">
        <v>39932</v>
      </c>
      <c r="H379" s="1">
        <v>42220</v>
      </c>
      <c r="I379" t="s">
        <v>189</v>
      </c>
      <c r="J379">
        <v>1</v>
      </c>
      <c r="K379" t="s">
        <v>552</v>
      </c>
      <c r="L379" t="s">
        <v>1292</v>
      </c>
    </row>
    <row r="380" spans="1:40" x14ac:dyDescent="0.35">
      <c r="A380">
        <v>1875445</v>
      </c>
      <c r="B380" t="s">
        <v>1293</v>
      </c>
      <c r="C380" t="str">
        <f>"9789004270114"</f>
        <v>9789004270114</v>
      </c>
      <c r="D380" t="str">
        <f>"9789004270121"</f>
        <v>9789004270121</v>
      </c>
      <c r="E380" t="s">
        <v>903</v>
      </c>
      <c r="F380" t="s">
        <v>903</v>
      </c>
      <c r="G380" s="1">
        <v>41957</v>
      </c>
      <c r="H380" s="1">
        <v>41971</v>
      </c>
      <c r="I380" t="s">
        <v>189</v>
      </c>
      <c r="J380">
        <v>1</v>
      </c>
      <c r="K380" t="s">
        <v>1294</v>
      </c>
      <c r="L380" t="s">
        <v>1295</v>
      </c>
      <c r="M380" t="s">
        <v>389</v>
      </c>
      <c r="N380" t="s">
        <v>1296</v>
      </c>
      <c r="O380" t="s">
        <v>1297</v>
      </c>
      <c r="P380" t="s">
        <v>1298</v>
      </c>
    </row>
    <row r="381" spans="1:40" x14ac:dyDescent="0.35">
      <c r="A381">
        <v>1875459</v>
      </c>
      <c r="B381" t="s">
        <v>1299</v>
      </c>
      <c r="C381" t="str">
        <f>"9789004282070"</f>
        <v>9789004282070</v>
      </c>
      <c r="D381" t="str">
        <f>"9789004282087"</f>
        <v>9789004282087</v>
      </c>
      <c r="E381" t="s">
        <v>903</v>
      </c>
      <c r="F381" t="s">
        <v>903</v>
      </c>
      <c r="G381" s="1">
        <v>41957</v>
      </c>
      <c r="H381" s="1">
        <v>41971</v>
      </c>
      <c r="I381" t="s">
        <v>189</v>
      </c>
      <c r="J381">
        <v>1</v>
      </c>
      <c r="K381" t="s">
        <v>1300</v>
      </c>
      <c r="L381" t="s">
        <v>1301</v>
      </c>
      <c r="M381" t="s">
        <v>1302</v>
      </c>
    </row>
    <row r="382" spans="1:40" x14ac:dyDescent="0.35">
      <c r="A382">
        <v>1877182</v>
      </c>
      <c r="B382" t="s">
        <v>1303</v>
      </c>
      <c r="C382" t="str">
        <f>"9789004249592"</f>
        <v>9789004249592</v>
      </c>
      <c r="D382" t="str">
        <f>"9789004284340"</f>
        <v>9789004284340</v>
      </c>
      <c r="E382" t="s">
        <v>903</v>
      </c>
      <c r="F382" t="s">
        <v>903</v>
      </c>
      <c r="G382" s="1">
        <v>41971</v>
      </c>
      <c r="H382" s="1">
        <v>41975</v>
      </c>
      <c r="I382" t="s">
        <v>189</v>
      </c>
      <c r="J382">
        <v>1</v>
      </c>
      <c r="K382" t="s">
        <v>1304</v>
      </c>
      <c r="L382" t="s">
        <v>1305</v>
      </c>
    </row>
    <row r="383" spans="1:40" x14ac:dyDescent="0.35">
      <c r="A383">
        <v>1880410</v>
      </c>
      <c r="B383" t="s">
        <v>1306</v>
      </c>
      <c r="C383" t="str">
        <f>"9783110371284"</f>
        <v>9783110371284</v>
      </c>
      <c r="D383" t="str">
        <f>"9783110371291"</f>
        <v>9783110371291</v>
      </c>
      <c r="E383" t="s">
        <v>346</v>
      </c>
      <c r="F383" t="s">
        <v>346</v>
      </c>
      <c r="G383" s="1">
        <v>42033</v>
      </c>
      <c r="H383" s="1">
        <v>42048</v>
      </c>
      <c r="I383" t="s">
        <v>189</v>
      </c>
      <c r="J383">
        <v>1</v>
      </c>
      <c r="K383" t="s">
        <v>1159</v>
      </c>
      <c r="L383" t="s">
        <v>1307</v>
      </c>
    </row>
    <row r="384" spans="1:40" x14ac:dyDescent="0.35">
      <c r="A384">
        <v>1880417</v>
      </c>
      <c r="B384" t="s">
        <v>1308</v>
      </c>
      <c r="C384" t="str">
        <f>"9783110426038"</f>
        <v>9783110426038</v>
      </c>
      <c r="D384" t="str">
        <f>"9783110426045"</f>
        <v>9783110426045</v>
      </c>
      <c r="E384" t="s">
        <v>415</v>
      </c>
      <c r="F384" t="s">
        <v>659</v>
      </c>
      <c r="G384" s="1">
        <v>41988</v>
      </c>
      <c r="H384" s="1">
        <v>41988</v>
      </c>
      <c r="I384" t="s">
        <v>189</v>
      </c>
      <c r="J384">
        <v>1</v>
      </c>
      <c r="L384" t="s">
        <v>1309</v>
      </c>
    </row>
    <row r="385" spans="1:40" x14ac:dyDescent="0.35">
      <c r="A385">
        <v>1880440</v>
      </c>
      <c r="B385" t="s">
        <v>1310</v>
      </c>
      <c r="C385" t="str">
        <f>"9783110426380"</f>
        <v>9783110426380</v>
      </c>
      <c r="D385" t="str">
        <f>"9783110426403"</f>
        <v>9783110426403</v>
      </c>
      <c r="E385" t="s">
        <v>415</v>
      </c>
      <c r="F385" t="s">
        <v>659</v>
      </c>
      <c r="G385" s="1">
        <v>42023</v>
      </c>
      <c r="H385" s="1">
        <v>41640</v>
      </c>
      <c r="I385" t="s">
        <v>189</v>
      </c>
      <c r="J385">
        <v>1</v>
      </c>
      <c r="L385" t="s">
        <v>1311</v>
      </c>
      <c r="M385" t="s">
        <v>807</v>
      </c>
      <c r="N385" t="s">
        <v>1312</v>
      </c>
      <c r="O385" t="s">
        <v>1313</v>
      </c>
    </row>
    <row r="386" spans="1:40" x14ac:dyDescent="0.35">
      <c r="A386">
        <v>1880442</v>
      </c>
      <c r="B386" t="s">
        <v>1314</v>
      </c>
      <c r="C386" t="str">
        <f>"9783110406931"</f>
        <v>9783110406931</v>
      </c>
      <c r="D386" t="str">
        <f>"9783110409239"</f>
        <v>9783110409239</v>
      </c>
      <c r="E386" t="s">
        <v>346</v>
      </c>
      <c r="F386" t="s">
        <v>346</v>
      </c>
      <c r="G386" s="1">
        <v>42167</v>
      </c>
      <c r="H386" s="1">
        <v>42176</v>
      </c>
      <c r="I386" t="s">
        <v>189</v>
      </c>
      <c r="J386">
        <v>1</v>
      </c>
      <c r="K386" t="s">
        <v>354</v>
      </c>
      <c r="L386" t="s">
        <v>1315</v>
      </c>
    </row>
    <row r="387" spans="1:40" x14ac:dyDescent="0.35">
      <c r="A387">
        <v>1880456</v>
      </c>
      <c r="B387" t="s">
        <v>1316</v>
      </c>
      <c r="C387" t="str">
        <f>"9783110426137"</f>
        <v>9783110426137</v>
      </c>
      <c r="D387" t="str">
        <f>"9783110426120"</f>
        <v>9783110426120</v>
      </c>
      <c r="E387" t="s">
        <v>415</v>
      </c>
      <c r="F387" t="s">
        <v>659</v>
      </c>
      <c r="G387" s="1">
        <v>42089</v>
      </c>
      <c r="H387" s="1">
        <v>42074</v>
      </c>
      <c r="I387" t="s">
        <v>189</v>
      </c>
      <c r="J387">
        <v>1</v>
      </c>
      <c r="L387" t="s">
        <v>1317</v>
      </c>
      <c r="M387" t="s">
        <v>1318</v>
      </c>
      <c r="N387" t="s">
        <v>1319</v>
      </c>
      <c r="O387" t="s">
        <v>1320</v>
      </c>
      <c r="P387" t="s">
        <v>1321</v>
      </c>
    </row>
    <row r="388" spans="1:40" x14ac:dyDescent="0.35">
      <c r="A388">
        <v>1882336</v>
      </c>
      <c r="B388" t="s">
        <v>1322</v>
      </c>
      <c r="C388" t="str">
        <f>"9789089646446"</f>
        <v>9789089646446</v>
      </c>
      <c r="D388" t="str">
        <f>"9789048523108"</f>
        <v>9789048523108</v>
      </c>
      <c r="E388" t="s">
        <v>361</v>
      </c>
      <c r="F388" t="s">
        <v>361</v>
      </c>
      <c r="G388" s="1">
        <v>41936</v>
      </c>
      <c r="H388" s="1">
        <v>42050</v>
      </c>
      <c r="I388" t="s">
        <v>189</v>
      </c>
      <c r="J388">
        <v>1</v>
      </c>
      <c r="K388" t="s">
        <v>1208</v>
      </c>
      <c r="L388" t="s">
        <v>1323</v>
      </c>
      <c r="M388" t="s">
        <v>323</v>
      </c>
      <c r="N388" t="s">
        <v>1324</v>
      </c>
      <c r="Q388" t="s">
        <v>260</v>
      </c>
      <c r="R388" t="s">
        <v>261</v>
      </c>
      <c r="S388" t="s">
        <v>261</v>
      </c>
      <c r="T388" t="s">
        <v>261</v>
      </c>
      <c r="U388" t="s">
        <v>261</v>
      </c>
      <c r="V388" t="s">
        <v>262</v>
      </c>
      <c r="W388" t="s">
        <v>261</v>
      </c>
      <c r="X388" t="s">
        <v>261</v>
      </c>
      <c r="Y388" t="s">
        <v>261</v>
      </c>
      <c r="Z388" t="s">
        <v>409</v>
      </c>
      <c r="AA388" t="s">
        <v>409</v>
      </c>
      <c r="AB388" t="s">
        <v>409</v>
      </c>
      <c r="AC388" t="s">
        <v>409</v>
      </c>
      <c r="AD388" t="s">
        <v>262</v>
      </c>
      <c r="AE388">
        <v>10994562</v>
      </c>
      <c r="AF388">
        <v>801030</v>
      </c>
      <c r="AH388" t="s">
        <v>262</v>
      </c>
      <c r="AI388" t="s">
        <v>262</v>
      </c>
      <c r="AJ388" t="s">
        <v>261</v>
      </c>
      <c r="AK388" t="s">
        <v>261</v>
      </c>
      <c r="AM388" t="s">
        <v>262</v>
      </c>
      <c r="AN388" t="s">
        <v>1325</v>
      </c>
    </row>
    <row r="389" spans="1:40" x14ac:dyDescent="0.35">
      <c r="A389">
        <v>1882337</v>
      </c>
      <c r="B389" t="s">
        <v>1326</v>
      </c>
      <c r="C389" t="str">
        <f>"9789089645647"</f>
        <v>9789089645647</v>
      </c>
      <c r="D389" t="str">
        <f>"9789048519712"</f>
        <v>9789048519712</v>
      </c>
      <c r="E389" t="s">
        <v>361</v>
      </c>
      <c r="F389" t="s">
        <v>361</v>
      </c>
      <c r="G389" s="1">
        <v>41873</v>
      </c>
      <c r="H389" s="1">
        <v>41988</v>
      </c>
      <c r="I389" t="s">
        <v>189</v>
      </c>
      <c r="J389">
        <v>1</v>
      </c>
      <c r="L389" t="s">
        <v>1327</v>
      </c>
      <c r="M389" t="s">
        <v>1328</v>
      </c>
      <c r="N389" t="s">
        <v>1329</v>
      </c>
      <c r="Q389" t="s">
        <v>260</v>
      </c>
      <c r="R389" t="s">
        <v>261</v>
      </c>
      <c r="S389" t="s">
        <v>261</v>
      </c>
      <c r="T389" t="s">
        <v>261</v>
      </c>
      <c r="U389" t="s">
        <v>261</v>
      </c>
      <c r="V389" t="s">
        <v>262</v>
      </c>
      <c r="W389" t="s">
        <v>261</v>
      </c>
      <c r="X389" t="s">
        <v>261</v>
      </c>
      <c r="Y389" t="s">
        <v>261</v>
      </c>
      <c r="Z389" t="s">
        <v>409</v>
      </c>
      <c r="AA389" t="s">
        <v>409</v>
      </c>
      <c r="AB389" t="s">
        <v>409</v>
      </c>
      <c r="AC389" t="s">
        <v>409</v>
      </c>
      <c r="AD389" t="s">
        <v>262</v>
      </c>
      <c r="AE389">
        <v>10994563</v>
      </c>
      <c r="AF389">
        <v>801046</v>
      </c>
      <c r="AH389" t="s">
        <v>262</v>
      </c>
      <c r="AI389" t="s">
        <v>262</v>
      </c>
      <c r="AJ389" t="s">
        <v>261</v>
      </c>
      <c r="AK389" t="s">
        <v>261</v>
      </c>
      <c r="AM389" t="s">
        <v>262</v>
      </c>
      <c r="AN389" t="s">
        <v>1330</v>
      </c>
    </row>
    <row r="390" spans="1:40" x14ac:dyDescent="0.35">
      <c r="A390">
        <v>1882338</v>
      </c>
      <c r="B390" t="s">
        <v>1331</v>
      </c>
      <c r="C390" t="str">
        <f>"9789089646354"</f>
        <v>9789089646354</v>
      </c>
      <c r="D390" t="str">
        <f>"9789048523009"</f>
        <v>9789048523009</v>
      </c>
      <c r="E390" t="s">
        <v>361</v>
      </c>
      <c r="F390" t="s">
        <v>361</v>
      </c>
      <c r="G390" s="1">
        <v>41936</v>
      </c>
      <c r="H390" s="1">
        <v>42019</v>
      </c>
      <c r="I390" t="s">
        <v>189</v>
      </c>
      <c r="J390">
        <v>1</v>
      </c>
      <c r="L390" t="s">
        <v>1332</v>
      </c>
      <c r="M390" t="s">
        <v>329</v>
      </c>
      <c r="Q390" t="s">
        <v>260</v>
      </c>
      <c r="R390" t="s">
        <v>261</v>
      </c>
      <c r="S390" t="s">
        <v>261</v>
      </c>
      <c r="T390" t="s">
        <v>261</v>
      </c>
      <c r="U390" t="s">
        <v>261</v>
      </c>
      <c r="V390" t="s">
        <v>262</v>
      </c>
      <c r="W390" t="s">
        <v>261</v>
      </c>
      <c r="X390" t="s">
        <v>261</v>
      </c>
      <c r="Y390" t="s">
        <v>261</v>
      </c>
      <c r="Z390" t="s">
        <v>409</v>
      </c>
      <c r="AA390" t="s">
        <v>409</v>
      </c>
      <c r="AB390" t="s">
        <v>409</v>
      </c>
      <c r="AC390" t="s">
        <v>409</v>
      </c>
      <c r="AD390" t="s">
        <v>262</v>
      </c>
      <c r="AE390">
        <v>10994561</v>
      </c>
      <c r="AF390">
        <v>801066</v>
      </c>
      <c r="AH390" t="s">
        <v>262</v>
      </c>
      <c r="AI390" t="s">
        <v>262</v>
      </c>
      <c r="AJ390" t="s">
        <v>261</v>
      </c>
      <c r="AK390" t="s">
        <v>261</v>
      </c>
      <c r="AM390" t="s">
        <v>262</v>
      </c>
      <c r="AN390" t="s">
        <v>1333</v>
      </c>
    </row>
    <row r="391" spans="1:40" x14ac:dyDescent="0.35">
      <c r="A391">
        <v>1962524</v>
      </c>
      <c r="B391" t="s">
        <v>1334</v>
      </c>
      <c r="C391" t="str">
        <f>"9789089645913"</f>
        <v>9789089645913</v>
      </c>
      <c r="D391" t="str">
        <f>"9789048522033"</f>
        <v>9789048522033</v>
      </c>
      <c r="E391" t="s">
        <v>361</v>
      </c>
      <c r="F391" t="s">
        <v>361</v>
      </c>
      <c r="G391" s="1">
        <v>42046</v>
      </c>
      <c r="H391" s="1">
        <v>42046</v>
      </c>
      <c r="I391" t="s">
        <v>189</v>
      </c>
      <c r="J391">
        <v>1</v>
      </c>
      <c r="K391" t="s">
        <v>1335</v>
      </c>
      <c r="L391" t="s">
        <v>1336</v>
      </c>
    </row>
    <row r="392" spans="1:40" x14ac:dyDescent="0.35">
      <c r="A392">
        <v>1991830</v>
      </c>
      <c r="B392" t="s">
        <v>1337</v>
      </c>
      <c r="C392" t="str">
        <f>"9789004289628"</f>
        <v>9789004289628</v>
      </c>
      <c r="D392" t="str">
        <f>"9789004289635"</f>
        <v>9789004289635</v>
      </c>
      <c r="E392" t="s">
        <v>903</v>
      </c>
      <c r="F392" t="s">
        <v>903</v>
      </c>
      <c r="G392" s="1">
        <v>42076</v>
      </c>
      <c r="H392" s="1">
        <v>42081</v>
      </c>
      <c r="I392" t="s">
        <v>189</v>
      </c>
      <c r="J392">
        <v>1</v>
      </c>
      <c r="K392" t="s">
        <v>1338</v>
      </c>
      <c r="L392" t="s">
        <v>1339</v>
      </c>
      <c r="M392" t="s">
        <v>676</v>
      </c>
      <c r="N392" t="s">
        <v>1340</v>
      </c>
      <c r="O392" t="s">
        <v>1341</v>
      </c>
      <c r="P392" t="s">
        <v>1342</v>
      </c>
    </row>
    <row r="393" spans="1:40" x14ac:dyDescent="0.35">
      <c r="A393">
        <v>1997340</v>
      </c>
      <c r="B393" t="s">
        <v>1343</v>
      </c>
      <c r="C393" t="str">
        <f>"9789089646392"</f>
        <v>9789089646392</v>
      </c>
      <c r="D393" t="str">
        <f>"9789048523030"</f>
        <v>9789048523030</v>
      </c>
      <c r="E393" t="s">
        <v>361</v>
      </c>
      <c r="F393" t="s">
        <v>361</v>
      </c>
      <c r="G393" s="1">
        <v>42030</v>
      </c>
      <c r="H393" s="1">
        <v>42030</v>
      </c>
      <c r="I393" t="s">
        <v>189</v>
      </c>
      <c r="J393">
        <v>1</v>
      </c>
      <c r="K393" t="s">
        <v>580</v>
      </c>
      <c r="L393" t="s">
        <v>59</v>
      </c>
    </row>
    <row r="394" spans="1:40" x14ac:dyDescent="0.35">
      <c r="A394">
        <v>2035724</v>
      </c>
      <c r="B394" t="s">
        <v>1344</v>
      </c>
      <c r="C394" t="str">
        <f>"9783110412383"</f>
        <v>9783110412383</v>
      </c>
      <c r="D394" t="str">
        <f>"9783110415513"</f>
        <v>9783110415513</v>
      </c>
      <c r="E394" t="s">
        <v>415</v>
      </c>
      <c r="F394" t="s">
        <v>665</v>
      </c>
      <c r="G394" s="1">
        <v>42076</v>
      </c>
      <c r="H394" s="1">
        <v>42120</v>
      </c>
      <c r="I394" t="s">
        <v>189</v>
      </c>
      <c r="J394">
        <v>1</v>
      </c>
      <c r="K394" t="s">
        <v>1095</v>
      </c>
      <c r="L394" t="s">
        <v>1345</v>
      </c>
      <c r="M394" t="s">
        <v>1191</v>
      </c>
    </row>
    <row r="395" spans="1:40" x14ac:dyDescent="0.35">
      <c r="A395">
        <v>2035733</v>
      </c>
      <c r="B395" t="s">
        <v>1346</v>
      </c>
      <c r="C395" t="str">
        <f>"9783110349634"</f>
        <v>9783110349634</v>
      </c>
      <c r="D395" t="str">
        <f>"9783110349702"</f>
        <v>9783110349702</v>
      </c>
      <c r="E395" t="s">
        <v>346</v>
      </c>
      <c r="F395" t="s">
        <v>346</v>
      </c>
      <c r="G395" s="1">
        <v>42111</v>
      </c>
      <c r="H395" s="1">
        <v>42120</v>
      </c>
      <c r="I395" t="s">
        <v>189</v>
      </c>
      <c r="J395">
        <v>1</v>
      </c>
      <c r="K395" t="s">
        <v>354</v>
      </c>
      <c r="L395" t="s">
        <v>1347</v>
      </c>
      <c r="M395" t="s">
        <v>389</v>
      </c>
      <c r="N395" t="s">
        <v>1348</v>
      </c>
      <c r="O395" t="s">
        <v>1349</v>
      </c>
      <c r="P395" t="s">
        <v>1350</v>
      </c>
      <c r="Q395" t="s">
        <v>408</v>
      </c>
      <c r="R395" t="s">
        <v>261</v>
      </c>
      <c r="S395" t="s">
        <v>261</v>
      </c>
      <c r="T395" t="s">
        <v>261</v>
      </c>
      <c r="U395" t="s">
        <v>261</v>
      </c>
      <c r="V395" t="s">
        <v>262</v>
      </c>
      <c r="W395" t="s">
        <v>261</v>
      </c>
      <c r="X395" t="s">
        <v>261</v>
      </c>
      <c r="Y395" t="s">
        <v>261</v>
      </c>
      <c r="Z395" t="s">
        <v>409</v>
      </c>
      <c r="AA395" t="s">
        <v>409</v>
      </c>
      <c r="AB395" t="s">
        <v>409</v>
      </c>
      <c r="AC395" t="s">
        <v>409</v>
      </c>
      <c r="AD395" t="s">
        <v>262</v>
      </c>
      <c r="AE395">
        <v>11049745</v>
      </c>
      <c r="AF395">
        <v>807878</v>
      </c>
      <c r="AH395" t="s">
        <v>262</v>
      </c>
      <c r="AI395" t="s">
        <v>262</v>
      </c>
      <c r="AJ395" t="s">
        <v>261</v>
      </c>
      <c r="AK395" t="s">
        <v>261</v>
      </c>
      <c r="AM395" t="s">
        <v>262</v>
      </c>
      <c r="AN395" t="s">
        <v>1351</v>
      </c>
    </row>
    <row r="396" spans="1:40" x14ac:dyDescent="0.35">
      <c r="A396">
        <v>2039372</v>
      </c>
      <c r="B396" t="s">
        <v>1352</v>
      </c>
      <c r="C396" t="str">
        <f>"9783110440010"</f>
        <v>9783110440010</v>
      </c>
      <c r="D396" t="str">
        <f>"9783110440027"</f>
        <v>9783110440027</v>
      </c>
      <c r="E396" t="s">
        <v>415</v>
      </c>
      <c r="F396" t="s">
        <v>659</v>
      </c>
      <c r="G396" s="1">
        <v>42118</v>
      </c>
      <c r="H396" s="1">
        <v>42118</v>
      </c>
      <c r="I396" t="s">
        <v>189</v>
      </c>
      <c r="J396">
        <v>1</v>
      </c>
      <c r="L396" t="s">
        <v>1353</v>
      </c>
      <c r="M396" t="s">
        <v>1354</v>
      </c>
    </row>
    <row r="397" spans="1:40" x14ac:dyDescent="0.35">
      <c r="A397">
        <v>2039373</v>
      </c>
      <c r="B397" t="s">
        <v>1355</v>
      </c>
      <c r="C397" t="str">
        <f>"9783110440270"</f>
        <v>9783110440270</v>
      </c>
      <c r="D397" t="str">
        <f>"9783110440287"</f>
        <v>9783110440287</v>
      </c>
      <c r="E397" t="s">
        <v>415</v>
      </c>
      <c r="F397" t="s">
        <v>659</v>
      </c>
      <c r="G397" s="1">
        <v>42118</v>
      </c>
      <c r="H397" s="1">
        <v>42118</v>
      </c>
      <c r="I397" t="s">
        <v>189</v>
      </c>
      <c r="J397">
        <v>1</v>
      </c>
      <c r="L397" t="s">
        <v>1356</v>
      </c>
      <c r="M397" t="s">
        <v>944</v>
      </c>
    </row>
    <row r="398" spans="1:40" x14ac:dyDescent="0.35">
      <c r="A398">
        <v>2042160</v>
      </c>
      <c r="B398" t="s">
        <v>1357</v>
      </c>
      <c r="C398" t="str">
        <f>"9789089645906"</f>
        <v>9789089645906</v>
      </c>
      <c r="D398" t="str">
        <f>"9789048522019"</f>
        <v>9789048522019</v>
      </c>
      <c r="E398" t="s">
        <v>361</v>
      </c>
      <c r="F398" t="s">
        <v>361</v>
      </c>
      <c r="G398" s="1">
        <v>42083</v>
      </c>
      <c r="H398" s="1">
        <v>42170</v>
      </c>
      <c r="I398" t="s">
        <v>189</v>
      </c>
      <c r="J398">
        <v>1</v>
      </c>
      <c r="K398" t="s">
        <v>1358</v>
      </c>
      <c r="L398" t="s">
        <v>1359</v>
      </c>
      <c r="M398" t="s">
        <v>239</v>
      </c>
      <c r="N398" t="s">
        <v>1360</v>
      </c>
      <c r="O398" t="s">
        <v>1361</v>
      </c>
      <c r="Q398" t="s">
        <v>260</v>
      </c>
      <c r="R398" t="s">
        <v>261</v>
      </c>
      <c r="S398" t="s">
        <v>261</v>
      </c>
      <c r="T398" t="s">
        <v>261</v>
      </c>
      <c r="U398" t="s">
        <v>261</v>
      </c>
      <c r="V398" t="s">
        <v>262</v>
      </c>
      <c r="W398" t="s">
        <v>261</v>
      </c>
      <c r="X398" t="s">
        <v>261</v>
      </c>
      <c r="Y398" t="s">
        <v>261</v>
      </c>
      <c r="Z398" t="s">
        <v>409</v>
      </c>
      <c r="AA398" t="s">
        <v>409</v>
      </c>
      <c r="AB398" t="s">
        <v>409</v>
      </c>
      <c r="AC398" t="s">
        <v>409</v>
      </c>
      <c r="AD398" t="s">
        <v>262</v>
      </c>
      <c r="AE398">
        <v>11054764</v>
      </c>
      <c r="AF398">
        <v>801031</v>
      </c>
      <c r="AH398" t="s">
        <v>262</v>
      </c>
      <c r="AI398" t="s">
        <v>262</v>
      </c>
      <c r="AJ398" t="s">
        <v>261</v>
      </c>
      <c r="AK398" t="s">
        <v>261</v>
      </c>
      <c r="AM398" t="s">
        <v>262</v>
      </c>
      <c r="AN398" t="s">
        <v>1362</v>
      </c>
    </row>
    <row r="399" spans="1:40" x14ac:dyDescent="0.35">
      <c r="A399">
        <v>2044383</v>
      </c>
      <c r="B399" t="s">
        <v>1363</v>
      </c>
      <c r="C399" t="str">
        <f>"9789089647160"</f>
        <v>9789089647160</v>
      </c>
      <c r="D399" t="str">
        <f>"9789048524457"</f>
        <v>9789048524457</v>
      </c>
      <c r="E399" t="s">
        <v>361</v>
      </c>
      <c r="F399" t="s">
        <v>361</v>
      </c>
      <c r="G399" s="1">
        <v>42061</v>
      </c>
      <c r="H399" s="1">
        <v>42170</v>
      </c>
      <c r="I399" t="s">
        <v>189</v>
      </c>
      <c r="J399">
        <v>1</v>
      </c>
      <c r="L399" t="s">
        <v>1364</v>
      </c>
    </row>
    <row r="400" spans="1:40" x14ac:dyDescent="0.35">
      <c r="A400">
        <v>2044384</v>
      </c>
      <c r="B400" t="s">
        <v>1365</v>
      </c>
      <c r="C400" t="str">
        <f>"9789089648419"</f>
        <v>9789089648419</v>
      </c>
      <c r="D400" t="str">
        <f>"9789048526956"</f>
        <v>9789048526956</v>
      </c>
      <c r="E400" t="s">
        <v>361</v>
      </c>
      <c r="F400" t="s">
        <v>361</v>
      </c>
      <c r="G400" s="1">
        <v>42075</v>
      </c>
      <c r="H400" s="1">
        <v>42170</v>
      </c>
      <c r="I400" t="s">
        <v>189</v>
      </c>
      <c r="J400">
        <v>1</v>
      </c>
      <c r="K400" t="s">
        <v>1208</v>
      </c>
      <c r="L400" t="s">
        <v>1366</v>
      </c>
      <c r="M400" t="s">
        <v>239</v>
      </c>
    </row>
    <row r="401" spans="1:40" x14ac:dyDescent="0.35">
      <c r="A401">
        <v>2048598</v>
      </c>
      <c r="B401" t="s">
        <v>1367</v>
      </c>
      <c r="C401" t="str">
        <f>"9783110442052"</f>
        <v>9783110442052</v>
      </c>
      <c r="D401" t="str">
        <f>"9783110442069"</f>
        <v>9783110442069</v>
      </c>
      <c r="E401" t="s">
        <v>415</v>
      </c>
      <c r="F401" t="s">
        <v>659</v>
      </c>
      <c r="G401" s="1">
        <v>42335</v>
      </c>
      <c r="H401" s="1">
        <v>42134</v>
      </c>
      <c r="I401" t="s">
        <v>189</v>
      </c>
      <c r="J401">
        <v>1</v>
      </c>
      <c r="L401" t="s">
        <v>1368</v>
      </c>
      <c r="M401" t="s">
        <v>1318</v>
      </c>
    </row>
    <row r="402" spans="1:40" x14ac:dyDescent="0.35">
      <c r="A402">
        <v>2056402</v>
      </c>
      <c r="B402" t="s">
        <v>1369</v>
      </c>
      <c r="C402" t="str">
        <f>"9783110404647"</f>
        <v>9783110404647</v>
      </c>
      <c r="D402" t="str">
        <f>"9783110404692"</f>
        <v>9783110404692</v>
      </c>
      <c r="E402" t="s">
        <v>415</v>
      </c>
      <c r="F402" t="s">
        <v>665</v>
      </c>
      <c r="G402" s="1">
        <v>42151</v>
      </c>
      <c r="H402" s="1">
        <v>42150</v>
      </c>
      <c r="I402" t="s">
        <v>189</v>
      </c>
      <c r="J402">
        <v>1</v>
      </c>
      <c r="K402" t="s">
        <v>1125</v>
      </c>
      <c r="L402" t="s">
        <v>1370</v>
      </c>
      <c r="M402" t="s">
        <v>239</v>
      </c>
    </row>
    <row r="403" spans="1:40" x14ac:dyDescent="0.35">
      <c r="A403">
        <v>2058746</v>
      </c>
      <c r="B403" t="s">
        <v>1371</v>
      </c>
      <c r="C403" t="str">
        <f>"9789027258564"</f>
        <v>9789027258564</v>
      </c>
      <c r="D403" t="str">
        <f>"9789027268686"</f>
        <v>9789027268686</v>
      </c>
      <c r="E403" t="s">
        <v>1372</v>
      </c>
      <c r="F403" t="s">
        <v>1372</v>
      </c>
      <c r="G403" s="1">
        <v>42152</v>
      </c>
      <c r="H403" s="1">
        <v>42153</v>
      </c>
      <c r="I403" t="s">
        <v>189</v>
      </c>
      <c r="J403">
        <v>1</v>
      </c>
      <c r="K403" t="s">
        <v>1373</v>
      </c>
      <c r="L403" t="s">
        <v>1374</v>
      </c>
    </row>
    <row r="404" spans="1:40" x14ac:dyDescent="0.35">
      <c r="A404">
        <v>2077560</v>
      </c>
      <c r="B404" t="s">
        <v>1375</v>
      </c>
      <c r="C404" t="str">
        <f>"9783110348163"</f>
        <v>9783110348163</v>
      </c>
      <c r="D404" t="str">
        <f>"9783110349122"</f>
        <v>9783110349122</v>
      </c>
      <c r="E404" t="s">
        <v>415</v>
      </c>
      <c r="F404" t="s">
        <v>665</v>
      </c>
      <c r="G404" s="1">
        <v>42181</v>
      </c>
      <c r="H404" s="1">
        <v>42183</v>
      </c>
      <c r="I404" t="s">
        <v>189</v>
      </c>
      <c r="J404">
        <v>1</v>
      </c>
      <c r="K404" t="s">
        <v>1095</v>
      </c>
      <c r="L404" t="s">
        <v>1376</v>
      </c>
      <c r="M404" t="s">
        <v>316</v>
      </c>
      <c r="N404" t="s">
        <v>1377</v>
      </c>
      <c r="O404">
        <v>341</v>
      </c>
      <c r="P404" t="s">
        <v>1378</v>
      </c>
    </row>
    <row r="405" spans="1:40" x14ac:dyDescent="0.35">
      <c r="A405">
        <v>2077563</v>
      </c>
      <c r="B405" t="s">
        <v>1379</v>
      </c>
      <c r="C405" t="str">
        <f>"9783110404760"</f>
        <v>9783110404760</v>
      </c>
      <c r="D405" t="str">
        <f>"9783110405033"</f>
        <v>9783110405033</v>
      </c>
      <c r="E405" t="s">
        <v>415</v>
      </c>
      <c r="F405" t="s">
        <v>665</v>
      </c>
      <c r="G405" s="1">
        <v>42181</v>
      </c>
      <c r="H405" s="1">
        <v>42183</v>
      </c>
      <c r="I405" t="s">
        <v>189</v>
      </c>
      <c r="J405">
        <v>1</v>
      </c>
      <c r="K405" t="s">
        <v>1095</v>
      </c>
      <c r="L405" t="s">
        <v>1380</v>
      </c>
    </row>
    <row r="406" spans="1:40" x14ac:dyDescent="0.35">
      <c r="A406">
        <v>2077568</v>
      </c>
      <c r="B406" t="s">
        <v>1381</v>
      </c>
      <c r="C406" t="str">
        <f>"9783110412109"</f>
        <v>9783110412109</v>
      </c>
      <c r="D406" t="str">
        <f>"9783110415230"</f>
        <v>9783110415230</v>
      </c>
      <c r="E406" t="s">
        <v>346</v>
      </c>
      <c r="F406" t="s">
        <v>346</v>
      </c>
      <c r="G406" s="1">
        <v>42181</v>
      </c>
      <c r="H406" s="1">
        <v>42183</v>
      </c>
      <c r="I406" t="s">
        <v>189</v>
      </c>
      <c r="J406">
        <v>1</v>
      </c>
      <c r="K406" t="s">
        <v>354</v>
      </c>
      <c r="L406" t="s">
        <v>1382</v>
      </c>
      <c r="M406" t="s">
        <v>210</v>
      </c>
      <c r="N406" t="s">
        <v>1383</v>
      </c>
      <c r="O406" t="s">
        <v>1384</v>
      </c>
      <c r="P406" t="s">
        <v>1385</v>
      </c>
    </row>
    <row r="407" spans="1:40" x14ac:dyDescent="0.35">
      <c r="A407">
        <v>2129552</v>
      </c>
      <c r="B407" t="s">
        <v>1386</v>
      </c>
      <c r="C407" t="str">
        <f>"9783486713527"</f>
        <v>9783486713527</v>
      </c>
      <c r="D407" t="str">
        <f>"9783110443509"</f>
        <v>9783110443509</v>
      </c>
      <c r="E407" t="s">
        <v>415</v>
      </c>
      <c r="F407" t="s">
        <v>665</v>
      </c>
      <c r="G407" s="1">
        <v>41878</v>
      </c>
      <c r="H407" s="1">
        <v>42223</v>
      </c>
      <c r="I407" t="s">
        <v>189</v>
      </c>
      <c r="J407">
        <v>1</v>
      </c>
      <c r="K407" t="s">
        <v>1387</v>
      </c>
      <c r="L407" t="s">
        <v>1388</v>
      </c>
      <c r="M407" t="s">
        <v>249</v>
      </c>
      <c r="N407" t="s">
        <v>1389</v>
      </c>
      <c r="O407" t="s">
        <v>1390</v>
      </c>
      <c r="P407" t="s">
        <v>1391</v>
      </c>
    </row>
    <row r="408" spans="1:40" x14ac:dyDescent="0.35">
      <c r="A408">
        <v>2129553</v>
      </c>
      <c r="B408" t="s">
        <v>1392</v>
      </c>
      <c r="C408" t="str">
        <f>"9783110374476"</f>
        <v>9783110374476</v>
      </c>
      <c r="D408" t="str">
        <f>"9783110443516"</f>
        <v>9783110443516</v>
      </c>
      <c r="E408" t="s">
        <v>415</v>
      </c>
      <c r="F408" t="s">
        <v>665</v>
      </c>
      <c r="G408" s="1">
        <v>41985</v>
      </c>
      <c r="H408" s="1">
        <v>42223</v>
      </c>
      <c r="I408" t="s">
        <v>189</v>
      </c>
      <c r="J408">
        <v>1</v>
      </c>
      <c r="K408" t="s">
        <v>1387</v>
      </c>
      <c r="L408" t="s">
        <v>1393</v>
      </c>
      <c r="M408" t="s">
        <v>389</v>
      </c>
      <c r="N408" t="s">
        <v>1394</v>
      </c>
      <c r="O408" t="s">
        <v>1395</v>
      </c>
      <c r="P408" t="s">
        <v>1396</v>
      </c>
    </row>
    <row r="409" spans="1:40" x14ac:dyDescent="0.35">
      <c r="A409">
        <v>3007801</v>
      </c>
      <c r="B409" t="s">
        <v>1397</v>
      </c>
      <c r="C409" t="str">
        <f>"9780822343585"</f>
        <v>9780822343585</v>
      </c>
      <c r="D409" t="str">
        <f>"9780822392071"</f>
        <v>9780822392071</v>
      </c>
      <c r="E409" t="s">
        <v>687</v>
      </c>
      <c r="F409" t="s">
        <v>687</v>
      </c>
      <c r="G409" s="1">
        <v>39939</v>
      </c>
      <c r="H409" s="1">
        <v>39914</v>
      </c>
      <c r="I409" t="s">
        <v>189</v>
      </c>
      <c r="J409">
        <v>1</v>
      </c>
      <c r="L409" t="s">
        <v>1398</v>
      </c>
      <c r="M409" t="s">
        <v>578</v>
      </c>
      <c r="N409" t="s">
        <v>1399</v>
      </c>
      <c r="O409" t="s">
        <v>1400</v>
      </c>
      <c r="Q409" t="s">
        <v>260</v>
      </c>
      <c r="R409" t="s">
        <v>261</v>
      </c>
      <c r="S409" t="s">
        <v>261</v>
      </c>
      <c r="T409" t="s">
        <v>261</v>
      </c>
      <c r="U409" t="s">
        <v>261</v>
      </c>
      <c r="V409" t="s">
        <v>262</v>
      </c>
      <c r="W409" t="s">
        <v>261</v>
      </c>
      <c r="X409" t="s">
        <v>261</v>
      </c>
      <c r="Y409" t="s">
        <v>261</v>
      </c>
      <c r="Z409" t="s">
        <v>409</v>
      </c>
      <c r="AB409" t="s">
        <v>409</v>
      </c>
      <c r="AC409" t="s">
        <v>409</v>
      </c>
      <c r="AD409" t="s">
        <v>262</v>
      </c>
      <c r="AE409">
        <v>10288103</v>
      </c>
      <c r="AF409">
        <v>303639</v>
      </c>
      <c r="AH409" t="s">
        <v>262</v>
      </c>
      <c r="AI409" t="s">
        <v>262</v>
      </c>
      <c r="AJ409" t="s">
        <v>261</v>
      </c>
      <c r="AK409" t="s">
        <v>261</v>
      </c>
      <c r="AM409" t="s">
        <v>262</v>
      </c>
      <c r="AN409" t="s">
        <v>1401</v>
      </c>
    </row>
    <row r="410" spans="1:40" x14ac:dyDescent="0.35">
      <c r="A410">
        <v>3016907</v>
      </c>
      <c r="B410" t="s">
        <v>1402</v>
      </c>
      <c r="C410" t="str">
        <f>"9780719066603"</f>
        <v>9780719066603</v>
      </c>
      <c r="D410" t="str">
        <f>"9781847791009"</f>
        <v>9781847791009</v>
      </c>
      <c r="E410" t="s">
        <v>188</v>
      </c>
      <c r="F410" t="s">
        <v>188</v>
      </c>
      <c r="G410" s="1">
        <v>38200</v>
      </c>
      <c r="H410" s="1">
        <v>38702</v>
      </c>
      <c r="I410" t="s">
        <v>189</v>
      </c>
      <c r="J410">
        <v>1</v>
      </c>
      <c r="L410" t="s">
        <v>1403</v>
      </c>
    </row>
    <row r="411" spans="1:40" x14ac:dyDescent="0.35">
      <c r="A411">
        <v>3039692</v>
      </c>
      <c r="B411" t="s">
        <v>1404</v>
      </c>
      <c r="C411" t="str">
        <f>"9780870819476"</f>
        <v>9780870819476</v>
      </c>
      <c r="D411" t="str">
        <f>"9780870819704"</f>
        <v>9780870819704</v>
      </c>
      <c r="E411" t="s">
        <v>1405</v>
      </c>
      <c r="F411" t="s">
        <v>1405</v>
      </c>
      <c r="G411" s="1">
        <v>39964</v>
      </c>
      <c r="H411" s="1">
        <v>40099</v>
      </c>
      <c r="I411" t="s">
        <v>189</v>
      </c>
      <c r="L411" t="s">
        <v>1406</v>
      </c>
      <c r="M411" t="s">
        <v>239</v>
      </c>
      <c r="N411" t="s">
        <v>1407</v>
      </c>
      <c r="O411" t="s">
        <v>1408</v>
      </c>
      <c r="P411" t="s">
        <v>1409</v>
      </c>
      <c r="Q411" t="s">
        <v>260</v>
      </c>
      <c r="R411" t="s">
        <v>261</v>
      </c>
      <c r="S411" t="s">
        <v>261</v>
      </c>
      <c r="T411" t="s">
        <v>261</v>
      </c>
      <c r="U411" t="s">
        <v>262</v>
      </c>
      <c r="V411" t="s">
        <v>262</v>
      </c>
      <c r="W411" t="s">
        <v>261</v>
      </c>
      <c r="X411" t="s">
        <v>262</v>
      </c>
      <c r="Y411" t="s">
        <v>261</v>
      </c>
      <c r="AA411" t="s">
        <v>409</v>
      </c>
      <c r="AB411" t="s">
        <v>409</v>
      </c>
      <c r="AC411" t="s">
        <v>409</v>
      </c>
      <c r="AD411" t="s">
        <v>262</v>
      </c>
      <c r="AE411">
        <v>10333618</v>
      </c>
      <c r="AF411">
        <v>921532</v>
      </c>
      <c r="AH411" t="s">
        <v>262</v>
      </c>
      <c r="AI411" t="s">
        <v>262</v>
      </c>
      <c r="AJ411" t="s">
        <v>261</v>
      </c>
      <c r="AK411" t="s">
        <v>261</v>
      </c>
      <c r="AM411" t="s">
        <v>262</v>
      </c>
      <c r="AN411" t="s">
        <v>1410</v>
      </c>
    </row>
    <row r="412" spans="1:40" x14ac:dyDescent="0.35">
      <c r="A412">
        <v>3040295</v>
      </c>
      <c r="B412" t="s">
        <v>1411</v>
      </c>
      <c r="C412" t="str">
        <f>"9783110199550"</f>
        <v>9783110199550</v>
      </c>
      <c r="D412" t="str">
        <f>"9783110921724"</f>
        <v>9783110921724</v>
      </c>
      <c r="E412" t="s">
        <v>346</v>
      </c>
      <c r="F412" t="s">
        <v>346</v>
      </c>
      <c r="G412" s="1">
        <v>39220</v>
      </c>
      <c r="H412" s="1">
        <v>41131</v>
      </c>
      <c r="I412" t="s">
        <v>189</v>
      </c>
      <c r="J412">
        <v>1</v>
      </c>
      <c r="K412" t="s">
        <v>354</v>
      </c>
      <c r="L412" t="s">
        <v>17</v>
      </c>
    </row>
    <row r="413" spans="1:40" x14ac:dyDescent="0.35">
      <c r="A413">
        <v>3041522</v>
      </c>
      <c r="B413" t="s">
        <v>1412</v>
      </c>
      <c r="C413" t="str">
        <f>"9783484630376"</f>
        <v>9783484630376</v>
      </c>
      <c r="D413" t="str">
        <f>"9783110928921"</f>
        <v>9783110928921</v>
      </c>
      <c r="E413" t="s">
        <v>346</v>
      </c>
      <c r="F413" t="s">
        <v>346</v>
      </c>
      <c r="G413" s="1">
        <v>38604</v>
      </c>
      <c r="H413" s="1">
        <v>41156</v>
      </c>
      <c r="I413" t="s">
        <v>189</v>
      </c>
      <c r="J413">
        <v>1</v>
      </c>
      <c r="K413" t="s">
        <v>1413</v>
      </c>
      <c r="L413" t="s">
        <v>1414</v>
      </c>
      <c r="M413" t="s">
        <v>219</v>
      </c>
      <c r="N413" t="s">
        <v>1415</v>
      </c>
      <c r="P413" t="s">
        <v>1416</v>
      </c>
      <c r="Q413" t="s">
        <v>408</v>
      </c>
      <c r="R413" t="s">
        <v>261</v>
      </c>
      <c r="S413" t="s">
        <v>261</v>
      </c>
      <c r="T413" t="s">
        <v>261</v>
      </c>
      <c r="U413" t="s">
        <v>261</v>
      </c>
      <c r="V413" t="s">
        <v>262</v>
      </c>
      <c r="W413" t="s">
        <v>261</v>
      </c>
      <c r="X413" t="s">
        <v>261</v>
      </c>
      <c r="Y413" t="s">
        <v>261</v>
      </c>
      <c r="Z413" t="s">
        <v>409</v>
      </c>
      <c r="AA413" t="s">
        <v>409</v>
      </c>
      <c r="AB413" t="s">
        <v>409</v>
      </c>
      <c r="AC413" t="s">
        <v>409</v>
      </c>
      <c r="AD413" t="s">
        <v>262</v>
      </c>
      <c r="AE413">
        <v>10595796</v>
      </c>
      <c r="AH413" t="s">
        <v>262</v>
      </c>
      <c r="AI413" t="s">
        <v>262</v>
      </c>
      <c r="AJ413" t="s">
        <v>261</v>
      </c>
      <c r="AK413" t="s">
        <v>261</v>
      </c>
      <c r="AM413" t="s">
        <v>262</v>
      </c>
      <c r="AN413" t="s">
        <v>1417</v>
      </c>
    </row>
    <row r="414" spans="1:40" x14ac:dyDescent="0.35">
      <c r="A414">
        <v>3041543</v>
      </c>
      <c r="B414" t="s">
        <v>1418</v>
      </c>
      <c r="C414" t="str">
        <f>"9783110188998"</f>
        <v>9783110188998</v>
      </c>
      <c r="D414" t="str">
        <f>"9783110927405"</f>
        <v>9783110927405</v>
      </c>
      <c r="E414" t="s">
        <v>346</v>
      </c>
      <c r="F414" t="s">
        <v>346</v>
      </c>
      <c r="G414" s="1">
        <v>38701</v>
      </c>
      <c r="H414" s="1">
        <v>41156</v>
      </c>
      <c r="I414" t="s">
        <v>189</v>
      </c>
      <c r="J414">
        <v>1</v>
      </c>
      <c r="K414" t="s">
        <v>354</v>
      </c>
      <c r="L414" t="s">
        <v>1419</v>
      </c>
      <c r="M414" t="s">
        <v>239</v>
      </c>
      <c r="N414" t="s">
        <v>1420</v>
      </c>
      <c r="P414" t="s">
        <v>1421</v>
      </c>
      <c r="Q414" t="s">
        <v>408</v>
      </c>
      <c r="R414" t="s">
        <v>261</v>
      </c>
      <c r="S414" t="s">
        <v>261</v>
      </c>
      <c r="T414" t="s">
        <v>261</v>
      </c>
      <c r="U414" t="s">
        <v>261</v>
      </c>
      <c r="V414" t="s">
        <v>262</v>
      </c>
      <c r="W414" t="s">
        <v>261</v>
      </c>
      <c r="X414" t="s">
        <v>261</v>
      </c>
      <c r="Y414" t="s">
        <v>261</v>
      </c>
      <c r="Z414" t="s">
        <v>409</v>
      </c>
      <c r="AA414" t="s">
        <v>409</v>
      </c>
      <c r="AB414" t="s">
        <v>409</v>
      </c>
      <c r="AC414" t="s">
        <v>409</v>
      </c>
      <c r="AD414" t="s">
        <v>262</v>
      </c>
      <c r="AE414">
        <v>10595836</v>
      </c>
      <c r="AH414" t="s">
        <v>262</v>
      </c>
      <c r="AI414" t="s">
        <v>262</v>
      </c>
      <c r="AJ414" t="s">
        <v>261</v>
      </c>
      <c r="AK414" t="s">
        <v>261</v>
      </c>
      <c r="AM414" t="s">
        <v>262</v>
      </c>
      <c r="AN414" t="s">
        <v>1422</v>
      </c>
    </row>
    <row r="415" spans="1:40" x14ac:dyDescent="0.35">
      <c r="A415">
        <v>3041822</v>
      </c>
      <c r="B415" t="s">
        <v>1423</v>
      </c>
      <c r="C415" t="str">
        <f>"9783110104608"</f>
        <v>9783110104608</v>
      </c>
      <c r="D415" t="str">
        <f>"9783110906486"</f>
        <v>9783110906486</v>
      </c>
      <c r="E415" t="s">
        <v>346</v>
      </c>
      <c r="F415" t="s">
        <v>346</v>
      </c>
      <c r="G415" s="1">
        <v>31079</v>
      </c>
      <c r="H415" s="1">
        <v>41158</v>
      </c>
      <c r="I415" t="s">
        <v>189</v>
      </c>
      <c r="J415">
        <v>1</v>
      </c>
      <c r="K415" t="s">
        <v>552</v>
      </c>
      <c r="L415" t="s">
        <v>1424</v>
      </c>
    </row>
    <row r="416" spans="1:40" x14ac:dyDescent="0.35">
      <c r="A416">
        <v>3042124</v>
      </c>
      <c r="B416" t="s">
        <v>1425</v>
      </c>
      <c r="C416" t="str">
        <f>"9783110189209"</f>
        <v>9783110189209</v>
      </c>
      <c r="D416" t="str">
        <f>"9783110891621"</f>
        <v>9783110891621</v>
      </c>
      <c r="E416" t="s">
        <v>346</v>
      </c>
      <c r="F416" t="s">
        <v>346</v>
      </c>
      <c r="G416" s="1">
        <v>38979</v>
      </c>
      <c r="H416" s="1">
        <v>41162</v>
      </c>
      <c r="I416" t="s">
        <v>189</v>
      </c>
      <c r="J416">
        <v>1</v>
      </c>
      <c r="K416" t="s">
        <v>354</v>
      </c>
      <c r="L416" t="s">
        <v>1426</v>
      </c>
      <c r="M416" t="s">
        <v>389</v>
      </c>
      <c r="N416" t="s">
        <v>1427</v>
      </c>
      <c r="O416" t="s">
        <v>1428</v>
      </c>
      <c r="P416" t="s">
        <v>1429</v>
      </c>
      <c r="Q416" t="s">
        <v>408</v>
      </c>
      <c r="R416" t="s">
        <v>261</v>
      </c>
      <c r="S416" t="s">
        <v>261</v>
      </c>
      <c r="T416" t="s">
        <v>261</v>
      </c>
      <c r="U416" t="s">
        <v>261</v>
      </c>
      <c r="V416" t="s">
        <v>262</v>
      </c>
      <c r="W416" t="s">
        <v>261</v>
      </c>
      <c r="X416" t="s">
        <v>261</v>
      </c>
      <c r="Y416" t="s">
        <v>261</v>
      </c>
      <c r="Z416" t="s">
        <v>409</v>
      </c>
      <c r="AA416" t="s">
        <v>409</v>
      </c>
      <c r="AB416" t="s">
        <v>409</v>
      </c>
      <c r="AC416" t="s">
        <v>409</v>
      </c>
      <c r="AD416" t="s">
        <v>262</v>
      </c>
      <c r="AE416">
        <v>10598112</v>
      </c>
      <c r="AH416" t="s">
        <v>262</v>
      </c>
      <c r="AI416" t="s">
        <v>262</v>
      </c>
      <c r="AJ416" t="s">
        <v>261</v>
      </c>
      <c r="AK416" t="s">
        <v>261</v>
      </c>
      <c r="AM416" t="s">
        <v>262</v>
      </c>
      <c r="AN416" t="s">
        <v>1430</v>
      </c>
    </row>
    <row r="417" spans="1:12" x14ac:dyDescent="0.35">
      <c r="A417">
        <v>3042681</v>
      </c>
      <c r="B417" t="s">
        <v>1431</v>
      </c>
      <c r="C417" t="str">
        <f>"9783110328615"</f>
        <v>9783110328615</v>
      </c>
      <c r="D417" t="str">
        <f>"9783110328950"</f>
        <v>9783110328950</v>
      </c>
      <c r="E417" t="s">
        <v>346</v>
      </c>
      <c r="F417" t="s">
        <v>346</v>
      </c>
      <c r="G417" s="1">
        <v>39706</v>
      </c>
      <c r="H417" s="1">
        <v>41464</v>
      </c>
      <c r="I417" t="s">
        <v>189</v>
      </c>
      <c r="J417">
        <v>1</v>
      </c>
      <c r="K417" t="s">
        <v>859</v>
      </c>
      <c r="L417" t="s">
        <v>1432</v>
      </c>
    </row>
    <row r="418" spans="1:12" x14ac:dyDescent="0.35">
      <c r="A418">
        <v>3042721</v>
      </c>
      <c r="B418" t="s">
        <v>1433</v>
      </c>
      <c r="C418" t="str">
        <f>"9783110060171"</f>
        <v>9783110060171</v>
      </c>
      <c r="D418" t="str">
        <f>"9783110903263"</f>
        <v>9783110903263</v>
      </c>
      <c r="E418" t="s">
        <v>346</v>
      </c>
      <c r="F418" t="s">
        <v>346</v>
      </c>
      <c r="G418" s="1">
        <v>32933</v>
      </c>
      <c r="H418" s="1">
        <v>41528</v>
      </c>
      <c r="I418" t="s">
        <v>189</v>
      </c>
      <c r="J418">
        <v>1</v>
      </c>
      <c r="K418" t="s">
        <v>552</v>
      </c>
      <c r="L418" t="s">
        <v>1434</v>
      </c>
    </row>
    <row r="419" spans="1:12" x14ac:dyDescent="0.35">
      <c r="A419">
        <v>3042729</v>
      </c>
      <c r="B419" t="s">
        <v>1435</v>
      </c>
      <c r="C419" t="str">
        <f>"9783110060102"</f>
        <v>9783110060102</v>
      </c>
      <c r="D419" t="str">
        <f>"9783110900736"</f>
        <v>9783110900736</v>
      </c>
      <c r="E419" t="s">
        <v>346</v>
      </c>
      <c r="F419" t="s">
        <v>346</v>
      </c>
      <c r="G419" s="1">
        <v>34912</v>
      </c>
      <c r="H419" s="1">
        <v>41528</v>
      </c>
      <c r="I419" t="s">
        <v>189</v>
      </c>
      <c r="J419">
        <v>1</v>
      </c>
      <c r="K419" t="s">
        <v>552</v>
      </c>
      <c r="L419" t="s">
        <v>1436</v>
      </c>
    </row>
    <row r="420" spans="1:12" x14ac:dyDescent="0.35">
      <c r="A420">
        <v>3042731</v>
      </c>
      <c r="B420" t="s">
        <v>1437</v>
      </c>
      <c r="C420" t="str">
        <f>"9783110060140"</f>
        <v>9783110060140</v>
      </c>
      <c r="D420" t="str">
        <f>"9783110904499"</f>
        <v>9783110904499</v>
      </c>
      <c r="E420" t="s">
        <v>346</v>
      </c>
      <c r="F420" t="s">
        <v>346</v>
      </c>
      <c r="G420" s="1">
        <v>26938</v>
      </c>
      <c r="H420" s="1">
        <v>41528</v>
      </c>
      <c r="I420" t="s">
        <v>189</v>
      </c>
      <c r="J420">
        <v>1</v>
      </c>
      <c r="K420" t="s">
        <v>552</v>
      </c>
      <c r="L420" t="s">
        <v>1438</v>
      </c>
    </row>
    <row r="421" spans="1:12" x14ac:dyDescent="0.35">
      <c r="A421">
        <v>3042756</v>
      </c>
      <c r="B421" t="s">
        <v>1439</v>
      </c>
      <c r="C421" t="str">
        <f>"9783110060119"</f>
        <v>9783110060119</v>
      </c>
      <c r="D421" t="str">
        <f>"9783110900743"</f>
        <v>9783110900743</v>
      </c>
      <c r="E421" t="s">
        <v>346</v>
      </c>
      <c r="F421" t="s">
        <v>346</v>
      </c>
      <c r="G421" s="1">
        <v>41311</v>
      </c>
      <c r="H421" s="1">
        <v>41528</v>
      </c>
      <c r="I421" t="s">
        <v>189</v>
      </c>
      <c r="J421">
        <v>1</v>
      </c>
      <c r="K421" t="s">
        <v>552</v>
      </c>
      <c r="L421" t="s">
        <v>1440</v>
      </c>
    </row>
    <row r="422" spans="1:12" x14ac:dyDescent="0.35">
      <c r="A422">
        <v>3042757</v>
      </c>
      <c r="B422" t="s">
        <v>1441</v>
      </c>
      <c r="C422" t="str">
        <f>"9783110161557"</f>
        <v>9783110161557</v>
      </c>
      <c r="D422" t="str">
        <f>"9783110895834"</f>
        <v>9783110895834</v>
      </c>
      <c r="E422" t="s">
        <v>346</v>
      </c>
      <c r="F422" t="s">
        <v>346</v>
      </c>
      <c r="G422" s="1">
        <v>35907</v>
      </c>
      <c r="H422" s="1">
        <v>41528</v>
      </c>
      <c r="I422" t="s">
        <v>189</v>
      </c>
      <c r="J422">
        <v>1</v>
      </c>
      <c r="K422" t="s">
        <v>552</v>
      </c>
      <c r="L422" t="s">
        <v>1442</v>
      </c>
    </row>
    <row r="423" spans="1:12" x14ac:dyDescent="0.35">
      <c r="A423">
        <v>3042767</v>
      </c>
      <c r="B423" t="s">
        <v>1443</v>
      </c>
      <c r="C423" t="str">
        <f>"9783110125658"</f>
        <v>9783110125658</v>
      </c>
      <c r="D423" t="str">
        <f>"9783110894929"</f>
        <v>9783110894929</v>
      </c>
      <c r="E423" t="s">
        <v>346</v>
      </c>
      <c r="F423" t="s">
        <v>346</v>
      </c>
      <c r="G423" s="1">
        <v>33178</v>
      </c>
      <c r="H423" s="1">
        <v>41528</v>
      </c>
      <c r="I423" t="s">
        <v>189</v>
      </c>
      <c r="J423">
        <v>1</v>
      </c>
      <c r="K423" t="s">
        <v>552</v>
      </c>
      <c r="L423" t="s">
        <v>1444</v>
      </c>
    </row>
    <row r="424" spans="1:12" x14ac:dyDescent="0.35">
      <c r="A424">
        <v>3042780</v>
      </c>
      <c r="B424" t="s">
        <v>1445</v>
      </c>
      <c r="C424" t="str">
        <f>"9783110060126"</f>
        <v>9783110060126</v>
      </c>
      <c r="D424" t="str">
        <f>"9783110900750"</f>
        <v>9783110900750</v>
      </c>
      <c r="E424" t="s">
        <v>346</v>
      </c>
      <c r="F424" t="s">
        <v>346</v>
      </c>
      <c r="G424" s="1">
        <v>24108</v>
      </c>
      <c r="H424" s="1">
        <v>41528</v>
      </c>
      <c r="I424" t="s">
        <v>189</v>
      </c>
      <c r="J424">
        <v>1</v>
      </c>
      <c r="K424" t="s">
        <v>552</v>
      </c>
      <c r="L424" t="s">
        <v>28</v>
      </c>
    </row>
    <row r="425" spans="1:12" x14ac:dyDescent="0.35">
      <c r="A425">
        <v>3042787</v>
      </c>
      <c r="B425" t="s">
        <v>1446</v>
      </c>
      <c r="C425" t="str">
        <f>"9783110125665"</f>
        <v>9783110125665</v>
      </c>
      <c r="D425" t="str">
        <f>"9783110894936"</f>
        <v>9783110894936</v>
      </c>
      <c r="E425" t="s">
        <v>346</v>
      </c>
      <c r="F425" t="s">
        <v>346</v>
      </c>
      <c r="G425" s="1">
        <v>41311</v>
      </c>
      <c r="H425" s="1">
        <v>41528</v>
      </c>
      <c r="I425" t="s">
        <v>189</v>
      </c>
      <c r="J425">
        <v>1</v>
      </c>
      <c r="K425" t="s">
        <v>552</v>
      </c>
      <c r="L425" t="s">
        <v>1447</v>
      </c>
    </row>
    <row r="426" spans="1:12" x14ac:dyDescent="0.35">
      <c r="A426">
        <v>3042790</v>
      </c>
      <c r="B426" t="s">
        <v>1448</v>
      </c>
      <c r="C426" t="str">
        <f>"9783110065794"</f>
        <v>9783110065794</v>
      </c>
      <c r="D426" t="str">
        <f>"9783110902631"</f>
        <v>9783110902631</v>
      </c>
      <c r="E426" t="s">
        <v>346</v>
      </c>
      <c r="F426" t="s">
        <v>346</v>
      </c>
      <c r="G426" s="1">
        <v>27546</v>
      </c>
      <c r="H426" s="1">
        <v>41528</v>
      </c>
      <c r="I426" t="s">
        <v>189</v>
      </c>
      <c r="J426">
        <v>1</v>
      </c>
      <c r="K426" t="s">
        <v>552</v>
      </c>
      <c r="L426" t="s">
        <v>1449</v>
      </c>
    </row>
    <row r="427" spans="1:12" x14ac:dyDescent="0.35">
      <c r="A427">
        <v>3042794</v>
      </c>
      <c r="B427" t="s">
        <v>1450</v>
      </c>
      <c r="C427" t="str">
        <f>"9783110174885"</f>
        <v>9783110174885</v>
      </c>
      <c r="D427" t="str">
        <f>"9783110898743"</f>
        <v>9783110898743</v>
      </c>
      <c r="E427" t="s">
        <v>346</v>
      </c>
      <c r="F427" t="s">
        <v>346</v>
      </c>
      <c r="G427" s="1">
        <v>37372</v>
      </c>
      <c r="H427" s="1">
        <v>41528</v>
      </c>
      <c r="I427" t="s">
        <v>189</v>
      </c>
      <c r="J427">
        <v>1</v>
      </c>
      <c r="K427" t="s">
        <v>552</v>
      </c>
      <c r="L427" t="s">
        <v>1451</v>
      </c>
    </row>
    <row r="428" spans="1:12" x14ac:dyDescent="0.35">
      <c r="A428">
        <v>3042810</v>
      </c>
      <c r="B428" t="s">
        <v>1452</v>
      </c>
      <c r="C428" t="str">
        <f>"9783899491234"</f>
        <v>9783899491234</v>
      </c>
      <c r="D428" t="str">
        <f>"9783110909852"</f>
        <v>9783110909852</v>
      </c>
      <c r="E428" t="s">
        <v>346</v>
      </c>
      <c r="F428" t="s">
        <v>346</v>
      </c>
      <c r="G428" s="1">
        <v>38092</v>
      </c>
      <c r="H428" s="1">
        <v>41528</v>
      </c>
      <c r="I428" t="s">
        <v>189</v>
      </c>
      <c r="J428">
        <v>1</v>
      </c>
      <c r="K428" t="s">
        <v>552</v>
      </c>
      <c r="L428" t="s">
        <v>1453</v>
      </c>
    </row>
    <row r="429" spans="1:12" x14ac:dyDescent="0.35">
      <c r="A429">
        <v>3042836</v>
      </c>
      <c r="B429" t="s">
        <v>1454</v>
      </c>
      <c r="C429" t="str">
        <f>"9783110168990"</f>
        <v>9783110168990</v>
      </c>
      <c r="D429" t="str">
        <f>"9783110893533"</f>
        <v>9783110893533</v>
      </c>
      <c r="E429" t="s">
        <v>346</v>
      </c>
      <c r="F429" t="s">
        <v>346</v>
      </c>
      <c r="G429" s="1">
        <v>41323</v>
      </c>
      <c r="H429" s="1">
        <v>41528</v>
      </c>
      <c r="I429" t="s">
        <v>189</v>
      </c>
      <c r="J429">
        <v>1</v>
      </c>
      <c r="K429" t="s">
        <v>552</v>
      </c>
      <c r="L429" t="s">
        <v>1455</v>
      </c>
    </row>
    <row r="430" spans="1:12" x14ac:dyDescent="0.35">
      <c r="A430">
        <v>3042841</v>
      </c>
      <c r="B430" t="s">
        <v>1456</v>
      </c>
      <c r="C430" t="str">
        <f>"9783110066951"</f>
        <v>9783110066951</v>
      </c>
      <c r="D430" t="str">
        <f>"9783110902976"</f>
        <v>9783110902976</v>
      </c>
      <c r="E430" t="s">
        <v>346</v>
      </c>
      <c r="F430" t="s">
        <v>346</v>
      </c>
      <c r="G430" s="1">
        <v>27851</v>
      </c>
      <c r="H430" s="1">
        <v>41528</v>
      </c>
      <c r="I430" t="s">
        <v>189</v>
      </c>
      <c r="J430">
        <v>1</v>
      </c>
      <c r="K430" t="s">
        <v>552</v>
      </c>
      <c r="L430" t="s">
        <v>1457</v>
      </c>
    </row>
    <row r="431" spans="1:12" x14ac:dyDescent="0.35">
      <c r="A431">
        <v>3042847</v>
      </c>
      <c r="B431" t="s">
        <v>1458</v>
      </c>
      <c r="C431" t="str">
        <f>"9783110129441"</f>
        <v>9783110129441</v>
      </c>
      <c r="D431" t="str">
        <f>"9783110898156"</f>
        <v>9783110898156</v>
      </c>
      <c r="E431" t="s">
        <v>346</v>
      </c>
      <c r="F431" t="s">
        <v>346</v>
      </c>
      <c r="G431" s="1">
        <v>33329</v>
      </c>
      <c r="H431" s="1">
        <v>41528</v>
      </c>
      <c r="I431" t="s">
        <v>189</v>
      </c>
      <c r="J431">
        <v>1</v>
      </c>
      <c r="K431" t="s">
        <v>552</v>
      </c>
      <c r="L431" t="s">
        <v>21</v>
      </c>
    </row>
    <row r="432" spans="1:12" x14ac:dyDescent="0.35">
      <c r="A432">
        <v>3042855</v>
      </c>
      <c r="B432" t="s">
        <v>1459</v>
      </c>
      <c r="C432" t="str">
        <f>"9783110117820"</f>
        <v>9783110117820</v>
      </c>
      <c r="D432" t="str">
        <f>"9783110894561"</f>
        <v>9783110894561</v>
      </c>
      <c r="E432" t="s">
        <v>346</v>
      </c>
      <c r="F432" t="s">
        <v>346</v>
      </c>
      <c r="G432" s="1">
        <v>41206</v>
      </c>
      <c r="H432" s="1">
        <v>41528</v>
      </c>
      <c r="I432" t="s">
        <v>189</v>
      </c>
      <c r="J432">
        <v>1</v>
      </c>
      <c r="K432" t="s">
        <v>552</v>
      </c>
      <c r="L432" t="s">
        <v>1460</v>
      </c>
    </row>
    <row r="433" spans="1:12" x14ac:dyDescent="0.35">
      <c r="A433">
        <v>3042879</v>
      </c>
      <c r="B433" t="s">
        <v>1461</v>
      </c>
      <c r="C433" t="str">
        <f>"9783110108033"</f>
        <v>9783110108033</v>
      </c>
      <c r="D433" t="str">
        <f>"9783110905885"</f>
        <v>9783110905885</v>
      </c>
      <c r="E433" t="s">
        <v>346</v>
      </c>
      <c r="F433" t="s">
        <v>346</v>
      </c>
      <c r="G433" s="1">
        <v>31472</v>
      </c>
      <c r="H433" s="1">
        <v>41528</v>
      </c>
      <c r="I433" t="s">
        <v>189</v>
      </c>
      <c r="J433">
        <v>1</v>
      </c>
      <c r="K433" t="s">
        <v>552</v>
      </c>
      <c r="L433" t="s">
        <v>1462</v>
      </c>
    </row>
    <row r="434" spans="1:12" x14ac:dyDescent="0.35">
      <c r="A434">
        <v>3042909</v>
      </c>
      <c r="B434" t="s">
        <v>1463</v>
      </c>
      <c r="C434" t="str">
        <f>"9783110152210"</f>
        <v>9783110152210</v>
      </c>
      <c r="D434" t="str">
        <f>"9783110898491"</f>
        <v>9783110898491</v>
      </c>
      <c r="E434" t="s">
        <v>346</v>
      </c>
      <c r="F434" t="s">
        <v>346</v>
      </c>
      <c r="G434" s="1">
        <v>41206</v>
      </c>
      <c r="H434" s="1">
        <v>41528</v>
      </c>
      <c r="I434" t="s">
        <v>189</v>
      </c>
      <c r="J434">
        <v>1</v>
      </c>
      <c r="K434" t="s">
        <v>552</v>
      </c>
      <c r="L434" t="s">
        <v>1464</v>
      </c>
    </row>
    <row r="435" spans="1:12" x14ac:dyDescent="0.35">
      <c r="A435">
        <v>3042911</v>
      </c>
      <c r="B435" t="s">
        <v>1465</v>
      </c>
      <c r="C435" t="str">
        <f>"9783110015737"</f>
        <v>9783110015737</v>
      </c>
      <c r="D435" t="str">
        <f>"9783110908831"</f>
        <v>9783110908831</v>
      </c>
      <c r="E435" t="s">
        <v>346</v>
      </c>
      <c r="F435" t="s">
        <v>346</v>
      </c>
      <c r="G435" s="1">
        <v>41311</v>
      </c>
      <c r="H435" s="1">
        <v>41528</v>
      </c>
      <c r="I435" t="s">
        <v>189</v>
      </c>
      <c r="J435">
        <v>1</v>
      </c>
      <c r="K435" t="s">
        <v>552</v>
      </c>
      <c r="L435" t="s">
        <v>18</v>
      </c>
    </row>
    <row r="436" spans="1:12" x14ac:dyDescent="0.35">
      <c r="A436">
        <v>3042969</v>
      </c>
      <c r="B436" t="s">
        <v>1466</v>
      </c>
      <c r="C436" t="str">
        <f>"9783110057768"</f>
        <v>9783110057768</v>
      </c>
      <c r="D436" t="str">
        <f>"9783110893496"</f>
        <v>9783110893496</v>
      </c>
      <c r="E436" t="s">
        <v>346</v>
      </c>
      <c r="F436" t="s">
        <v>346</v>
      </c>
      <c r="G436" s="1">
        <v>32933</v>
      </c>
      <c r="H436" s="1">
        <v>41528</v>
      </c>
      <c r="I436" t="s">
        <v>189</v>
      </c>
      <c r="J436">
        <v>1</v>
      </c>
      <c r="K436" t="s">
        <v>552</v>
      </c>
      <c r="L436" t="s">
        <v>1467</v>
      </c>
    </row>
    <row r="437" spans="1:12" x14ac:dyDescent="0.35">
      <c r="A437">
        <v>3043002</v>
      </c>
      <c r="B437" t="s">
        <v>1468</v>
      </c>
      <c r="C437" t="str">
        <f>"9783110046687"</f>
        <v>9783110046687</v>
      </c>
      <c r="D437" t="str">
        <f>"9783110899085"</f>
        <v>9783110899085</v>
      </c>
      <c r="E437" t="s">
        <v>346</v>
      </c>
      <c r="F437" t="s">
        <v>346</v>
      </c>
      <c r="G437" s="1">
        <v>34912</v>
      </c>
      <c r="H437" s="1">
        <v>41528</v>
      </c>
      <c r="I437" t="s">
        <v>189</v>
      </c>
      <c r="J437">
        <v>1</v>
      </c>
      <c r="K437" t="s">
        <v>552</v>
      </c>
      <c r="L437" t="s">
        <v>22</v>
      </c>
    </row>
    <row r="438" spans="1:12" x14ac:dyDescent="0.35">
      <c r="A438">
        <v>3043006</v>
      </c>
      <c r="B438" t="s">
        <v>1469</v>
      </c>
      <c r="C438" t="str">
        <f>"9783110045000"</f>
        <v>9783110045000</v>
      </c>
      <c r="D438" t="str">
        <f>"9783110903591"</f>
        <v>9783110903591</v>
      </c>
      <c r="E438" t="s">
        <v>346</v>
      </c>
      <c r="F438" t="s">
        <v>346</v>
      </c>
      <c r="G438" s="1">
        <v>26908</v>
      </c>
      <c r="H438" s="1">
        <v>41528</v>
      </c>
      <c r="I438" t="s">
        <v>189</v>
      </c>
      <c r="J438">
        <v>1</v>
      </c>
      <c r="K438" t="s">
        <v>552</v>
      </c>
      <c r="L438" t="s">
        <v>1447</v>
      </c>
    </row>
    <row r="439" spans="1:12" x14ac:dyDescent="0.35">
      <c r="A439">
        <v>3043022</v>
      </c>
      <c r="B439" t="s">
        <v>1470</v>
      </c>
      <c r="C439" t="str">
        <f>"9783110035346"</f>
        <v>9783110035346</v>
      </c>
      <c r="D439" t="str">
        <f>"9783110907605"</f>
        <v>9783110907605</v>
      </c>
      <c r="E439" t="s">
        <v>346</v>
      </c>
      <c r="F439" t="s">
        <v>346</v>
      </c>
      <c r="G439" s="1">
        <v>25051</v>
      </c>
      <c r="H439" s="1">
        <v>41528</v>
      </c>
      <c r="I439" t="s">
        <v>189</v>
      </c>
      <c r="J439">
        <v>1</v>
      </c>
      <c r="K439" t="s">
        <v>552</v>
      </c>
      <c r="L439" t="s">
        <v>1471</v>
      </c>
    </row>
    <row r="440" spans="1:12" x14ac:dyDescent="0.35">
      <c r="A440">
        <v>3043024</v>
      </c>
      <c r="B440" t="s">
        <v>1472</v>
      </c>
      <c r="C440" t="str">
        <f>"9783110060188"</f>
        <v>9783110060188</v>
      </c>
      <c r="D440" t="str">
        <f>"9783110906646"</f>
        <v>9783110906646</v>
      </c>
      <c r="E440" t="s">
        <v>346</v>
      </c>
      <c r="F440" t="s">
        <v>346</v>
      </c>
      <c r="G440" s="1">
        <v>41311</v>
      </c>
      <c r="H440" s="1">
        <v>41528</v>
      </c>
      <c r="I440" t="s">
        <v>189</v>
      </c>
      <c r="J440">
        <v>1</v>
      </c>
      <c r="K440" t="s">
        <v>552</v>
      </c>
      <c r="L440" t="s">
        <v>1473</v>
      </c>
    </row>
    <row r="441" spans="1:12" x14ac:dyDescent="0.35">
      <c r="A441">
        <v>3043028</v>
      </c>
      <c r="B441" t="s">
        <v>1474</v>
      </c>
      <c r="C441" t="str">
        <f>"9783110060133"</f>
        <v>9783110060133</v>
      </c>
      <c r="D441" t="str">
        <f>"9783110902013"</f>
        <v>9783110902013</v>
      </c>
      <c r="E441" t="s">
        <v>346</v>
      </c>
      <c r="F441" t="s">
        <v>346</v>
      </c>
      <c r="G441" s="1">
        <v>27515</v>
      </c>
      <c r="H441" s="1">
        <v>41528</v>
      </c>
      <c r="I441" t="s">
        <v>189</v>
      </c>
      <c r="J441">
        <v>1</v>
      </c>
      <c r="K441" t="s">
        <v>552</v>
      </c>
      <c r="L441" t="s">
        <v>1475</v>
      </c>
    </row>
    <row r="442" spans="1:12" x14ac:dyDescent="0.35">
      <c r="A442">
        <v>3043052</v>
      </c>
      <c r="B442" t="s">
        <v>1476</v>
      </c>
      <c r="C442" t="str">
        <f>"9783110060201"</f>
        <v>9783110060201</v>
      </c>
      <c r="D442" t="str">
        <f>"9783110906653"</f>
        <v>9783110906653</v>
      </c>
      <c r="E442" t="s">
        <v>346</v>
      </c>
      <c r="F442" t="s">
        <v>346</v>
      </c>
      <c r="G442" s="1">
        <v>41311</v>
      </c>
      <c r="H442" s="1">
        <v>41528</v>
      </c>
      <c r="I442" t="s">
        <v>189</v>
      </c>
      <c r="J442">
        <v>1</v>
      </c>
      <c r="K442" t="s">
        <v>552</v>
      </c>
      <c r="L442" t="s">
        <v>1477</v>
      </c>
    </row>
    <row r="443" spans="1:12" x14ac:dyDescent="0.35">
      <c r="A443">
        <v>3043058</v>
      </c>
      <c r="B443" t="s">
        <v>1478</v>
      </c>
      <c r="C443" t="str">
        <f>"9783110060164"</f>
        <v>9783110060164</v>
      </c>
      <c r="D443" t="str">
        <f>"9783110903256"</f>
        <v>9783110903256</v>
      </c>
      <c r="E443" t="s">
        <v>346</v>
      </c>
      <c r="F443" t="s">
        <v>346</v>
      </c>
      <c r="G443" s="1">
        <v>41311</v>
      </c>
      <c r="H443" s="1">
        <v>41528</v>
      </c>
      <c r="I443" t="s">
        <v>189</v>
      </c>
      <c r="J443">
        <v>1</v>
      </c>
      <c r="K443" t="s">
        <v>552</v>
      </c>
      <c r="L443" t="s">
        <v>1479</v>
      </c>
    </row>
    <row r="444" spans="1:12" x14ac:dyDescent="0.35">
      <c r="A444">
        <v>3043373</v>
      </c>
      <c r="B444" t="s">
        <v>1480</v>
      </c>
      <c r="C444" t="str">
        <f>"9783899490442"</f>
        <v>9783899490442</v>
      </c>
      <c r="D444" t="str">
        <f>"9783110922806"</f>
        <v>9783110922806</v>
      </c>
      <c r="E444" t="s">
        <v>346</v>
      </c>
      <c r="F444" t="s">
        <v>346</v>
      </c>
      <c r="G444" s="1">
        <v>37678</v>
      </c>
      <c r="H444" s="1">
        <v>41554</v>
      </c>
      <c r="I444" t="s">
        <v>189</v>
      </c>
      <c r="J444">
        <v>1</v>
      </c>
      <c r="K444" t="s">
        <v>552</v>
      </c>
      <c r="L444" t="s">
        <v>1481</v>
      </c>
    </row>
    <row r="445" spans="1:12" x14ac:dyDescent="0.35">
      <c r="A445">
        <v>3043578</v>
      </c>
      <c r="B445" t="s">
        <v>1482</v>
      </c>
      <c r="C445" t="str">
        <f>"9783110076974"</f>
        <v>9783110076974</v>
      </c>
      <c r="D445" t="str">
        <f>"9783110921588"</f>
        <v>9783110921588</v>
      </c>
      <c r="E445" t="s">
        <v>346</v>
      </c>
      <c r="F445" t="s">
        <v>346</v>
      </c>
      <c r="G445" s="1">
        <v>28581</v>
      </c>
      <c r="H445" s="1">
        <v>41554</v>
      </c>
      <c r="I445" t="s">
        <v>189</v>
      </c>
      <c r="J445">
        <v>1</v>
      </c>
      <c r="K445" t="s">
        <v>552</v>
      </c>
      <c r="L445" t="s">
        <v>19</v>
      </c>
    </row>
    <row r="446" spans="1:12" x14ac:dyDescent="0.35">
      <c r="A446">
        <v>3043596</v>
      </c>
      <c r="B446" t="s">
        <v>1483</v>
      </c>
      <c r="C446" t="str">
        <f>"9783110143720"</f>
        <v>9783110143720</v>
      </c>
      <c r="D446" t="str">
        <f>"9783110921380"</f>
        <v>9783110921380</v>
      </c>
      <c r="E446" t="s">
        <v>346</v>
      </c>
      <c r="F446" t="s">
        <v>346</v>
      </c>
      <c r="G446" s="1">
        <v>41338</v>
      </c>
      <c r="H446" s="1">
        <v>41554</v>
      </c>
      <c r="I446" t="s">
        <v>189</v>
      </c>
      <c r="J446">
        <v>1</v>
      </c>
      <c r="K446" t="s">
        <v>552</v>
      </c>
      <c r="L446" t="s">
        <v>1484</v>
      </c>
    </row>
    <row r="447" spans="1:12" x14ac:dyDescent="0.35">
      <c r="A447">
        <v>3043663</v>
      </c>
      <c r="B447" t="s">
        <v>1485</v>
      </c>
      <c r="C447" t="str">
        <f>"9783110086140"</f>
        <v>9783110086140</v>
      </c>
      <c r="D447" t="str">
        <f>"9783110921502"</f>
        <v>9783110921502</v>
      </c>
      <c r="E447" t="s">
        <v>346</v>
      </c>
      <c r="F447" t="s">
        <v>346</v>
      </c>
      <c r="G447" s="1">
        <v>41206</v>
      </c>
      <c r="H447" s="1">
        <v>41554</v>
      </c>
      <c r="I447" t="s">
        <v>189</v>
      </c>
      <c r="J447">
        <v>1</v>
      </c>
      <c r="K447" t="s">
        <v>552</v>
      </c>
      <c r="L447" t="s">
        <v>1486</v>
      </c>
    </row>
    <row r="448" spans="1:12" x14ac:dyDescent="0.35">
      <c r="A448">
        <v>3044097</v>
      </c>
      <c r="B448" t="s">
        <v>1487</v>
      </c>
      <c r="C448" t="str">
        <f>"9783110060232"</f>
        <v>9783110060232</v>
      </c>
      <c r="D448" t="str">
        <f>"9783110874891"</f>
        <v>9783110874891</v>
      </c>
      <c r="E448" t="s">
        <v>346</v>
      </c>
      <c r="F448" t="s">
        <v>346</v>
      </c>
      <c r="G448" s="1">
        <v>41323</v>
      </c>
      <c r="H448" s="1">
        <v>41571</v>
      </c>
      <c r="I448" t="s">
        <v>189</v>
      </c>
      <c r="J448">
        <v>1</v>
      </c>
      <c r="K448" t="s">
        <v>552</v>
      </c>
      <c r="L448" t="s">
        <v>1488</v>
      </c>
    </row>
    <row r="449" spans="1:12" x14ac:dyDescent="0.35">
      <c r="A449">
        <v>3044111</v>
      </c>
      <c r="B449" t="s">
        <v>1489</v>
      </c>
      <c r="C449" t="str">
        <f>"9783110060041"</f>
        <v>9783110060041</v>
      </c>
      <c r="D449" t="str">
        <f>"9783110888218"</f>
        <v>9783110888218</v>
      </c>
      <c r="E449" t="s">
        <v>346</v>
      </c>
      <c r="F449" t="s">
        <v>346</v>
      </c>
      <c r="G449" s="1">
        <v>41311</v>
      </c>
      <c r="H449" s="1">
        <v>41571</v>
      </c>
      <c r="I449" t="s">
        <v>189</v>
      </c>
      <c r="J449">
        <v>1</v>
      </c>
      <c r="K449" t="s">
        <v>552</v>
      </c>
      <c r="L449" t="s">
        <v>1436</v>
      </c>
    </row>
    <row r="450" spans="1:12" x14ac:dyDescent="0.35">
      <c r="A450">
        <v>3044122</v>
      </c>
      <c r="B450" t="s">
        <v>1490</v>
      </c>
      <c r="C450" t="str">
        <f>"9783110060270"</f>
        <v>9783110060270</v>
      </c>
      <c r="D450" t="str">
        <f>"9783110876376"</f>
        <v>9783110876376</v>
      </c>
      <c r="E450" t="s">
        <v>346</v>
      </c>
      <c r="F450" t="s">
        <v>346</v>
      </c>
      <c r="G450" s="1">
        <v>41323</v>
      </c>
      <c r="H450" s="1">
        <v>41571</v>
      </c>
      <c r="I450" t="s">
        <v>189</v>
      </c>
      <c r="J450">
        <v>1</v>
      </c>
      <c r="K450" t="s">
        <v>552</v>
      </c>
      <c r="L450" t="s">
        <v>1491</v>
      </c>
    </row>
    <row r="451" spans="1:12" x14ac:dyDescent="0.35">
      <c r="A451">
        <v>3044142</v>
      </c>
      <c r="B451" t="s">
        <v>1492</v>
      </c>
      <c r="C451" t="str">
        <f>"9783110060287"</f>
        <v>9783110060287</v>
      </c>
      <c r="D451" t="str">
        <f>"9783110877342"</f>
        <v>9783110877342</v>
      </c>
      <c r="E451" t="s">
        <v>346</v>
      </c>
      <c r="F451" t="s">
        <v>346</v>
      </c>
      <c r="G451" s="1">
        <v>25324</v>
      </c>
      <c r="H451" s="1">
        <v>41571</v>
      </c>
      <c r="I451" t="s">
        <v>189</v>
      </c>
      <c r="J451">
        <v>1</v>
      </c>
      <c r="K451" t="s">
        <v>552</v>
      </c>
      <c r="L451" t="s">
        <v>1493</v>
      </c>
    </row>
    <row r="452" spans="1:12" x14ac:dyDescent="0.35">
      <c r="A452">
        <v>3044152</v>
      </c>
      <c r="B452" t="s">
        <v>1494</v>
      </c>
      <c r="C452" t="str">
        <f>"9783110080254"</f>
        <v>9783110080254</v>
      </c>
      <c r="D452" t="str">
        <f>"9783110880489"</f>
        <v>9783110880489</v>
      </c>
      <c r="E452" t="s">
        <v>346</v>
      </c>
      <c r="F452" t="s">
        <v>346</v>
      </c>
      <c r="G452" s="1">
        <v>28976</v>
      </c>
      <c r="H452" s="1">
        <v>41571</v>
      </c>
      <c r="I452" t="s">
        <v>189</v>
      </c>
      <c r="J452">
        <v>1</v>
      </c>
      <c r="K452" t="s">
        <v>552</v>
      </c>
      <c r="L452" t="s">
        <v>23</v>
      </c>
    </row>
    <row r="453" spans="1:12" x14ac:dyDescent="0.35">
      <c r="A453">
        <v>3044166</v>
      </c>
      <c r="B453" t="s">
        <v>1495</v>
      </c>
      <c r="C453" t="str">
        <f>"9783110100266"</f>
        <v>9783110100266</v>
      </c>
      <c r="D453" t="str">
        <f>"9783110871104"</f>
        <v>9783110871104</v>
      </c>
      <c r="E453" t="s">
        <v>346</v>
      </c>
      <c r="F453" t="s">
        <v>346</v>
      </c>
      <c r="G453" s="1">
        <v>30742</v>
      </c>
      <c r="H453" s="1">
        <v>41571</v>
      </c>
      <c r="I453" t="s">
        <v>189</v>
      </c>
      <c r="J453">
        <v>1</v>
      </c>
      <c r="K453" t="s">
        <v>552</v>
      </c>
      <c r="L453" t="s">
        <v>1496</v>
      </c>
    </row>
    <row r="454" spans="1:12" x14ac:dyDescent="0.35">
      <c r="A454">
        <v>3044173</v>
      </c>
      <c r="B454" t="s">
        <v>1497</v>
      </c>
      <c r="C454" t="str">
        <f>"9783110140101"</f>
        <v>9783110140101</v>
      </c>
      <c r="D454" t="str">
        <f>"9783110891270"</f>
        <v>9783110891270</v>
      </c>
      <c r="E454" t="s">
        <v>346</v>
      </c>
      <c r="F454" t="s">
        <v>346</v>
      </c>
      <c r="G454" s="1">
        <v>34121</v>
      </c>
      <c r="H454" s="1">
        <v>41571</v>
      </c>
      <c r="I454" t="s">
        <v>189</v>
      </c>
      <c r="J454">
        <v>1</v>
      </c>
      <c r="K454" t="s">
        <v>552</v>
      </c>
      <c r="L454" t="s">
        <v>1498</v>
      </c>
    </row>
    <row r="455" spans="1:12" x14ac:dyDescent="0.35">
      <c r="A455">
        <v>3044193</v>
      </c>
      <c r="B455" t="s">
        <v>1499</v>
      </c>
      <c r="C455" t="str">
        <f>"9783110097733"</f>
        <v>9783110097733</v>
      </c>
      <c r="D455" t="str">
        <f>"9783110873818"</f>
        <v>9783110873818</v>
      </c>
      <c r="E455" t="s">
        <v>346</v>
      </c>
      <c r="F455" t="s">
        <v>346</v>
      </c>
      <c r="G455" s="1">
        <v>41311</v>
      </c>
      <c r="H455" s="1">
        <v>41571</v>
      </c>
      <c r="I455" t="s">
        <v>189</v>
      </c>
      <c r="J455">
        <v>1</v>
      </c>
      <c r="K455" t="s">
        <v>552</v>
      </c>
      <c r="L455" t="s">
        <v>24</v>
      </c>
    </row>
    <row r="456" spans="1:12" x14ac:dyDescent="0.35">
      <c r="A456">
        <v>3044217</v>
      </c>
      <c r="B456" t="s">
        <v>1500</v>
      </c>
      <c r="C456" t="str">
        <f>"9783110148510"</f>
        <v>9783110148510</v>
      </c>
      <c r="D456" t="str">
        <f>"9783110875096"</f>
        <v>9783110875096</v>
      </c>
      <c r="E456" t="s">
        <v>346</v>
      </c>
      <c r="F456" t="s">
        <v>346</v>
      </c>
      <c r="G456" s="1">
        <v>41323</v>
      </c>
      <c r="H456" s="1">
        <v>41571</v>
      </c>
      <c r="I456" t="s">
        <v>189</v>
      </c>
      <c r="J456">
        <v>1</v>
      </c>
      <c r="K456" t="s">
        <v>552</v>
      </c>
      <c r="L456" t="s">
        <v>1501</v>
      </c>
    </row>
    <row r="457" spans="1:12" x14ac:dyDescent="0.35">
      <c r="A457">
        <v>3044257</v>
      </c>
      <c r="B457" t="s">
        <v>1502</v>
      </c>
      <c r="C457" t="str">
        <f>"9783110060263"</f>
        <v>9783110060263</v>
      </c>
      <c r="D457" t="str">
        <f>"9783110875980"</f>
        <v>9783110875980</v>
      </c>
      <c r="E457" t="s">
        <v>346</v>
      </c>
      <c r="F457" t="s">
        <v>346</v>
      </c>
      <c r="G457" s="1">
        <v>41323</v>
      </c>
      <c r="H457" s="1">
        <v>41571</v>
      </c>
      <c r="I457" t="s">
        <v>189</v>
      </c>
      <c r="J457">
        <v>1</v>
      </c>
      <c r="K457" t="s">
        <v>552</v>
      </c>
      <c r="L457" t="s">
        <v>1503</v>
      </c>
    </row>
    <row r="458" spans="1:12" x14ac:dyDescent="0.35">
      <c r="A458">
        <v>3044260</v>
      </c>
      <c r="B458" t="s">
        <v>1504</v>
      </c>
      <c r="C458" t="str">
        <f>"9783110073225"</f>
        <v>9783110073225</v>
      </c>
      <c r="D458" t="str">
        <f>"9783110890099"</f>
        <v>9783110890099</v>
      </c>
      <c r="E458" t="s">
        <v>346</v>
      </c>
      <c r="F458" t="s">
        <v>346</v>
      </c>
      <c r="G458" s="1">
        <v>41311</v>
      </c>
      <c r="H458" s="1">
        <v>41571</v>
      </c>
      <c r="I458" t="s">
        <v>189</v>
      </c>
      <c r="J458">
        <v>1</v>
      </c>
      <c r="K458" t="s">
        <v>552</v>
      </c>
      <c r="L458" t="s">
        <v>26</v>
      </c>
    </row>
    <row r="459" spans="1:12" x14ac:dyDescent="0.35">
      <c r="A459">
        <v>3044269</v>
      </c>
      <c r="B459" t="s">
        <v>1505</v>
      </c>
      <c r="C459" t="str">
        <f>"9783110060218"</f>
        <v>9783110060218</v>
      </c>
      <c r="D459" t="str">
        <f>"9783110875102"</f>
        <v>9783110875102</v>
      </c>
      <c r="E459" t="s">
        <v>346</v>
      </c>
      <c r="F459" t="s">
        <v>346</v>
      </c>
      <c r="G459" s="1">
        <v>41311</v>
      </c>
      <c r="H459" s="1">
        <v>41571</v>
      </c>
      <c r="I459" t="s">
        <v>189</v>
      </c>
      <c r="J459">
        <v>1</v>
      </c>
      <c r="K459" t="s">
        <v>552</v>
      </c>
      <c r="L459" t="s">
        <v>27</v>
      </c>
    </row>
    <row r="460" spans="1:12" x14ac:dyDescent="0.35">
      <c r="A460">
        <v>3044280</v>
      </c>
      <c r="B460" t="s">
        <v>1506</v>
      </c>
      <c r="C460" t="str">
        <f>"9783110135800"</f>
        <v>9783110135800</v>
      </c>
      <c r="D460" t="str">
        <f>"9783110869668"</f>
        <v>9783110869668</v>
      </c>
      <c r="E460" t="s">
        <v>346</v>
      </c>
      <c r="F460" t="s">
        <v>346</v>
      </c>
      <c r="G460" s="1">
        <v>41402</v>
      </c>
      <c r="H460" s="1">
        <v>41571</v>
      </c>
      <c r="I460" t="s">
        <v>189</v>
      </c>
      <c r="J460">
        <v>1</v>
      </c>
      <c r="K460" t="s">
        <v>552</v>
      </c>
      <c r="L460" t="s">
        <v>20</v>
      </c>
    </row>
    <row r="461" spans="1:12" x14ac:dyDescent="0.35">
      <c r="A461">
        <v>3044281</v>
      </c>
      <c r="B461" t="s">
        <v>1507</v>
      </c>
      <c r="C461" t="str">
        <f>"9783110113679"</f>
        <v>9783110113679</v>
      </c>
      <c r="D461" t="str">
        <f>"9783110892024"</f>
        <v>9783110892024</v>
      </c>
      <c r="E461" t="s">
        <v>346</v>
      </c>
      <c r="F461" t="s">
        <v>346</v>
      </c>
      <c r="G461" s="1">
        <v>31959</v>
      </c>
      <c r="H461" s="1">
        <v>41571</v>
      </c>
      <c r="I461" t="s">
        <v>189</v>
      </c>
      <c r="J461">
        <v>1</v>
      </c>
      <c r="K461" t="s">
        <v>552</v>
      </c>
      <c r="L461" t="s">
        <v>1508</v>
      </c>
    </row>
    <row r="462" spans="1:12" x14ac:dyDescent="0.35">
      <c r="A462">
        <v>3044288</v>
      </c>
      <c r="B462" t="s">
        <v>1509</v>
      </c>
      <c r="C462" t="str">
        <f>"9783110060072"</f>
        <v>9783110060072</v>
      </c>
      <c r="D462" t="str">
        <f>"9783110888249"</f>
        <v>9783110888249</v>
      </c>
      <c r="E462" t="s">
        <v>346</v>
      </c>
      <c r="F462" t="s">
        <v>346</v>
      </c>
      <c r="G462" s="1">
        <v>41311</v>
      </c>
      <c r="H462" s="1">
        <v>41571</v>
      </c>
      <c r="I462" t="s">
        <v>189</v>
      </c>
      <c r="J462">
        <v>1</v>
      </c>
      <c r="K462" t="s">
        <v>552</v>
      </c>
      <c r="L462" t="s">
        <v>1510</v>
      </c>
    </row>
    <row r="463" spans="1:12" x14ac:dyDescent="0.35">
      <c r="A463">
        <v>3044294</v>
      </c>
      <c r="B463" t="s">
        <v>1511</v>
      </c>
      <c r="C463" t="str">
        <f>"9783110083644"</f>
        <v>9783110083644</v>
      </c>
      <c r="D463" t="str">
        <f>"9783110873344"</f>
        <v>9783110873344</v>
      </c>
      <c r="E463" t="s">
        <v>346</v>
      </c>
      <c r="F463" t="s">
        <v>346</v>
      </c>
      <c r="G463" s="1">
        <v>29342</v>
      </c>
      <c r="H463" s="1">
        <v>41571</v>
      </c>
      <c r="I463" t="s">
        <v>189</v>
      </c>
      <c r="J463">
        <v>1</v>
      </c>
      <c r="K463" t="s">
        <v>552</v>
      </c>
      <c r="L463" t="s">
        <v>29</v>
      </c>
    </row>
    <row r="464" spans="1:12" x14ac:dyDescent="0.35">
      <c r="A464">
        <v>3044295</v>
      </c>
      <c r="B464" t="s">
        <v>1512</v>
      </c>
      <c r="C464" t="str">
        <f>"9783110121797"</f>
        <v>9783110121797</v>
      </c>
      <c r="D464" t="str">
        <f>"9783110890877"</f>
        <v>9783110890877</v>
      </c>
      <c r="E464" t="s">
        <v>346</v>
      </c>
      <c r="F464" t="s">
        <v>346</v>
      </c>
      <c r="G464" s="1">
        <v>41311</v>
      </c>
      <c r="H464" s="1">
        <v>41571</v>
      </c>
      <c r="I464" t="s">
        <v>189</v>
      </c>
      <c r="J464">
        <v>1</v>
      </c>
      <c r="K464" t="s">
        <v>552</v>
      </c>
      <c r="L464" t="s">
        <v>1513</v>
      </c>
    </row>
    <row r="465" spans="1:13" x14ac:dyDescent="0.35">
      <c r="A465">
        <v>3044302</v>
      </c>
      <c r="B465" t="s">
        <v>1514</v>
      </c>
      <c r="C465" t="str">
        <f>"9783110095555"</f>
        <v>9783110095555</v>
      </c>
      <c r="D465" t="str">
        <f>"9783110875171"</f>
        <v>9783110875171</v>
      </c>
      <c r="E465" t="s">
        <v>346</v>
      </c>
      <c r="F465" t="s">
        <v>346</v>
      </c>
      <c r="G465" s="1">
        <v>30195</v>
      </c>
      <c r="H465" s="1">
        <v>41571</v>
      </c>
      <c r="I465" t="s">
        <v>189</v>
      </c>
      <c r="J465">
        <v>1</v>
      </c>
      <c r="K465" t="s">
        <v>552</v>
      </c>
      <c r="L465" t="s">
        <v>1515</v>
      </c>
    </row>
    <row r="466" spans="1:13" x14ac:dyDescent="0.35">
      <c r="A466">
        <v>3044317</v>
      </c>
      <c r="B466" t="s">
        <v>1516</v>
      </c>
      <c r="C466" t="str">
        <f>"9783110060089"</f>
        <v>9783110060089</v>
      </c>
      <c r="D466" t="str">
        <f>"9783110888256"</f>
        <v>9783110888256</v>
      </c>
      <c r="E466" t="s">
        <v>346</v>
      </c>
      <c r="F466" t="s">
        <v>346</v>
      </c>
      <c r="G466" s="1">
        <v>27515</v>
      </c>
      <c r="H466" s="1">
        <v>41571</v>
      </c>
      <c r="I466" t="s">
        <v>189</v>
      </c>
      <c r="J466">
        <v>1</v>
      </c>
      <c r="K466" t="s">
        <v>552</v>
      </c>
      <c r="L466" t="s">
        <v>1517</v>
      </c>
    </row>
    <row r="467" spans="1:13" x14ac:dyDescent="0.35">
      <c r="A467">
        <v>3044319</v>
      </c>
      <c r="B467" t="s">
        <v>1518</v>
      </c>
      <c r="C467" t="str">
        <f>"9783110171921"</f>
        <v>9783110171921</v>
      </c>
      <c r="D467" t="str">
        <f>"9783110879964"</f>
        <v>9783110879964</v>
      </c>
      <c r="E467" t="s">
        <v>346</v>
      </c>
      <c r="F467" t="s">
        <v>346</v>
      </c>
      <c r="G467" s="1">
        <v>41323</v>
      </c>
      <c r="H467" s="1">
        <v>41571</v>
      </c>
      <c r="I467" t="s">
        <v>189</v>
      </c>
      <c r="J467">
        <v>1</v>
      </c>
      <c r="K467" t="s">
        <v>552</v>
      </c>
      <c r="L467" t="s">
        <v>1519</v>
      </c>
    </row>
    <row r="468" spans="1:13" x14ac:dyDescent="0.35">
      <c r="A468">
        <v>3044327</v>
      </c>
      <c r="B468" t="s">
        <v>1520</v>
      </c>
      <c r="C468" t="str">
        <f>"9783110165869"</f>
        <v>9783110165869</v>
      </c>
      <c r="D468" t="str">
        <f>"9783110869996"</f>
        <v>9783110869996</v>
      </c>
      <c r="E468" t="s">
        <v>346</v>
      </c>
      <c r="F468" t="s">
        <v>346</v>
      </c>
      <c r="G468" s="1">
        <v>41323</v>
      </c>
      <c r="H468" s="1">
        <v>41571</v>
      </c>
      <c r="I468" t="s">
        <v>189</v>
      </c>
      <c r="J468">
        <v>1</v>
      </c>
      <c r="K468" t="s">
        <v>552</v>
      </c>
      <c r="L468" t="s">
        <v>1521</v>
      </c>
    </row>
    <row r="469" spans="1:13" x14ac:dyDescent="0.35">
      <c r="A469">
        <v>3044336</v>
      </c>
      <c r="B469" t="s">
        <v>1522</v>
      </c>
      <c r="C469" t="str">
        <f>"9783110042238"</f>
        <v>9783110042238</v>
      </c>
      <c r="D469" t="str">
        <f>"9783110890211"</f>
        <v>9783110890211</v>
      </c>
      <c r="E469" t="s">
        <v>346</v>
      </c>
      <c r="F469" t="s">
        <v>346</v>
      </c>
      <c r="G469" s="1">
        <v>41323</v>
      </c>
      <c r="H469" s="1">
        <v>41571</v>
      </c>
      <c r="I469" t="s">
        <v>189</v>
      </c>
      <c r="J469">
        <v>1</v>
      </c>
      <c r="K469" t="s">
        <v>552</v>
      </c>
      <c r="L469" t="s">
        <v>1523</v>
      </c>
    </row>
    <row r="470" spans="1:13" x14ac:dyDescent="0.35">
      <c r="A470">
        <v>3044347</v>
      </c>
      <c r="B470" t="s">
        <v>1524</v>
      </c>
      <c r="C470" t="str">
        <f>"9783110060096"</f>
        <v>9783110060096</v>
      </c>
      <c r="D470" t="str">
        <f>"9783110888263"</f>
        <v>9783110888263</v>
      </c>
      <c r="E470" t="s">
        <v>346</v>
      </c>
      <c r="F470" t="s">
        <v>346</v>
      </c>
      <c r="G470" s="1">
        <v>41311</v>
      </c>
      <c r="H470" s="1">
        <v>41571</v>
      </c>
      <c r="I470" t="s">
        <v>189</v>
      </c>
      <c r="J470">
        <v>1</v>
      </c>
      <c r="K470" t="s">
        <v>552</v>
      </c>
      <c r="L470" t="s">
        <v>1525</v>
      </c>
    </row>
    <row r="471" spans="1:13" x14ac:dyDescent="0.35">
      <c r="A471">
        <v>3044367</v>
      </c>
      <c r="B471" t="s">
        <v>1526</v>
      </c>
      <c r="C471" t="str">
        <f>"9783110060294"</f>
        <v>9783110060294</v>
      </c>
      <c r="D471" t="str">
        <f>"9783110882957"</f>
        <v>9783110882957</v>
      </c>
      <c r="E471" t="s">
        <v>346</v>
      </c>
      <c r="F471" t="s">
        <v>346</v>
      </c>
      <c r="G471" s="1">
        <v>41323</v>
      </c>
      <c r="H471" s="1">
        <v>41571</v>
      </c>
      <c r="I471" t="s">
        <v>189</v>
      </c>
      <c r="J471">
        <v>1</v>
      </c>
      <c r="K471" t="s">
        <v>552</v>
      </c>
      <c r="L471" t="s">
        <v>31</v>
      </c>
    </row>
    <row r="472" spans="1:13" x14ac:dyDescent="0.35">
      <c r="A472">
        <v>3044379</v>
      </c>
      <c r="B472" t="s">
        <v>1527</v>
      </c>
      <c r="C472" t="str">
        <f>"9783110060249"</f>
        <v>9783110060249</v>
      </c>
      <c r="D472" t="str">
        <f>"9783110874907"</f>
        <v>9783110874907</v>
      </c>
      <c r="E472" t="s">
        <v>346</v>
      </c>
      <c r="F472" t="s">
        <v>346</v>
      </c>
      <c r="G472" s="1">
        <v>41311</v>
      </c>
      <c r="H472" s="1">
        <v>41571</v>
      </c>
      <c r="I472" t="s">
        <v>189</v>
      </c>
      <c r="J472">
        <v>1</v>
      </c>
      <c r="K472" t="s">
        <v>552</v>
      </c>
      <c r="L472" t="s">
        <v>1528</v>
      </c>
    </row>
    <row r="473" spans="1:13" x14ac:dyDescent="0.35">
      <c r="A473">
        <v>3044384</v>
      </c>
      <c r="B473" t="s">
        <v>1529</v>
      </c>
      <c r="C473" t="str">
        <f>"9783110036848"</f>
        <v>9783110036848</v>
      </c>
      <c r="D473" t="str">
        <f>"9783110892314"</f>
        <v>9783110892314</v>
      </c>
      <c r="E473" t="s">
        <v>346</v>
      </c>
      <c r="F473" t="s">
        <v>346</v>
      </c>
      <c r="G473" s="1">
        <v>41323</v>
      </c>
      <c r="H473" s="1">
        <v>41571</v>
      </c>
      <c r="I473" t="s">
        <v>189</v>
      </c>
      <c r="J473">
        <v>1</v>
      </c>
      <c r="K473" t="s">
        <v>552</v>
      </c>
      <c r="L473" t="s">
        <v>1530</v>
      </c>
    </row>
    <row r="474" spans="1:13" x14ac:dyDescent="0.35">
      <c r="A474">
        <v>3044409</v>
      </c>
      <c r="B474" t="s">
        <v>1531</v>
      </c>
      <c r="C474" t="str">
        <f>"9783110060256"</f>
        <v>9783110060256</v>
      </c>
      <c r="D474" t="str">
        <f>"9783110874914"</f>
        <v>9783110874914</v>
      </c>
      <c r="E474" t="s">
        <v>346</v>
      </c>
      <c r="F474" t="s">
        <v>346</v>
      </c>
      <c r="G474" s="1">
        <v>41323</v>
      </c>
      <c r="H474" s="1">
        <v>41571</v>
      </c>
      <c r="I474" t="s">
        <v>189</v>
      </c>
      <c r="J474">
        <v>1</v>
      </c>
      <c r="K474" t="s">
        <v>552</v>
      </c>
      <c r="L474" t="s">
        <v>30</v>
      </c>
    </row>
    <row r="475" spans="1:13" x14ac:dyDescent="0.35">
      <c r="A475">
        <v>3044427</v>
      </c>
      <c r="B475" t="s">
        <v>1532</v>
      </c>
      <c r="C475" t="str">
        <f>"9783110060225"</f>
        <v>9783110060225</v>
      </c>
      <c r="D475" t="str">
        <f>"9783110875119"</f>
        <v>9783110875119</v>
      </c>
      <c r="E475" t="s">
        <v>346</v>
      </c>
      <c r="F475" t="s">
        <v>346</v>
      </c>
      <c r="G475" s="1">
        <v>24016</v>
      </c>
      <c r="H475" s="1">
        <v>41571</v>
      </c>
      <c r="I475" t="s">
        <v>189</v>
      </c>
      <c r="J475">
        <v>1</v>
      </c>
      <c r="K475" t="s">
        <v>552</v>
      </c>
      <c r="L475" t="s">
        <v>1475</v>
      </c>
    </row>
    <row r="476" spans="1:13" x14ac:dyDescent="0.35">
      <c r="A476">
        <v>3044432</v>
      </c>
      <c r="B476" t="s">
        <v>1533</v>
      </c>
      <c r="C476" t="str">
        <f>"9783110156201"</f>
        <v>9783110156201</v>
      </c>
      <c r="D476" t="str">
        <f>"9783110890501"</f>
        <v>9783110890501</v>
      </c>
      <c r="E476" t="s">
        <v>346</v>
      </c>
      <c r="F476" t="s">
        <v>346</v>
      </c>
      <c r="G476" s="1">
        <v>35522</v>
      </c>
      <c r="H476" s="1">
        <v>41571</v>
      </c>
      <c r="I476" t="s">
        <v>189</v>
      </c>
      <c r="J476">
        <v>1</v>
      </c>
      <c r="K476" t="s">
        <v>552</v>
      </c>
      <c r="L476" t="s">
        <v>1534</v>
      </c>
    </row>
    <row r="477" spans="1:13" x14ac:dyDescent="0.35">
      <c r="A477">
        <v>3045864</v>
      </c>
      <c r="B477" t="s">
        <v>1535</v>
      </c>
      <c r="C477" t="str">
        <f>"9783486564808"</f>
        <v>9783486564808</v>
      </c>
      <c r="D477" t="str">
        <f>"9783486718324"</f>
        <v>9783486718324</v>
      </c>
      <c r="E477" t="s">
        <v>415</v>
      </c>
      <c r="F477" t="s">
        <v>665</v>
      </c>
      <c r="G477" s="1">
        <v>36741</v>
      </c>
      <c r="H477" s="1">
        <v>41788</v>
      </c>
      <c r="I477" t="s">
        <v>189</v>
      </c>
      <c r="J477">
        <v>1</v>
      </c>
      <c r="K477" t="s">
        <v>1536</v>
      </c>
      <c r="L477" t="s">
        <v>1537</v>
      </c>
    </row>
    <row r="478" spans="1:13" x14ac:dyDescent="0.35">
      <c r="A478">
        <v>3045867</v>
      </c>
      <c r="B478" t="s">
        <v>1538</v>
      </c>
      <c r="C478" t="str">
        <f>"9783486564181"</f>
        <v>9783486564181</v>
      </c>
      <c r="D478" t="str">
        <f>"9783486718331"</f>
        <v>9783486718331</v>
      </c>
      <c r="E478" t="s">
        <v>415</v>
      </c>
      <c r="F478" t="s">
        <v>665</v>
      </c>
      <c r="G478" s="1">
        <v>36488</v>
      </c>
      <c r="H478" s="1">
        <v>41788</v>
      </c>
      <c r="I478" t="s">
        <v>189</v>
      </c>
      <c r="J478">
        <v>1</v>
      </c>
      <c r="K478" t="s">
        <v>1536</v>
      </c>
      <c r="L478" t="s">
        <v>1539</v>
      </c>
      <c r="M478" t="s">
        <v>210</v>
      </c>
    </row>
    <row r="479" spans="1:13" x14ac:dyDescent="0.35">
      <c r="A479">
        <v>3045869</v>
      </c>
      <c r="B479" t="s">
        <v>1540</v>
      </c>
      <c r="C479" t="str">
        <f>"9783486564983"</f>
        <v>9783486564983</v>
      </c>
      <c r="D479" t="str">
        <f>"9783486718171"</f>
        <v>9783486718171</v>
      </c>
      <c r="E479" t="s">
        <v>415</v>
      </c>
      <c r="F479" t="s">
        <v>665</v>
      </c>
      <c r="G479" s="1">
        <v>36866</v>
      </c>
      <c r="H479" s="1">
        <v>41788</v>
      </c>
      <c r="I479" t="s">
        <v>189</v>
      </c>
      <c r="J479">
        <v>1</v>
      </c>
      <c r="K479" t="s">
        <v>1536</v>
      </c>
      <c r="L479" t="s">
        <v>1541</v>
      </c>
    </row>
    <row r="480" spans="1:13" x14ac:dyDescent="0.35">
      <c r="A480">
        <v>3045875</v>
      </c>
      <c r="B480" t="s">
        <v>1542</v>
      </c>
      <c r="C480" t="str">
        <f>"9783486563221"</f>
        <v>9783486563221</v>
      </c>
      <c r="D480" t="str">
        <f>"9783486718201"</f>
        <v>9783486718201</v>
      </c>
      <c r="E480" t="s">
        <v>415</v>
      </c>
      <c r="F480" t="s">
        <v>665</v>
      </c>
      <c r="G480" s="1">
        <v>35893</v>
      </c>
      <c r="H480" s="1">
        <v>41788</v>
      </c>
      <c r="I480" t="s">
        <v>189</v>
      </c>
      <c r="J480">
        <v>1</v>
      </c>
      <c r="K480" t="s">
        <v>1536</v>
      </c>
      <c r="L480" t="s">
        <v>1541</v>
      </c>
    </row>
    <row r="481" spans="1:40" x14ac:dyDescent="0.35">
      <c r="A481">
        <v>3045878</v>
      </c>
      <c r="B481" t="s">
        <v>1543</v>
      </c>
      <c r="C481" t="str">
        <f>"9783486563085"</f>
        <v>9783486563085</v>
      </c>
      <c r="D481" t="str">
        <f>"9783486718348"</f>
        <v>9783486718348</v>
      </c>
      <c r="E481" t="s">
        <v>415</v>
      </c>
      <c r="F481" t="s">
        <v>665</v>
      </c>
      <c r="G481" s="1">
        <v>35739</v>
      </c>
      <c r="H481" s="1">
        <v>41788</v>
      </c>
      <c r="I481" t="s">
        <v>189</v>
      </c>
      <c r="J481">
        <v>1</v>
      </c>
      <c r="K481" t="s">
        <v>1536</v>
      </c>
      <c r="L481" t="s">
        <v>40</v>
      </c>
    </row>
    <row r="482" spans="1:40" x14ac:dyDescent="0.35">
      <c r="A482">
        <v>3045883</v>
      </c>
      <c r="B482" t="s">
        <v>1544</v>
      </c>
      <c r="C482" t="str">
        <f>"9783486564792"</f>
        <v>9783486564792</v>
      </c>
      <c r="D482" t="str">
        <f>"9783486718188"</f>
        <v>9783486718188</v>
      </c>
      <c r="E482" t="s">
        <v>415</v>
      </c>
      <c r="F482" t="s">
        <v>665</v>
      </c>
      <c r="G482" s="1">
        <v>36537</v>
      </c>
      <c r="H482" s="1">
        <v>41788</v>
      </c>
      <c r="I482" t="s">
        <v>189</v>
      </c>
      <c r="J482">
        <v>1</v>
      </c>
      <c r="K482" t="s">
        <v>1536</v>
      </c>
      <c r="L482" t="s">
        <v>32</v>
      </c>
    </row>
    <row r="483" spans="1:40" x14ac:dyDescent="0.35">
      <c r="A483">
        <v>3045886</v>
      </c>
      <c r="B483" t="s">
        <v>1545</v>
      </c>
      <c r="C483" t="str">
        <f>"9783486564112"</f>
        <v>9783486564112</v>
      </c>
      <c r="D483" t="str">
        <f>"9783486718195"</f>
        <v>9783486718195</v>
      </c>
      <c r="E483" t="s">
        <v>415</v>
      </c>
      <c r="F483" t="s">
        <v>665</v>
      </c>
      <c r="G483" s="1">
        <v>36173</v>
      </c>
      <c r="H483" s="1">
        <v>41788</v>
      </c>
      <c r="I483" t="s">
        <v>189</v>
      </c>
      <c r="J483">
        <v>1</v>
      </c>
      <c r="K483" t="s">
        <v>1536</v>
      </c>
      <c r="L483" t="s">
        <v>33</v>
      </c>
    </row>
    <row r="484" spans="1:40" x14ac:dyDescent="0.35">
      <c r="A484">
        <v>3045889</v>
      </c>
      <c r="B484" t="s">
        <v>1546</v>
      </c>
      <c r="C484" t="str">
        <f>"9783486561555"</f>
        <v>9783486561555</v>
      </c>
      <c r="D484" t="str">
        <f>"9783486718218"</f>
        <v>9783486718218</v>
      </c>
      <c r="E484" t="s">
        <v>415</v>
      </c>
      <c r="F484" t="s">
        <v>665</v>
      </c>
      <c r="G484" s="1">
        <v>35459</v>
      </c>
      <c r="H484" s="1">
        <v>41788</v>
      </c>
      <c r="I484" t="s">
        <v>189</v>
      </c>
      <c r="J484">
        <v>1</v>
      </c>
      <c r="K484" t="s">
        <v>1536</v>
      </c>
      <c r="L484" t="s">
        <v>1096</v>
      </c>
    </row>
    <row r="485" spans="1:40" x14ac:dyDescent="0.35">
      <c r="A485">
        <v>3045894</v>
      </c>
      <c r="B485" t="s">
        <v>1547</v>
      </c>
      <c r="C485" t="str">
        <f>"9783486560718"</f>
        <v>9783486560718</v>
      </c>
      <c r="D485" t="str">
        <f>"9783486718225"</f>
        <v>9783486718225</v>
      </c>
      <c r="E485" t="s">
        <v>415</v>
      </c>
      <c r="F485" t="s">
        <v>665</v>
      </c>
      <c r="G485" s="1">
        <v>35102</v>
      </c>
      <c r="H485" s="1">
        <v>41788</v>
      </c>
      <c r="I485" t="s">
        <v>189</v>
      </c>
      <c r="J485">
        <v>1</v>
      </c>
      <c r="K485" t="s">
        <v>1536</v>
      </c>
      <c r="L485" t="s">
        <v>33</v>
      </c>
    </row>
    <row r="486" spans="1:40" x14ac:dyDescent="0.35">
      <c r="A486">
        <v>3045898</v>
      </c>
      <c r="B486" t="s">
        <v>1548</v>
      </c>
      <c r="C486" t="str">
        <f>"9783486559644"</f>
        <v>9783486559644</v>
      </c>
      <c r="D486" t="str">
        <f>"9783486718294"</f>
        <v>9783486718294</v>
      </c>
      <c r="E486" t="s">
        <v>415</v>
      </c>
      <c r="F486" t="s">
        <v>665</v>
      </c>
      <c r="G486" s="1">
        <v>34234</v>
      </c>
      <c r="H486" s="1">
        <v>41788</v>
      </c>
      <c r="I486" t="s">
        <v>189</v>
      </c>
      <c r="J486">
        <v>1</v>
      </c>
      <c r="K486" t="s">
        <v>1536</v>
      </c>
      <c r="L486" t="s">
        <v>33</v>
      </c>
    </row>
    <row r="487" spans="1:40" x14ac:dyDescent="0.35">
      <c r="A487">
        <v>3045903</v>
      </c>
      <c r="B487" t="s">
        <v>1549</v>
      </c>
      <c r="C487" t="str">
        <f>"9783486565607"</f>
        <v>9783486565607</v>
      </c>
      <c r="D487" t="str">
        <f>"9783486718317"</f>
        <v>9783486718317</v>
      </c>
      <c r="E487" t="s">
        <v>415</v>
      </c>
      <c r="F487" t="s">
        <v>665</v>
      </c>
      <c r="G487" s="1">
        <v>37230</v>
      </c>
      <c r="H487" s="1">
        <v>41788</v>
      </c>
      <c r="I487" t="s">
        <v>189</v>
      </c>
      <c r="J487">
        <v>1</v>
      </c>
      <c r="K487" t="s">
        <v>1536</v>
      </c>
      <c r="L487" t="s">
        <v>1539</v>
      </c>
    </row>
    <row r="488" spans="1:40" x14ac:dyDescent="0.35">
      <c r="A488">
        <v>3045986</v>
      </c>
      <c r="B488" t="s">
        <v>1550</v>
      </c>
      <c r="C488" t="str">
        <f>"9783486583281"</f>
        <v>9783486583281</v>
      </c>
      <c r="D488" t="str">
        <f>"9783486707526"</f>
        <v>9783486707526</v>
      </c>
      <c r="E488" t="s">
        <v>415</v>
      </c>
      <c r="F488" t="s">
        <v>665</v>
      </c>
      <c r="G488" s="1">
        <v>39405</v>
      </c>
      <c r="H488" s="1">
        <v>41832</v>
      </c>
      <c r="I488" t="s">
        <v>189</v>
      </c>
      <c r="J488">
        <v>1</v>
      </c>
      <c r="K488" t="s">
        <v>990</v>
      </c>
      <c r="L488" t="s">
        <v>1551</v>
      </c>
    </row>
    <row r="489" spans="1:40" x14ac:dyDescent="0.35">
      <c r="A489">
        <v>3046018</v>
      </c>
      <c r="B489" t="s">
        <v>1552</v>
      </c>
      <c r="C489" t="str">
        <f>"9783486580389"</f>
        <v>9783486580389</v>
      </c>
      <c r="D489" t="str">
        <f>"9783486707632"</f>
        <v>9783486707632</v>
      </c>
      <c r="E489" t="s">
        <v>415</v>
      </c>
      <c r="F489" t="s">
        <v>665</v>
      </c>
      <c r="G489" s="1">
        <v>39132</v>
      </c>
      <c r="H489" s="1">
        <v>41832</v>
      </c>
      <c r="I489" t="s">
        <v>189</v>
      </c>
      <c r="J489">
        <v>1</v>
      </c>
      <c r="K489" t="s">
        <v>990</v>
      </c>
      <c r="L489" t="s">
        <v>1553</v>
      </c>
    </row>
    <row r="490" spans="1:40" x14ac:dyDescent="0.35">
      <c r="A490">
        <v>3048823</v>
      </c>
      <c r="B490" t="s">
        <v>1554</v>
      </c>
      <c r="C490" t="str">
        <f>"9783486579819"</f>
        <v>9783486579819</v>
      </c>
      <c r="D490" t="str">
        <f>"9783486840148"</f>
        <v>9783486840148</v>
      </c>
      <c r="E490" t="s">
        <v>415</v>
      </c>
      <c r="F490" t="s">
        <v>665</v>
      </c>
      <c r="G490" s="1">
        <v>38945</v>
      </c>
      <c r="H490" s="1">
        <v>42019</v>
      </c>
      <c r="I490" t="s">
        <v>189</v>
      </c>
      <c r="J490">
        <v>1</v>
      </c>
      <c r="K490" t="s">
        <v>997</v>
      </c>
      <c r="L490" t="s">
        <v>1555</v>
      </c>
      <c r="M490" t="s">
        <v>239</v>
      </c>
      <c r="N490" t="s">
        <v>1556</v>
      </c>
      <c r="O490" s="2">
        <v>9443825</v>
      </c>
      <c r="P490" t="s">
        <v>1557</v>
      </c>
    </row>
    <row r="491" spans="1:40" x14ac:dyDescent="0.35">
      <c r="A491">
        <v>3048837</v>
      </c>
      <c r="B491" t="s">
        <v>1558</v>
      </c>
      <c r="C491" t="str">
        <f>"9783486591354"</f>
        <v>9783486591354</v>
      </c>
      <c r="D491" t="str">
        <f>"9783486851502"</f>
        <v>9783486851502</v>
      </c>
      <c r="E491" t="s">
        <v>415</v>
      </c>
      <c r="F491" t="s">
        <v>665</v>
      </c>
      <c r="G491" s="1">
        <v>40107</v>
      </c>
      <c r="H491" s="1">
        <v>42019</v>
      </c>
      <c r="I491" t="s">
        <v>189</v>
      </c>
      <c r="J491">
        <v>1</v>
      </c>
      <c r="K491" t="s">
        <v>997</v>
      </c>
      <c r="L491" t="s">
        <v>1041</v>
      </c>
    </row>
    <row r="492" spans="1:40" x14ac:dyDescent="0.35">
      <c r="A492">
        <v>3048851</v>
      </c>
      <c r="B492" t="s">
        <v>1559</v>
      </c>
      <c r="C492" t="str">
        <f>"9783486582949"</f>
        <v>9783486582949</v>
      </c>
      <c r="D492" t="str">
        <f>"9783486843583"</f>
        <v>9783486843583</v>
      </c>
      <c r="E492" t="s">
        <v>415</v>
      </c>
      <c r="F492" t="s">
        <v>665</v>
      </c>
      <c r="G492" s="1">
        <v>39524</v>
      </c>
      <c r="H492" s="1">
        <v>42019</v>
      </c>
      <c r="I492" t="s">
        <v>189</v>
      </c>
      <c r="J492">
        <v>1</v>
      </c>
      <c r="K492" t="s">
        <v>997</v>
      </c>
      <c r="L492" t="s">
        <v>1560</v>
      </c>
      <c r="M492" t="s">
        <v>239</v>
      </c>
      <c r="N492" t="s">
        <v>1561</v>
      </c>
      <c r="O492" s="2">
        <v>94355106</v>
      </c>
      <c r="P492" t="s">
        <v>1562</v>
      </c>
    </row>
    <row r="493" spans="1:40" x14ac:dyDescent="0.35">
      <c r="A493">
        <v>3048865</v>
      </c>
      <c r="B493" t="s">
        <v>1563</v>
      </c>
      <c r="C493" t="str">
        <f>"9783486580273"</f>
        <v>9783486580273</v>
      </c>
      <c r="D493" t="str">
        <f>"9783486840568"</f>
        <v>9783486840568</v>
      </c>
      <c r="E493" t="s">
        <v>415</v>
      </c>
      <c r="F493" t="s">
        <v>665</v>
      </c>
      <c r="G493" s="1">
        <v>39636</v>
      </c>
      <c r="H493" s="1">
        <v>42019</v>
      </c>
      <c r="I493" t="s">
        <v>189</v>
      </c>
      <c r="J493">
        <v>1</v>
      </c>
      <c r="K493" t="s">
        <v>997</v>
      </c>
      <c r="L493" t="s">
        <v>1564</v>
      </c>
      <c r="M493" t="s">
        <v>239</v>
      </c>
    </row>
    <row r="494" spans="1:40" x14ac:dyDescent="0.35">
      <c r="A494">
        <v>3048892</v>
      </c>
      <c r="B494" t="s">
        <v>1565</v>
      </c>
      <c r="C494" t="str">
        <f>"9783486580280"</f>
        <v>9783486580280</v>
      </c>
      <c r="D494" t="str">
        <f>"9783486840582"</f>
        <v>9783486840582</v>
      </c>
      <c r="E494" t="s">
        <v>415</v>
      </c>
      <c r="F494" t="s">
        <v>665</v>
      </c>
      <c r="G494" s="1">
        <v>39090</v>
      </c>
      <c r="H494" s="1">
        <v>42019</v>
      </c>
      <c r="I494" t="s">
        <v>189</v>
      </c>
      <c r="J494">
        <v>1</v>
      </c>
      <c r="K494" t="s">
        <v>997</v>
      </c>
      <c r="L494" t="s">
        <v>1566</v>
      </c>
      <c r="M494" t="s">
        <v>239</v>
      </c>
      <c r="N494" t="s">
        <v>1567</v>
      </c>
      <c r="O494" s="2">
        <v>944028092</v>
      </c>
      <c r="P494" t="s">
        <v>1568</v>
      </c>
    </row>
    <row r="495" spans="1:40" x14ac:dyDescent="0.35">
      <c r="A495">
        <v>3048902</v>
      </c>
      <c r="B495" t="s">
        <v>1569</v>
      </c>
      <c r="C495" t="str">
        <f>"9783486587951"</f>
        <v>9783486587951</v>
      </c>
      <c r="D495" t="str">
        <f>"9783486848403"</f>
        <v>9783486848403</v>
      </c>
      <c r="E495" t="s">
        <v>415</v>
      </c>
      <c r="F495" t="s">
        <v>665</v>
      </c>
      <c r="G495" s="1">
        <v>39727</v>
      </c>
      <c r="H495" s="1">
        <v>42019</v>
      </c>
      <c r="I495" t="s">
        <v>189</v>
      </c>
      <c r="J495">
        <v>1</v>
      </c>
      <c r="K495" t="s">
        <v>997</v>
      </c>
      <c r="L495" t="s">
        <v>1570</v>
      </c>
      <c r="M495" t="s">
        <v>239</v>
      </c>
      <c r="N495" t="s">
        <v>1571</v>
      </c>
      <c r="O495" s="2">
        <v>9430071243</v>
      </c>
      <c r="P495" t="s">
        <v>1572</v>
      </c>
      <c r="Q495" t="s">
        <v>408</v>
      </c>
      <c r="R495" t="s">
        <v>261</v>
      </c>
      <c r="S495" t="s">
        <v>261</v>
      </c>
      <c r="T495" t="s">
        <v>261</v>
      </c>
      <c r="U495" t="s">
        <v>262</v>
      </c>
      <c r="V495" t="s">
        <v>262</v>
      </c>
      <c r="W495" t="s">
        <v>261</v>
      </c>
      <c r="X495" t="s">
        <v>262</v>
      </c>
      <c r="Y495" t="s">
        <v>261</v>
      </c>
      <c r="Z495" t="s">
        <v>409</v>
      </c>
      <c r="AA495" t="s">
        <v>409</v>
      </c>
      <c r="AB495" t="s">
        <v>409</v>
      </c>
      <c r="AC495" t="s">
        <v>409</v>
      </c>
      <c r="AD495" t="s">
        <v>262</v>
      </c>
      <c r="AE495">
        <v>11004467</v>
      </c>
      <c r="AH495" t="s">
        <v>262</v>
      </c>
      <c r="AI495" t="s">
        <v>262</v>
      </c>
      <c r="AJ495" t="s">
        <v>261</v>
      </c>
      <c r="AK495" t="s">
        <v>261</v>
      </c>
      <c r="AM495" t="s">
        <v>262</v>
      </c>
      <c r="AN495" t="s">
        <v>1573</v>
      </c>
    </row>
    <row r="496" spans="1:40" x14ac:dyDescent="0.35">
      <c r="A496">
        <v>3049193</v>
      </c>
      <c r="B496" t="s">
        <v>1574</v>
      </c>
      <c r="C496" t="str">
        <f>"9783486565881"</f>
        <v>9783486565881</v>
      </c>
      <c r="D496" t="str">
        <f>"9783486832846"</f>
        <v>9783486832846</v>
      </c>
      <c r="E496" t="s">
        <v>415</v>
      </c>
      <c r="F496" t="s">
        <v>665</v>
      </c>
      <c r="G496" s="1">
        <v>37326</v>
      </c>
      <c r="H496" s="1">
        <v>42027</v>
      </c>
      <c r="I496" t="s">
        <v>189</v>
      </c>
      <c r="J496">
        <v>1</v>
      </c>
      <c r="K496" t="s">
        <v>997</v>
      </c>
      <c r="L496" t="s">
        <v>1575</v>
      </c>
    </row>
    <row r="497" spans="1:40" x14ac:dyDescent="0.35">
      <c r="A497">
        <v>3049195</v>
      </c>
      <c r="B497" t="s">
        <v>1576</v>
      </c>
      <c r="C497" t="str">
        <f>"9783486575798"</f>
        <v>9783486575798</v>
      </c>
      <c r="D497" t="str">
        <f>"9783486835847"</f>
        <v>9783486835847</v>
      </c>
      <c r="E497" t="s">
        <v>415</v>
      </c>
      <c r="F497" t="s">
        <v>665</v>
      </c>
      <c r="G497" s="1">
        <v>38693</v>
      </c>
      <c r="H497" s="1">
        <v>42027</v>
      </c>
      <c r="I497" t="s">
        <v>189</v>
      </c>
      <c r="J497">
        <v>1</v>
      </c>
      <c r="K497" t="s">
        <v>997</v>
      </c>
      <c r="L497" t="s">
        <v>1577</v>
      </c>
      <c r="M497" t="s">
        <v>1578</v>
      </c>
      <c r="N497" t="s">
        <v>1579</v>
      </c>
      <c r="O497" s="2">
        <v>720103</v>
      </c>
      <c r="P497" t="s">
        <v>1580</v>
      </c>
    </row>
    <row r="498" spans="1:40" x14ac:dyDescent="0.35">
      <c r="A498">
        <v>3049223</v>
      </c>
      <c r="B498" t="s">
        <v>1581</v>
      </c>
      <c r="C498" t="str">
        <f>"9783486567397"</f>
        <v>9783486567397</v>
      </c>
      <c r="D498" t="str">
        <f>"9783486834185"</f>
        <v>9783486834185</v>
      </c>
      <c r="E498" t="s">
        <v>415</v>
      </c>
      <c r="F498" t="s">
        <v>665</v>
      </c>
      <c r="G498" s="1">
        <v>37832</v>
      </c>
      <c r="H498" s="1">
        <v>42027</v>
      </c>
      <c r="I498" t="s">
        <v>189</v>
      </c>
      <c r="J498">
        <v>1</v>
      </c>
      <c r="K498" t="s">
        <v>997</v>
      </c>
      <c r="L498" t="s">
        <v>1582</v>
      </c>
      <c r="M498" t="s">
        <v>578</v>
      </c>
      <c r="N498" t="s">
        <v>1583</v>
      </c>
      <c r="O498" s="2">
        <v>791430944</v>
      </c>
      <c r="P498" t="s">
        <v>1584</v>
      </c>
    </row>
    <row r="499" spans="1:40" x14ac:dyDescent="0.35">
      <c r="A499">
        <v>3049226</v>
      </c>
      <c r="B499" t="s">
        <v>1585</v>
      </c>
      <c r="C499" t="str">
        <f>"9783486576719"</f>
        <v>9783486576719</v>
      </c>
      <c r="D499" t="str">
        <f>"9783486836721"</f>
        <v>9783486836721</v>
      </c>
      <c r="E499" t="s">
        <v>415</v>
      </c>
      <c r="F499" t="s">
        <v>665</v>
      </c>
      <c r="G499" s="1">
        <v>38784</v>
      </c>
      <c r="H499" s="1">
        <v>42027</v>
      </c>
      <c r="I499" t="s">
        <v>189</v>
      </c>
      <c r="J499">
        <v>1</v>
      </c>
      <c r="K499" t="s">
        <v>997</v>
      </c>
      <c r="L499" t="s">
        <v>1586</v>
      </c>
    </row>
    <row r="500" spans="1:40" x14ac:dyDescent="0.35">
      <c r="A500">
        <v>3049258</v>
      </c>
      <c r="B500" t="s">
        <v>1587</v>
      </c>
      <c r="C500" t="str">
        <f>"9783486568448"</f>
        <v>9783486568448</v>
      </c>
      <c r="D500" t="str">
        <f>"9783486835588"</f>
        <v>9783486835588</v>
      </c>
      <c r="E500" t="s">
        <v>415</v>
      </c>
      <c r="F500" t="s">
        <v>665</v>
      </c>
      <c r="G500" s="1">
        <v>38217</v>
      </c>
      <c r="H500" s="1">
        <v>42027</v>
      </c>
      <c r="I500" t="s">
        <v>189</v>
      </c>
      <c r="J500">
        <v>1</v>
      </c>
      <c r="K500" t="s">
        <v>997</v>
      </c>
      <c r="L500" t="s">
        <v>1588</v>
      </c>
    </row>
    <row r="501" spans="1:40" x14ac:dyDescent="0.35">
      <c r="A501">
        <v>3049276</v>
      </c>
      <c r="B501" t="s">
        <v>1589</v>
      </c>
      <c r="C501" t="str">
        <f>"9783486566888"</f>
        <v>9783486566888</v>
      </c>
      <c r="D501" t="str">
        <f>"9783486833669"</f>
        <v>9783486833669</v>
      </c>
      <c r="E501" t="s">
        <v>415</v>
      </c>
      <c r="F501" t="s">
        <v>665</v>
      </c>
      <c r="G501" s="1">
        <v>37769</v>
      </c>
      <c r="H501" s="1">
        <v>42027</v>
      </c>
      <c r="I501" t="s">
        <v>189</v>
      </c>
      <c r="J501">
        <v>1</v>
      </c>
      <c r="K501" t="s">
        <v>997</v>
      </c>
      <c r="L501" t="s">
        <v>1590</v>
      </c>
      <c r="M501" t="s">
        <v>316</v>
      </c>
    </row>
    <row r="502" spans="1:40" x14ac:dyDescent="0.35">
      <c r="A502">
        <v>3110375</v>
      </c>
      <c r="B502" t="s">
        <v>1591</v>
      </c>
      <c r="C502" t="str">
        <f>"9781934843208"</f>
        <v>9781934843208</v>
      </c>
      <c r="D502" t="str">
        <f>"9781618110954"</f>
        <v>9781618110954</v>
      </c>
      <c r="E502" t="s">
        <v>1592</v>
      </c>
      <c r="F502" t="s">
        <v>1592</v>
      </c>
      <c r="G502" s="1">
        <v>39934</v>
      </c>
      <c r="H502" s="1">
        <v>40850</v>
      </c>
      <c r="I502" t="s">
        <v>189</v>
      </c>
      <c r="J502">
        <v>1</v>
      </c>
      <c r="K502" t="s">
        <v>1593</v>
      </c>
      <c r="L502" t="s">
        <v>1594</v>
      </c>
    </row>
    <row r="503" spans="1:40" x14ac:dyDescent="0.35">
      <c r="A503">
        <v>3110378</v>
      </c>
      <c r="B503" t="s">
        <v>1595</v>
      </c>
      <c r="C503" t="str">
        <f>"9781934843024"</f>
        <v>9781934843024</v>
      </c>
      <c r="D503" t="str">
        <f>"9781618110053"</f>
        <v>9781618110053</v>
      </c>
      <c r="E503" t="s">
        <v>1592</v>
      </c>
      <c r="F503" t="s">
        <v>1592</v>
      </c>
      <c r="G503" s="1">
        <v>39508</v>
      </c>
      <c r="H503" s="1">
        <v>40850</v>
      </c>
      <c r="I503" t="s">
        <v>189</v>
      </c>
      <c r="J503">
        <v>1</v>
      </c>
      <c r="K503" t="s">
        <v>1596</v>
      </c>
      <c r="L503" t="s">
        <v>1597</v>
      </c>
      <c r="M503" t="s">
        <v>219</v>
      </c>
      <c r="N503" t="s">
        <v>1598</v>
      </c>
      <c r="O503" t="s">
        <v>1599</v>
      </c>
      <c r="P503" t="s">
        <v>1600</v>
      </c>
    </row>
    <row r="504" spans="1:40" x14ac:dyDescent="0.35">
      <c r="A504">
        <v>3110387</v>
      </c>
      <c r="B504" t="s">
        <v>1601</v>
      </c>
      <c r="C504" t="str">
        <f>"9781934843239"</f>
        <v>9781934843239</v>
      </c>
      <c r="D504" t="str">
        <f>"9781618116987"</f>
        <v>9781618116987</v>
      </c>
      <c r="E504" t="s">
        <v>1592</v>
      </c>
      <c r="F504" t="s">
        <v>1592</v>
      </c>
      <c r="G504" s="1">
        <v>39692</v>
      </c>
      <c r="H504" s="1">
        <v>40850</v>
      </c>
      <c r="I504" t="s">
        <v>189</v>
      </c>
      <c r="J504">
        <v>1</v>
      </c>
      <c r="K504" t="s">
        <v>1596</v>
      </c>
      <c r="L504" t="s">
        <v>1602</v>
      </c>
    </row>
    <row r="505" spans="1:40" x14ac:dyDescent="0.35">
      <c r="A505">
        <v>3110388</v>
      </c>
      <c r="B505" t="s">
        <v>1603</v>
      </c>
      <c r="C505" t="str">
        <f>"9781934843659"</f>
        <v>9781934843659</v>
      </c>
      <c r="D505" t="str">
        <f>"9781618117052"</f>
        <v>9781618117052</v>
      </c>
      <c r="E505" t="s">
        <v>1592</v>
      </c>
      <c r="F505" t="s">
        <v>1592</v>
      </c>
      <c r="G505" s="1">
        <v>40057</v>
      </c>
      <c r="H505" s="1">
        <v>40850</v>
      </c>
      <c r="I505" t="s">
        <v>189</v>
      </c>
      <c r="J505">
        <v>1</v>
      </c>
      <c r="K505" t="s">
        <v>1596</v>
      </c>
      <c r="L505" t="s">
        <v>1604</v>
      </c>
      <c r="M505" t="s">
        <v>676</v>
      </c>
    </row>
    <row r="506" spans="1:40" x14ac:dyDescent="0.35">
      <c r="A506">
        <v>3110389</v>
      </c>
      <c r="B506" t="s">
        <v>1605</v>
      </c>
      <c r="C506" t="str">
        <f>"9781934843680"</f>
        <v>9781934843680</v>
      </c>
      <c r="D506" t="str">
        <f>"9781618111296"</f>
        <v>9781618111296</v>
      </c>
      <c r="E506" t="s">
        <v>1592</v>
      </c>
      <c r="F506" t="s">
        <v>1592</v>
      </c>
      <c r="G506" s="1">
        <v>40087</v>
      </c>
      <c r="H506" s="1">
        <v>40850</v>
      </c>
      <c r="I506" t="s">
        <v>189</v>
      </c>
      <c r="J506">
        <v>1</v>
      </c>
      <c r="K506" t="s">
        <v>1596</v>
      </c>
      <c r="L506" t="s">
        <v>1606</v>
      </c>
      <c r="M506" t="s">
        <v>219</v>
      </c>
      <c r="N506" t="s">
        <v>1607</v>
      </c>
      <c r="O506" s="2">
        <v>891709</v>
      </c>
      <c r="P506" t="s">
        <v>1608</v>
      </c>
    </row>
    <row r="507" spans="1:40" x14ac:dyDescent="0.35">
      <c r="A507">
        <v>3110394</v>
      </c>
      <c r="B507" t="s">
        <v>1609</v>
      </c>
      <c r="C507" t="str">
        <f>"9781934843123"</f>
        <v>9781934843123</v>
      </c>
      <c r="D507" t="str">
        <f>"9781618116734"</f>
        <v>9781618116734</v>
      </c>
      <c r="E507" t="s">
        <v>1592</v>
      </c>
      <c r="F507" t="s">
        <v>1592</v>
      </c>
      <c r="G507" s="1">
        <v>39965</v>
      </c>
      <c r="H507" s="1">
        <v>40850</v>
      </c>
      <c r="I507" t="s">
        <v>189</v>
      </c>
      <c r="J507">
        <v>1</v>
      </c>
      <c r="K507" t="s">
        <v>1596</v>
      </c>
      <c r="L507" t="s">
        <v>1610</v>
      </c>
    </row>
    <row r="508" spans="1:40" x14ac:dyDescent="0.35">
      <c r="A508">
        <v>3110399</v>
      </c>
      <c r="B508" t="s">
        <v>1611</v>
      </c>
      <c r="C508" t="str">
        <f>"9781934843895"</f>
        <v>9781934843895</v>
      </c>
      <c r="D508" t="str">
        <f>"9781618117014"</f>
        <v>9781618117014</v>
      </c>
      <c r="E508" t="s">
        <v>1592</v>
      </c>
      <c r="F508" t="s">
        <v>1592</v>
      </c>
      <c r="G508" s="1">
        <v>40238</v>
      </c>
      <c r="H508" s="1">
        <v>40850</v>
      </c>
      <c r="I508" t="s">
        <v>189</v>
      </c>
      <c r="J508">
        <v>1</v>
      </c>
      <c r="K508" t="s">
        <v>1596</v>
      </c>
      <c r="L508" t="s">
        <v>1612</v>
      </c>
      <c r="M508" t="s">
        <v>219</v>
      </c>
      <c r="O508" t="s">
        <v>1613</v>
      </c>
      <c r="Q508" t="s">
        <v>260</v>
      </c>
      <c r="R508" t="s">
        <v>261</v>
      </c>
      <c r="S508" t="s">
        <v>261</v>
      </c>
      <c r="T508" t="s">
        <v>261</v>
      </c>
      <c r="U508" t="s">
        <v>261</v>
      </c>
      <c r="V508" t="s">
        <v>262</v>
      </c>
      <c r="W508" t="s">
        <v>261</v>
      </c>
      <c r="X508" t="s">
        <v>261</v>
      </c>
      <c r="Y508" t="s">
        <v>261</v>
      </c>
      <c r="Z508" t="s">
        <v>409</v>
      </c>
      <c r="AA508" t="s">
        <v>409</v>
      </c>
      <c r="AB508" t="s">
        <v>409</v>
      </c>
      <c r="AC508" t="s">
        <v>409</v>
      </c>
      <c r="AD508" t="s">
        <v>262</v>
      </c>
      <c r="AE508">
        <v>10509024</v>
      </c>
      <c r="AF508">
        <v>546862</v>
      </c>
      <c r="AH508" t="s">
        <v>262</v>
      </c>
      <c r="AI508" t="s">
        <v>262</v>
      </c>
      <c r="AJ508" t="s">
        <v>261</v>
      </c>
      <c r="AK508" t="s">
        <v>261</v>
      </c>
      <c r="AM508" t="s">
        <v>262</v>
      </c>
      <c r="AN508" t="s">
        <v>1614</v>
      </c>
    </row>
    <row r="509" spans="1:40" x14ac:dyDescent="0.35">
      <c r="A509">
        <v>3110400</v>
      </c>
      <c r="B509" t="s">
        <v>1615</v>
      </c>
      <c r="C509" t="str">
        <f>"9781934843406"</f>
        <v>9781934843406</v>
      </c>
      <c r="D509" t="str">
        <f>"9781618111364"</f>
        <v>9781618111364</v>
      </c>
      <c r="E509" t="s">
        <v>1592</v>
      </c>
      <c r="F509" t="s">
        <v>1592</v>
      </c>
      <c r="G509" s="1">
        <v>39873</v>
      </c>
      <c r="H509" s="1">
        <v>40850</v>
      </c>
      <c r="I509" t="s">
        <v>189</v>
      </c>
      <c r="J509">
        <v>1</v>
      </c>
      <c r="K509" t="s">
        <v>1616</v>
      </c>
      <c r="L509" t="s">
        <v>1617</v>
      </c>
      <c r="M509" t="s">
        <v>219</v>
      </c>
      <c r="O509" t="s">
        <v>1618</v>
      </c>
      <c r="Q509" t="s">
        <v>260</v>
      </c>
      <c r="R509" t="s">
        <v>261</v>
      </c>
      <c r="S509" t="s">
        <v>261</v>
      </c>
      <c r="T509" t="s">
        <v>261</v>
      </c>
      <c r="U509" t="s">
        <v>261</v>
      </c>
      <c r="V509" t="s">
        <v>262</v>
      </c>
      <c r="W509" t="s">
        <v>261</v>
      </c>
      <c r="X509" t="s">
        <v>261</v>
      </c>
      <c r="Y509" t="s">
        <v>261</v>
      </c>
      <c r="Z509" t="s">
        <v>409</v>
      </c>
      <c r="AA509" t="s">
        <v>409</v>
      </c>
      <c r="AB509" t="s">
        <v>409</v>
      </c>
      <c r="AC509" t="s">
        <v>409</v>
      </c>
      <c r="AD509" t="s">
        <v>262</v>
      </c>
      <c r="AE509">
        <v>10509025</v>
      </c>
      <c r="AF509">
        <v>574349</v>
      </c>
      <c r="AH509" t="s">
        <v>262</v>
      </c>
      <c r="AI509" t="s">
        <v>262</v>
      </c>
      <c r="AJ509" t="s">
        <v>261</v>
      </c>
      <c r="AK509" t="s">
        <v>261</v>
      </c>
      <c r="AM509" t="s">
        <v>262</v>
      </c>
      <c r="AN509" t="s">
        <v>1619</v>
      </c>
    </row>
    <row r="510" spans="1:40" x14ac:dyDescent="0.35">
      <c r="A510">
        <v>3110403</v>
      </c>
      <c r="B510" t="s">
        <v>1620</v>
      </c>
      <c r="C510" t="str">
        <f>"9781934843178"</f>
        <v>9781934843178</v>
      </c>
      <c r="D510" t="str">
        <f>"9781618116789"</f>
        <v>9781618116789</v>
      </c>
      <c r="E510" t="s">
        <v>1592</v>
      </c>
      <c r="F510" t="s">
        <v>1592</v>
      </c>
      <c r="G510" s="1">
        <v>40118</v>
      </c>
      <c r="H510" s="1">
        <v>40850</v>
      </c>
      <c r="I510" t="s">
        <v>189</v>
      </c>
      <c r="J510">
        <v>1</v>
      </c>
      <c r="K510" t="s">
        <v>1596</v>
      </c>
      <c r="L510" t="s">
        <v>1621</v>
      </c>
      <c r="M510" t="s">
        <v>219</v>
      </c>
      <c r="N510" t="s">
        <v>1622</v>
      </c>
      <c r="O510" s="2">
        <v>891709</v>
      </c>
      <c r="P510" t="s">
        <v>1623</v>
      </c>
    </row>
    <row r="511" spans="1:40" x14ac:dyDescent="0.35">
      <c r="A511">
        <v>3110407</v>
      </c>
      <c r="B511" t="s">
        <v>1624</v>
      </c>
      <c r="C511" t="str">
        <f>"9781934843086"</f>
        <v>9781934843086</v>
      </c>
      <c r="D511" t="str">
        <f>"9781618116970"</f>
        <v>9781618116970</v>
      </c>
      <c r="E511" t="s">
        <v>1592</v>
      </c>
      <c r="F511" t="s">
        <v>1592</v>
      </c>
      <c r="G511" s="1">
        <v>39904</v>
      </c>
      <c r="H511" s="1">
        <v>40850</v>
      </c>
      <c r="I511" t="s">
        <v>189</v>
      </c>
      <c r="J511">
        <v>1</v>
      </c>
      <c r="K511" t="s">
        <v>1596</v>
      </c>
      <c r="L511" t="s">
        <v>1625</v>
      </c>
      <c r="M511" t="s">
        <v>239</v>
      </c>
    </row>
    <row r="512" spans="1:40" x14ac:dyDescent="0.35">
      <c r="A512">
        <v>3110414</v>
      </c>
      <c r="B512" t="s">
        <v>1626</v>
      </c>
      <c r="C512" t="str">
        <f>"9781934843390"</f>
        <v>9781934843390</v>
      </c>
      <c r="D512" t="str">
        <f>"9781618118523"</f>
        <v>9781618118523</v>
      </c>
      <c r="E512" t="s">
        <v>1592</v>
      </c>
      <c r="F512" t="s">
        <v>1592</v>
      </c>
      <c r="G512" s="1">
        <v>40118</v>
      </c>
      <c r="H512" s="1">
        <v>40850</v>
      </c>
      <c r="I512" t="s">
        <v>189</v>
      </c>
      <c r="J512">
        <v>1</v>
      </c>
      <c r="K512" t="s">
        <v>1627</v>
      </c>
      <c r="L512" t="s">
        <v>1628</v>
      </c>
      <c r="M512" t="s">
        <v>219</v>
      </c>
    </row>
    <row r="513" spans="1:40" x14ac:dyDescent="0.35">
      <c r="A513">
        <v>3110417</v>
      </c>
      <c r="B513" t="s">
        <v>1629</v>
      </c>
      <c r="C513" t="str">
        <f>"9781936235193"</f>
        <v>9781936235193</v>
      </c>
      <c r="D513" t="str">
        <f>"9781618117069"</f>
        <v>9781618117069</v>
      </c>
      <c r="E513" t="s">
        <v>1592</v>
      </c>
      <c r="F513" t="s">
        <v>1592</v>
      </c>
      <c r="G513" s="1">
        <v>40513</v>
      </c>
      <c r="H513" s="1">
        <v>40862</v>
      </c>
      <c r="I513" t="s">
        <v>189</v>
      </c>
      <c r="J513">
        <v>1</v>
      </c>
      <c r="K513" t="s">
        <v>1630</v>
      </c>
      <c r="L513" t="s">
        <v>1631</v>
      </c>
      <c r="M513" t="s">
        <v>219</v>
      </c>
      <c r="N513" t="s">
        <v>1632</v>
      </c>
      <c r="O513" t="s">
        <v>1633</v>
      </c>
      <c r="P513" t="s">
        <v>1634</v>
      </c>
      <c r="Q513" t="s">
        <v>260</v>
      </c>
      <c r="R513" t="s">
        <v>261</v>
      </c>
      <c r="S513" t="s">
        <v>261</v>
      </c>
      <c r="T513" t="s">
        <v>261</v>
      </c>
      <c r="U513" t="s">
        <v>261</v>
      </c>
      <c r="V513" t="s">
        <v>262</v>
      </c>
      <c r="W513" t="s">
        <v>261</v>
      </c>
      <c r="X513" t="s">
        <v>261</v>
      </c>
      <c r="Y513" t="s">
        <v>261</v>
      </c>
      <c r="Z513" t="s">
        <v>409</v>
      </c>
      <c r="AA513" t="s">
        <v>409</v>
      </c>
      <c r="AB513" t="s">
        <v>409</v>
      </c>
      <c r="AC513" t="s">
        <v>409</v>
      </c>
      <c r="AD513" t="s">
        <v>262</v>
      </c>
      <c r="AE513">
        <v>10512245</v>
      </c>
      <c r="AF513">
        <v>546547</v>
      </c>
      <c r="AH513" t="s">
        <v>262</v>
      </c>
      <c r="AI513" t="s">
        <v>262</v>
      </c>
      <c r="AJ513" t="s">
        <v>261</v>
      </c>
      <c r="AK513" t="s">
        <v>261</v>
      </c>
      <c r="AM513" t="s">
        <v>262</v>
      </c>
      <c r="AN513" t="s">
        <v>1635</v>
      </c>
    </row>
    <row r="514" spans="1:40" x14ac:dyDescent="0.35">
      <c r="A514">
        <v>3110423</v>
      </c>
      <c r="B514" t="s">
        <v>1636</v>
      </c>
      <c r="C514" t="str">
        <f>"9781936235186"</f>
        <v>9781936235186</v>
      </c>
      <c r="D514" t="str">
        <f>"9781618110039"</f>
        <v>9781618110039</v>
      </c>
      <c r="E514" t="s">
        <v>1592</v>
      </c>
      <c r="F514" t="s">
        <v>1592</v>
      </c>
      <c r="G514" s="1">
        <v>40391</v>
      </c>
      <c r="H514" s="1">
        <v>40862</v>
      </c>
      <c r="I514" t="s">
        <v>189</v>
      </c>
      <c r="J514">
        <v>1</v>
      </c>
      <c r="K514" t="s">
        <v>1596</v>
      </c>
      <c r="L514" t="s">
        <v>1637</v>
      </c>
      <c r="M514" t="s">
        <v>219</v>
      </c>
      <c r="N514" t="s">
        <v>1638</v>
      </c>
      <c r="O514" s="2">
        <v>891733</v>
      </c>
      <c r="P514" t="s">
        <v>1639</v>
      </c>
      <c r="Q514" t="s">
        <v>260</v>
      </c>
      <c r="R514" t="s">
        <v>261</v>
      </c>
      <c r="S514" t="s">
        <v>261</v>
      </c>
      <c r="T514" t="s">
        <v>261</v>
      </c>
      <c r="U514" t="s">
        <v>261</v>
      </c>
      <c r="V514" t="s">
        <v>262</v>
      </c>
      <c r="W514" t="s">
        <v>261</v>
      </c>
      <c r="X514" t="s">
        <v>261</v>
      </c>
      <c r="Y514" t="s">
        <v>261</v>
      </c>
      <c r="Z514" t="s">
        <v>409</v>
      </c>
      <c r="AA514" t="s">
        <v>409</v>
      </c>
      <c r="AB514" t="s">
        <v>409</v>
      </c>
      <c r="AC514" t="s">
        <v>409</v>
      </c>
      <c r="AD514" t="s">
        <v>262</v>
      </c>
      <c r="AE514">
        <v>10512251</v>
      </c>
      <c r="AF514">
        <v>546553</v>
      </c>
      <c r="AH514" t="s">
        <v>262</v>
      </c>
      <c r="AI514" t="s">
        <v>262</v>
      </c>
      <c r="AJ514" t="s">
        <v>261</v>
      </c>
      <c r="AK514" t="s">
        <v>261</v>
      </c>
      <c r="AM514" t="s">
        <v>262</v>
      </c>
      <c r="AN514" t="s">
        <v>1640</v>
      </c>
    </row>
    <row r="515" spans="1:40" x14ac:dyDescent="0.35">
      <c r="A515">
        <v>3110425</v>
      </c>
      <c r="B515" t="s">
        <v>1641</v>
      </c>
      <c r="C515" t="str">
        <f>"9781934843796"</f>
        <v>9781934843796</v>
      </c>
      <c r="D515" t="str">
        <f>"9781618116901"</f>
        <v>9781618116901</v>
      </c>
      <c r="E515" t="s">
        <v>1592</v>
      </c>
      <c r="F515" t="s">
        <v>1592</v>
      </c>
      <c r="G515" s="1">
        <v>40330</v>
      </c>
      <c r="H515" s="1">
        <v>40862</v>
      </c>
      <c r="I515" t="s">
        <v>189</v>
      </c>
      <c r="J515">
        <v>1</v>
      </c>
      <c r="K515" t="s">
        <v>1642</v>
      </c>
      <c r="L515" t="s">
        <v>1643</v>
      </c>
      <c r="M515" t="s">
        <v>389</v>
      </c>
      <c r="N515" t="s">
        <v>1644</v>
      </c>
      <c r="O515" s="2">
        <v>2960947</v>
      </c>
      <c r="P515" t="s">
        <v>1645</v>
      </c>
    </row>
    <row r="516" spans="1:40" x14ac:dyDescent="0.35">
      <c r="A516">
        <v>3110427</v>
      </c>
      <c r="B516" t="s">
        <v>1646</v>
      </c>
      <c r="C516" t="str">
        <f>"9781934843819"</f>
        <v>9781934843819</v>
      </c>
      <c r="D516" t="str">
        <f>"9781618111289"</f>
        <v>9781618111289</v>
      </c>
      <c r="E516" t="s">
        <v>1592</v>
      </c>
      <c r="F516" t="s">
        <v>1592</v>
      </c>
      <c r="G516" s="1">
        <v>40483</v>
      </c>
      <c r="H516" s="1">
        <v>40862</v>
      </c>
      <c r="I516" t="s">
        <v>189</v>
      </c>
      <c r="J516">
        <v>1</v>
      </c>
      <c r="K516" t="s">
        <v>1596</v>
      </c>
      <c r="L516" t="s">
        <v>1647</v>
      </c>
    </row>
    <row r="517" spans="1:40" x14ac:dyDescent="0.35">
      <c r="A517">
        <v>3110430</v>
      </c>
      <c r="B517" t="s">
        <v>1648</v>
      </c>
      <c r="C517" t="str">
        <f>"9781936235179"</f>
        <v>9781936235179</v>
      </c>
      <c r="D517" t="str">
        <f>"9781618117007"</f>
        <v>9781618117007</v>
      </c>
      <c r="E517" t="s">
        <v>1592</v>
      </c>
      <c r="F517" t="s">
        <v>1592</v>
      </c>
      <c r="G517" s="1">
        <v>40483</v>
      </c>
      <c r="H517" s="1">
        <v>40862</v>
      </c>
      <c r="I517" t="s">
        <v>189</v>
      </c>
      <c r="J517">
        <v>1</v>
      </c>
      <c r="K517" t="s">
        <v>1596</v>
      </c>
      <c r="L517" t="s">
        <v>1649</v>
      </c>
      <c r="M517" t="s">
        <v>199</v>
      </c>
      <c r="O517">
        <v>197</v>
      </c>
      <c r="Q517" t="s">
        <v>260</v>
      </c>
      <c r="R517" t="s">
        <v>261</v>
      </c>
      <c r="S517" t="s">
        <v>261</v>
      </c>
      <c r="T517" t="s">
        <v>261</v>
      </c>
      <c r="U517" t="s">
        <v>261</v>
      </c>
      <c r="V517" t="s">
        <v>262</v>
      </c>
      <c r="W517" t="s">
        <v>261</v>
      </c>
      <c r="X517" t="s">
        <v>261</v>
      </c>
      <c r="Y517" t="s">
        <v>261</v>
      </c>
      <c r="Z517" t="s">
        <v>409</v>
      </c>
      <c r="AA517" t="s">
        <v>409</v>
      </c>
      <c r="AB517" t="s">
        <v>409</v>
      </c>
      <c r="AC517" t="s">
        <v>409</v>
      </c>
      <c r="AD517" t="s">
        <v>262</v>
      </c>
      <c r="AE517">
        <v>10512258</v>
      </c>
      <c r="AF517">
        <v>546548</v>
      </c>
      <c r="AH517" t="s">
        <v>262</v>
      </c>
      <c r="AI517" t="s">
        <v>262</v>
      </c>
      <c r="AJ517" t="s">
        <v>261</v>
      </c>
      <c r="AK517" t="s">
        <v>261</v>
      </c>
      <c r="AM517" t="s">
        <v>262</v>
      </c>
      <c r="AN517" t="s">
        <v>1650</v>
      </c>
    </row>
    <row r="518" spans="1:40" x14ac:dyDescent="0.35">
      <c r="A518">
        <v>3110436</v>
      </c>
      <c r="B518" t="s">
        <v>1651</v>
      </c>
      <c r="C518" t="str">
        <f>"9781936235117"</f>
        <v>9781936235117</v>
      </c>
      <c r="D518" t="str">
        <f>"9781618116871"</f>
        <v>9781618116871</v>
      </c>
      <c r="E518" t="s">
        <v>1592</v>
      </c>
      <c r="F518" t="s">
        <v>1592</v>
      </c>
      <c r="G518" s="1">
        <v>40391</v>
      </c>
      <c r="H518" s="1">
        <v>40862</v>
      </c>
      <c r="I518" t="s">
        <v>189</v>
      </c>
      <c r="J518">
        <v>1</v>
      </c>
      <c r="K518" t="s">
        <v>1652</v>
      </c>
      <c r="L518" t="s">
        <v>1653</v>
      </c>
      <c r="M518" t="s">
        <v>210</v>
      </c>
    </row>
    <row r="519" spans="1:40" x14ac:dyDescent="0.35">
      <c r="A519">
        <v>3110438</v>
      </c>
      <c r="B519" t="s">
        <v>1654</v>
      </c>
      <c r="C519" t="str">
        <f>"9781934843888"</f>
        <v>9781934843888</v>
      </c>
      <c r="D519" t="str">
        <f>"9781618110206"</f>
        <v>9781618110206</v>
      </c>
      <c r="E519" t="s">
        <v>1592</v>
      </c>
      <c r="F519" t="s">
        <v>1592</v>
      </c>
      <c r="G519" s="1">
        <v>40603</v>
      </c>
      <c r="H519" s="1">
        <v>40936</v>
      </c>
      <c r="I519" t="s">
        <v>189</v>
      </c>
      <c r="J519">
        <v>1</v>
      </c>
      <c r="K519" t="s">
        <v>1655</v>
      </c>
      <c r="L519" t="s">
        <v>1656</v>
      </c>
      <c r="M519" t="s">
        <v>329</v>
      </c>
      <c r="N519" t="s">
        <v>1657</v>
      </c>
      <c r="O519" s="2">
        <v>3910095694</v>
      </c>
      <c r="P519" t="s">
        <v>1658</v>
      </c>
    </row>
    <row r="520" spans="1:40" x14ac:dyDescent="0.35">
      <c r="A520">
        <v>3110440</v>
      </c>
      <c r="B520" t="s">
        <v>1659</v>
      </c>
      <c r="C520" t="str">
        <f>"9781936235537"</f>
        <v>9781936235537</v>
      </c>
      <c r="D520" t="str">
        <f>"9781618116826"</f>
        <v>9781618116826</v>
      </c>
      <c r="E520" t="s">
        <v>1592</v>
      </c>
      <c r="F520" t="s">
        <v>1592</v>
      </c>
      <c r="G520" s="1">
        <v>40634</v>
      </c>
      <c r="H520" s="1">
        <v>40936</v>
      </c>
      <c r="I520" t="s">
        <v>189</v>
      </c>
      <c r="J520">
        <v>1</v>
      </c>
      <c r="K520" t="s">
        <v>1596</v>
      </c>
      <c r="L520" t="s">
        <v>1660</v>
      </c>
    </row>
    <row r="521" spans="1:40" x14ac:dyDescent="0.35">
      <c r="A521">
        <v>3110444</v>
      </c>
      <c r="B521" t="s">
        <v>1661</v>
      </c>
      <c r="C521" t="str">
        <f>"9781936235216"</f>
        <v>9781936235216</v>
      </c>
      <c r="D521" t="str">
        <f>"9781618116888"</f>
        <v>9781618116888</v>
      </c>
      <c r="E521" t="s">
        <v>1592</v>
      </c>
      <c r="F521" t="s">
        <v>1592</v>
      </c>
      <c r="G521" s="1">
        <v>40575</v>
      </c>
      <c r="H521" s="1">
        <v>40936</v>
      </c>
      <c r="I521" t="s">
        <v>189</v>
      </c>
      <c r="J521">
        <v>1</v>
      </c>
      <c r="K521" t="s">
        <v>1596</v>
      </c>
      <c r="L521" t="s">
        <v>1662</v>
      </c>
      <c r="M521" t="s">
        <v>239</v>
      </c>
      <c r="N521" t="s">
        <v>1663</v>
      </c>
      <c r="O521" t="s">
        <v>1664</v>
      </c>
      <c r="P521" t="s">
        <v>1665</v>
      </c>
    </row>
    <row r="522" spans="1:40" x14ac:dyDescent="0.35">
      <c r="A522">
        <v>3110445</v>
      </c>
      <c r="B522" t="s">
        <v>1666</v>
      </c>
      <c r="C522" t="str">
        <f>"9781934843451"</f>
        <v>9781934843451</v>
      </c>
      <c r="D522" t="str">
        <f>"9781618111357"</f>
        <v>9781618111357</v>
      </c>
      <c r="E522" t="s">
        <v>1592</v>
      </c>
      <c r="F522" t="s">
        <v>1592</v>
      </c>
      <c r="G522" s="1">
        <v>40513</v>
      </c>
      <c r="H522" s="1">
        <v>40936</v>
      </c>
      <c r="I522" t="s">
        <v>189</v>
      </c>
      <c r="J522">
        <v>1</v>
      </c>
      <c r="K522" t="s">
        <v>1616</v>
      </c>
      <c r="L522" t="s">
        <v>1667</v>
      </c>
      <c r="M522" t="s">
        <v>219</v>
      </c>
      <c r="N522" t="s">
        <v>1668</v>
      </c>
      <c r="O522" s="2">
        <v>891734</v>
      </c>
      <c r="P522" t="s">
        <v>1669</v>
      </c>
    </row>
    <row r="523" spans="1:40" x14ac:dyDescent="0.35">
      <c r="A523">
        <v>3110448</v>
      </c>
      <c r="B523" t="s">
        <v>1670</v>
      </c>
      <c r="C523" t="str">
        <f>"9781936235247"</f>
        <v>9781936235247</v>
      </c>
      <c r="D523" t="str">
        <f>"9781618110602"</f>
        <v>9781618110602</v>
      </c>
      <c r="E523" t="s">
        <v>1592</v>
      </c>
      <c r="F523" t="s">
        <v>1592</v>
      </c>
      <c r="G523" s="1">
        <v>40634</v>
      </c>
      <c r="H523" s="1">
        <v>40938</v>
      </c>
      <c r="I523" t="s">
        <v>189</v>
      </c>
      <c r="J523">
        <v>1</v>
      </c>
      <c r="K523" t="s">
        <v>1671</v>
      </c>
      <c r="L523" t="s">
        <v>1672</v>
      </c>
      <c r="M523" t="s">
        <v>389</v>
      </c>
      <c r="N523" t="s">
        <v>1673</v>
      </c>
      <c r="O523" t="s">
        <v>1674</v>
      </c>
      <c r="P523" t="s">
        <v>1675</v>
      </c>
    </row>
    <row r="524" spans="1:40" x14ac:dyDescent="0.35">
      <c r="A524">
        <v>3110452</v>
      </c>
      <c r="B524" t="s">
        <v>1676</v>
      </c>
      <c r="C524" t="str">
        <f>"9781934843116"</f>
        <v>9781934843116</v>
      </c>
      <c r="D524" t="str">
        <f>"9781618117045"</f>
        <v>9781618117045</v>
      </c>
      <c r="E524" t="s">
        <v>1592</v>
      </c>
      <c r="F524" t="s">
        <v>1592</v>
      </c>
      <c r="G524" s="1">
        <v>40756</v>
      </c>
      <c r="H524" s="1">
        <v>40936</v>
      </c>
      <c r="I524" t="s">
        <v>189</v>
      </c>
      <c r="J524">
        <v>1</v>
      </c>
      <c r="K524" t="s">
        <v>1596</v>
      </c>
      <c r="L524" t="s">
        <v>1631</v>
      </c>
      <c r="M524" t="s">
        <v>219</v>
      </c>
      <c r="N524" t="s">
        <v>1677</v>
      </c>
      <c r="O524" s="2">
        <v>8917342</v>
      </c>
      <c r="P524" t="s">
        <v>1678</v>
      </c>
    </row>
    <row r="525" spans="1:40" x14ac:dyDescent="0.35">
      <c r="A525">
        <v>3110454</v>
      </c>
      <c r="B525" t="s">
        <v>1679</v>
      </c>
      <c r="C525" t="str">
        <f>"9781936235506"</f>
        <v>9781936235506</v>
      </c>
      <c r="D525" t="str">
        <f>"9781618116710"</f>
        <v>9781618116710</v>
      </c>
      <c r="E525" t="s">
        <v>1592</v>
      </c>
      <c r="F525" t="s">
        <v>1592</v>
      </c>
      <c r="G525" s="1">
        <v>40544</v>
      </c>
      <c r="H525" s="1">
        <v>40936</v>
      </c>
      <c r="I525" t="s">
        <v>189</v>
      </c>
      <c r="J525">
        <v>1</v>
      </c>
      <c r="K525" t="s">
        <v>1680</v>
      </c>
      <c r="L525" t="s">
        <v>1681</v>
      </c>
      <c r="M525" t="s">
        <v>219</v>
      </c>
      <c r="O525" t="s">
        <v>1682</v>
      </c>
      <c r="Q525" t="s">
        <v>260</v>
      </c>
      <c r="R525" t="s">
        <v>261</v>
      </c>
      <c r="S525" t="s">
        <v>261</v>
      </c>
      <c r="T525" t="s">
        <v>261</v>
      </c>
      <c r="U525" t="s">
        <v>261</v>
      </c>
      <c r="V525" t="s">
        <v>262</v>
      </c>
      <c r="W525" t="s">
        <v>261</v>
      </c>
      <c r="X525" t="s">
        <v>261</v>
      </c>
      <c r="Y525" t="s">
        <v>261</v>
      </c>
      <c r="Z525" t="s">
        <v>409</v>
      </c>
      <c r="AA525" t="s">
        <v>409</v>
      </c>
      <c r="AB525" t="s">
        <v>409</v>
      </c>
      <c r="AC525" t="s">
        <v>409</v>
      </c>
      <c r="AD525" t="s">
        <v>262</v>
      </c>
      <c r="AE525">
        <v>10528145</v>
      </c>
      <c r="AF525">
        <v>546541</v>
      </c>
      <c r="AH525" t="s">
        <v>262</v>
      </c>
      <c r="AI525" t="s">
        <v>262</v>
      </c>
      <c r="AJ525" t="s">
        <v>261</v>
      </c>
      <c r="AK525" t="s">
        <v>261</v>
      </c>
      <c r="AM525" t="s">
        <v>262</v>
      </c>
      <c r="AN525" t="s">
        <v>1683</v>
      </c>
    </row>
    <row r="526" spans="1:40" x14ac:dyDescent="0.35">
      <c r="A526">
        <v>3110461</v>
      </c>
      <c r="B526" t="s">
        <v>1684</v>
      </c>
      <c r="C526" t="str">
        <f>"9781936235667"</f>
        <v>9781936235667</v>
      </c>
      <c r="D526" t="str">
        <f>"9781618116857"</f>
        <v>9781618116857</v>
      </c>
      <c r="E526" t="s">
        <v>1592</v>
      </c>
      <c r="F526" t="s">
        <v>1592</v>
      </c>
      <c r="G526" s="1">
        <v>40664</v>
      </c>
      <c r="H526" s="1">
        <v>41066</v>
      </c>
      <c r="I526" t="s">
        <v>189</v>
      </c>
      <c r="J526">
        <v>1</v>
      </c>
      <c r="K526" t="s">
        <v>1685</v>
      </c>
      <c r="L526" t="s">
        <v>1686</v>
      </c>
      <c r="M526" t="s">
        <v>1687</v>
      </c>
    </row>
    <row r="527" spans="1:40" x14ac:dyDescent="0.35">
      <c r="A527">
        <v>3110464</v>
      </c>
      <c r="B527" t="s">
        <v>1688</v>
      </c>
      <c r="C527" t="str">
        <f>"9781936235391"</f>
        <v>9781936235391</v>
      </c>
      <c r="D527" t="str">
        <f>"9781618110411"</f>
        <v>9781618110411</v>
      </c>
      <c r="E527" t="s">
        <v>1592</v>
      </c>
      <c r="F527" t="s">
        <v>1592</v>
      </c>
      <c r="G527" s="1">
        <v>40878</v>
      </c>
      <c r="H527" s="1">
        <v>41066</v>
      </c>
      <c r="I527" t="s">
        <v>189</v>
      </c>
      <c r="J527">
        <v>1</v>
      </c>
      <c r="K527" t="s">
        <v>1685</v>
      </c>
      <c r="L527" t="s">
        <v>1689</v>
      </c>
      <c r="M527" t="s">
        <v>239</v>
      </c>
      <c r="N527" t="s">
        <v>1690</v>
      </c>
      <c r="O527" s="2">
        <v>9440812092</v>
      </c>
      <c r="P527" t="s">
        <v>1691</v>
      </c>
    </row>
    <row r="528" spans="1:40" x14ac:dyDescent="0.35">
      <c r="A528">
        <v>3110477</v>
      </c>
      <c r="B528" t="s">
        <v>1692</v>
      </c>
      <c r="C528" t="str">
        <f>"9781934843482"</f>
        <v>9781934843482</v>
      </c>
      <c r="D528" t="str">
        <f>"9781618111135"</f>
        <v>9781618111135</v>
      </c>
      <c r="E528" t="s">
        <v>1592</v>
      </c>
      <c r="F528" t="s">
        <v>1592</v>
      </c>
      <c r="G528" s="1">
        <v>40664</v>
      </c>
      <c r="H528" s="1">
        <v>41066</v>
      </c>
      <c r="I528" t="s">
        <v>189</v>
      </c>
      <c r="J528">
        <v>1</v>
      </c>
      <c r="K528" t="s">
        <v>1671</v>
      </c>
      <c r="L528" t="s">
        <v>1693</v>
      </c>
      <c r="M528" t="s">
        <v>316</v>
      </c>
    </row>
    <row r="529" spans="1:40" x14ac:dyDescent="0.35">
      <c r="A529">
        <v>3110478</v>
      </c>
      <c r="B529" t="s">
        <v>1694</v>
      </c>
      <c r="C529" t="str">
        <f>"9781934843383"</f>
        <v>9781934843383</v>
      </c>
      <c r="D529" t="str">
        <f>"9781618116918"</f>
        <v>9781618116918</v>
      </c>
      <c r="E529" t="s">
        <v>1592</v>
      </c>
      <c r="F529" t="s">
        <v>1592</v>
      </c>
      <c r="G529" s="1">
        <v>40695</v>
      </c>
      <c r="H529" s="1">
        <v>41067</v>
      </c>
      <c r="I529" t="s">
        <v>189</v>
      </c>
      <c r="J529">
        <v>1</v>
      </c>
      <c r="K529" t="s">
        <v>1627</v>
      </c>
      <c r="L529" t="s">
        <v>1695</v>
      </c>
      <c r="M529" t="s">
        <v>219</v>
      </c>
      <c r="O529" s="2">
        <v>89170938296712</v>
      </c>
      <c r="Q529" t="s">
        <v>260</v>
      </c>
      <c r="R529" t="s">
        <v>261</v>
      </c>
      <c r="S529" t="s">
        <v>261</v>
      </c>
      <c r="T529" t="s">
        <v>261</v>
      </c>
      <c r="U529" t="s">
        <v>261</v>
      </c>
      <c r="V529" t="s">
        <v>262</v>
      </c>
      <c r="W529" t="s">
        <v>261</v>
      </c>
      <c r="X529" t="s">
        <v>261</v>
      </c>
      <c r="Y529" t="s">
        <v>261</v>
      </c>
      <c r="Z529" t="s">
        <v>409</v>
      </c>
      <c r="AA529" t="s">
        <v>409</v>
      </c>
      <c r="AB529" t="s">
        <v>409</v>
      </c>
      <c r="AC529" t="s">
        <v>409</v>
      </c>
      <c r="AD529" t="s">
        <v>262</v>
      </c>
      <c r="AE529">
        <v>10567534</v>
      </c>
      <c r="AF529">
        <v>546545</v>
      </c>
      <c r="AH529" t="s">
        <v>262</v>
      </c>
      <c r="AI529" t="s">
        <v>262</v>
      </c>
      <c r="AJ529" t="s">
        <v>261</v>
      </c>
      <c r="AK529" t="s">
        <v>261</v>
      </c>
      <c r="AM529" t="s">
        <v>262</v>
      </c>
      <c r="AN529" t="s">
        <v>1696</v>
      </c>
    </row>
    <row r="530" spans="1:40" x14ac:dyDescent="0.35">
      <c r="A530">
        <v>3110483</v>
      </c>
      <c r="B530" t="s">
        <v>1697</v>
      </c>
      <c r="C530" t="str">
        <f>"9781936235766"</f>
        <v>9781936235766</v>
      </c>
      <c r="D530" t="str">
        <f>"9781618117076"</f>
        <v>9781618117076</v>
      </c>
      <c r="E530" t="s">
        <v>1592</v>
      </c>
      <c r="F530" t="s">
        <v>1592</v>
      </c>
      <c r="G530" s="1">
        <v>41061</v>
      </c>
      <c r="H530" s="1">
        <v>41162</v>
      </c>
      <c r="I530" t="s">
        <v>189</v>
      </c>
      <c r="J530">
        <v>1</v>
      </c>
      <c r="K530" t="s">
        <v>1616</v>
      </c>
      <c r="L530" t="s">
        <v>1698</v>
      </c>
      <c r="M530" t="s">
        <v>239</v>
      </c>
      <c r="O530" s="2">
        <v>9475807</v>
      </c>
      <c r="Q530" t="s">
        <v>260</v>
      </c>
      <c r="R530" t="s">
        <v>261</v>
      </c>
      <c r="S530" t="s">
        <v>261</v>
      </c>
      <c r="T530" t="s">
        <v>261</v>
      </c>
      <c r="U530" t="s">
        <v>261</v>
      </c>
      <c r="V530" t="s">
        <v>262</v>
      </c>
      <c r="W530" t="s">
        <v>261</v>
      </c>
      <c r="X530" t="s">
        <v>261</v>
      </c>
      <c r="Y530" t="s">
        <v>261</v>
      </c>
      <c r="Z530" t="s">
        <v>409</v>
      </c>
      <c r="AA530" t="s">
        <v>409</v>
      </c>
      <c r="AB530" t="s">
        <v>409</v>
      </c>
      <c r="AC530" t="s">
        <v>409</v>
      </c>
      <c r="AD530" t="s">
        <v>262</v>
      </c>
      <c r="AE530">
        <v>10599061</v>
      </c>
      <c r="AF530">
        <v>546265</v>
      </c>
      <c r="AH530" t="s">
        <v>262</v>
      </c>
      <c r="AI530" t="s">
        <v>262</v>
      </c>
      <c r="AJ530" t="s">
        <v>261</v>
      </c>
      <c r="AK530" t="s">
        <v>261</v>
      </c>
      <c r="AM530" t="s">
        <v>262</v>
      </c>
      <c r="AN530" t="s">
        <v>1699</v>
      </c>
    </row>
    <row r="531" spans="1:40" x14ac:dyDescent="0.35">
      <c r="A531">
        <v>3110491</v>
      </c>
      <c r="B531" t="s">
        <v>1700</v>
      </c>
      <c r="C531" t="str">
        <f>"9781936235957"</f>
        <v>9781936235957</v>
      </c>
      <c r="D531" t="str">
        <f>"9781618111456"</f>
        <v>9781618111456</v>
      </c>
      <c r="E531" t="s">
        <v>1592</v>
      </c>
      <c r="F531" t="s">
        <v>1592</v>
      </c>
      <c r="G531" s="1">
        <v>41183</v>
      </c>
      <c r="H531" s="1">
        <v>41234</v>
      </c>
      <c r="I531" t="s">
        <v>189</v>
      </c>
      <c r="J531">
        <v>1</v>
      </c>
      <c r="K531" t="s">
        <v>1627</v>
      </c>
      <c r="L531" t="s">
        <v>1701</v>
      </c>
      <c r="M531" t="s">
        <v>219</v>
      </c>
      <c r="N531" t="s">
        <v>1702</v>
      </c>
      <c r="O531" s="2">
        <v>8917342</v>
      </c>
      <c r="P531" t="s">
        <v>1703</v>
      </c>
    </row>
    <row r="532" spans="1:40" x14ac:dyDescent="0.35">
      <c r="A532">
        <v>3110494</v>
      </c>
      <c r="B532" t="s">
        <v>1704</v>
      </c>
      <c r="C532" t="str">
        <f>"9781618112026"</f>
        <v>9781618112026</v>
      </c>
      <c r="D532" t="str">
        <f>"9781618116932"</f>
        <v>9781618116932</v>
      </c>
      <c r="E532" t="s">
        <v>1592</v>
      </c>
      <c r="F532" t="s">
        <v>1592</v>
      </c>
      <c r="G532" s="1">
        <v>41244</v>
      </c>
      <c r="H532" s="1">
        <v>41372</v>
      </c>
      <c r="I532" t="s">
        <v>189</v>
      </c>
      <c r="J532">
        <v>1</v>
      </c>
      <c r="K532" t="s">
        <v>1616</v>
      </c>
      <c r="L532" t="s">
        <v>1705</v>
      </c>
      <c r="M532" t="s">
        <v>219</v>
      </c>
      <c r="N532" t="s">
        <v>1706</v>
      </c>
      <c r="O532" s="2">
        <v>891709</v>
      </c>
      <c r="P532" t="s">
        <v>1707</v>
      </c>
    </row>
    <row r="533" spans="1:40" x14ac:dyDescent="0.35">
      <c r="A533">
        <v>3110499</v>
      </c>
      <c r="B533" t="s">
        <v>1708</v>
      </c>
      <c r="C533" t="str">
        <f>"9781936235490"</f>
        <v>9781936235490</v>
      </c>
      <c r="D533" t="str">
        <f>"9781618111241"</f>
        <v>9781618111241</v>
      </c>
      <c r="E533" t="s">
        <v>1592</v>
      </c>
      <c r="F533" t="s">
        <v>1592</v>
      </c>
      <c r="G533" s="1">
        <v>41244</v>
      </c>
      <c r="H533" s="1">
        <v>41338</v>
      </c>
      <c r="I533" t="s">
        <v>189</v>
      </c>
      <c r="J533">
        <v>1</v>
      </c>
      <c r="K533" t="s">
        <v>1680</v>
      </c>
      <c r="L533" t="s">
        <v>1610</v>
      </c>
    </row>
    <row r="534" spans="1:40" x14ac:dyDescent="0.35">
      <c r="A534">
        <v>3110502</v>
      </c>
      <c r="B534" t="s">
        <v>1709</v>
      </c>
      <c r="C534" t="str">
        <f>"9781936235568"</f>
        <v>9781936235568</v>
      </c>
      <c r="D534" t="str">
        <f>"9781618116772"</f>
        <v>9781618116772</v>
      </c>
      <c r="E534" t="s">
        <v>1592</v>
      </c>
      <c r="F534" t="s">
        <v>1592</v>
      </c>
      <c r="G534" s="1">
        <v>41334</v>
      </c>
      <c r="H534" s="1">
        <v>41431</v>
      </c>
      <c r="I534" t="s">
        <v>189</v>
      </c>
      <c r="J534">
        <v>1</v>
      </c>
      <c r="K534" t="s">
        <v>1680</v>
      </c>
      <c r="L534" t="s">
        <v>1710</v>
      </c>
      <c r="M534" t="s">
        <v>219</v>
      </c>
      <c r="N534" t="s">
        <v>1711</v>
      </c>
      <c r="O534" s="2">
        <v>891709</v>
      </c>
      <c r="P534" t="s">
        <v>1712</v>
      </c>
      <c r="Q534" t="s">
        <v>260</v>
      </c>
      <c r="R534" t="s">
        <v>261</v>
      </c>
      <c r="S534" t="s">
        <v>261</v>
      </c>
      <c r="T534" t="s">
        <v>261</v>
      </c>
      <c r="U534" t="s">
        <v>261</v>
      </c>
      <c r="V534" t="s">
        <v>262</v>
      </c>
      <c r="W534" t="s">
        <v>261</v>
      </c>
      <c r="X534" t="s">
        <v>261</v>
      </c>
      <c r="Y534" t="s">
        <v>261</v>
      </c>
      <c r="Z534" t="s">
        <v>409</v>
      </c>
      <c r="AA534" t="s">
        <v>409</v>
      </c>
      <c r="AB534" t="s">
        <v>409</v>
      </c>
      <c r="AC534" t="s">
        <v>409</v>
      </c>
      <c r="AD534" t="s">
        <v>262</v>
      </c>
      <c r="AE534">
        <v>10716785</v>
      </c>
      <c r="AF534">
        <v>531278</v>
      </c>
      <c r="AH534" t="s">
        <v>262</v>
      </c>
      <c r="AI534" t="s">
        <v>262</v>
      </c>
      <c r="AJ534" t="s">
        <v>261</v>
      </c>
      <c r="AK534" t="s">
        <v>261</v>
      </c>
      <c r="AM534" t="s">
        <v>262</v>
      </c>
      <c r="AN534" t="s">
        <v>1713</v>
      </c>
    </row>
    <row r="535" spans="1:40" x14ac:dyDescent="0.35">
      <c r="A535">
        <v>3110506</v>
      </c>
      <c r="B535" t="s">
        <v>1714</v>
      </c>
      <c r="C535" t="str">
        <f>"9781618111746"</f>
        <v>9781618111746</v>
      </c>
      <c r="D535" t="str">
        <f>"9781618116956"</f>
        <v>9781618116956</v>
      </c>
      <c r="E535" t="s">
        <v>1592</v>
      </c>
      <c r="F535" t="s">
        <v>1592</v>
      </c>
      <c r="G535" s="1">
        <v>41395</v>
      </c>
      <c r="H535" s="1">
        <v>41431</v>
      </c>
      <c r="I535" t="s">
        <v>189</v>
      </c>
      <c r="J535">
        <v>1</v>
      </c>
      <c r="K535" t="s">
        <v>1715</v>
      </c>
      <c r="L535" t="s">
        <v>1716</v>
      </c>
      <c r="M535" t="s">
        <v>199</v>
      </c>
      <c r="N535" t="s">
        <v>1717</v>
      </c>
      <c r="O535" t="s">
        <v>1718</v>
      </c>
      <c r="P535" t="s">
        <v>1719</v>
      </c>
    </row>
    <row r="536" spans="1:40" x14ac:dyDescent="0.35">
      <c r="A536">
        <v>3110509</v>
      </c>
      <c r="B536" t="s">
        <v>1720</v>
      </c>
      <c r="C536" t="str">
        <f>"9781936235636"</f>
        <v>9781936235636</v>
      </c>
      <c r="D536" t="str">
        <f>"9781618110817"</f>
        <v>9781618110817</v>
      </c>
      <c r="E536" t="s">
        <v>1592</v>
      </c>
      <c r="F536" t="s">
        <v>1592</v>
      </c>
      <c r="G536" s="1">
        <v>41365</v>
      </c>
      <c r="H536" s="1">
        <v>41431</v>
      </c>
      <c r="I536" t="s">
        <v>189</v>
      </c>
      <c r="J536">
        <v>1</v>
      </c>
      <c r="K536" t="s">
        <v>1652</v>
      </c>
      <c r="L536" t="s">
        <v>1721</v>
      </c>
    </row>
    <row r="537" spans="1:40" x14ac:dyDescent="0.35">
      <c r="A537">
        <v>3110513</v>
      </c>
      <c r="B537" t="s">
        <v>1722</v>
      </c>
      <c r="C537" t="str">
        <f>"9781618112149"</f>
        <v>9781618112149</v>
      </c>
      <c r="D537" t="str">
        <f>"9781618116994"</f>
        <v>9781618116994</v>
      </c>
      <c r="E537" t="s">
        <v>1592</v>
      </c>
      <c r="F537" t="s">
        <v>1592</v>
      </c>
      <c r="G537" s="1">
        <v>41426</v>
      </c>
      <c r="H537" s="1">
        <v>41435</v>
      </c>
      <c r="I537" t="s">
        <v>189</v>
      </c>
      <c r="J537">
        <v>1</v>
      </c>
      <c r="K537" t="s">
        <v>1723</v>
      </c>
      <c r="L537" t="s">
        <v>1724</v>
      </c>
    </row>
    <row r="538" spans="1:40" x14ac:dyDescent="0.35">
      <c r="A538">
        <v>3110519</v>
      </c>
      <c r="B538" t="s">
        <v>1725</v>
      </c>
      <c r="C538" t="str">
        <f>"9781618111739"</f>
        <v>9781618111739</v>
      </c>
      <c r="D538" t="str">
        <f>"9781618111951"</f>
        <v>9781618111951</v>
      </c>
      <c r="E538" t="s">
        <v>1592</v>
      </c>
      <c r="F538" t="s">
        <v>1592</v>
      </c>
      <c r="G538" s="1">
        <v>41501</v>
      </c>
      <c r="H538" s="1">
        <v>41538</v>
      </c>
      <c r="I538" t="s">
        <v>189</v>
      </c>
      <c r="J538">
        <v>1</v>
      </c>
      <c r="K538" t="s">
        <v>1726</v>
      </c>
      <c r="L538" t="s">
        <v>1727</v>
      </c>
      <c r="M538" t="s">
        <v>1728</v>
      </c>
    </row>
    <row r="539" spans="1:40" x14ac:dyDescent="0.35">
      <c r="A539">
        <v>3110521</v>
      </c>
      <c r="B539" t="s">
        <v>1729</v>
      </c>
      <c r="C539" t="str">
        <f>"9781618111586"</f>
        <v>9781618111586</v>
      </c>
      <c r="D539" t="str">
        <f>"9781618111807"</f>
        <v>9781618111807</v>
      </c>
      <c r="E539" t="s">
        <v>1592</v>
      </c>
      <c r="F539" t="s">
        <v>1592</v>
      </c>
      <c r="G539" s="1">
        <v>41426</v>
      </c>
      <c r="H539" s="1">
        <v>41538</v>
      </c>
      <c r="I539" t="s">
        <v>189</v>
      </c>
      <c r="J539">
        <v>1</v>
      </c>
      <c r="K539" t="s">
        <v>1680</v>
      </c>
      <c r="L539" t="s">
        <v>1730</v>
      </c>
    </row>
    <row r="540" spans="1:40" x14ac:dyDescent="0.35">
      <c r="A540">
        <v>3110522</v>
      </c>
      <c r="B540" t="s">
        <v>1731</v>
      </c>
      <c r="C540" t="str">
        <f>"9781618112675"</f>
        <v>9781618112675</v>
      </c>
      <c r="D540" t="str">
        <f>"9781618112682"</f>
        <v>9781618112682</v>
      </c>
      <c r="E540" t="s">
        <v>1592</v>
      </c>
      <c r="F540" t="s">
        <v>1592</v>
      </c>
      <c r="G540" s="1">
        <v>41501</v>
      </c>
      <c r="H540" s="1">
        <v>41538</v>
      </c>
      <c r="I540" t="s">
        <v>189</v>
      </c>
      <c r="J540">
        <v>1</v>
      </c>
      <c r="L540" t="s">
        <v>1732</v>
      </c>
      <c r="M540" t="s">
        <v>389</v>
      </c>
      <c r="N540" t="s">
        <v>1733</v>
      </c>
      <c r="O540" t="s">
        <v>1734</v>
      </c>
      <c r="P540" t="s">
        <v>1735</v>
      </c>
      <c r="Q540" t="s">
        <v>260</v>
      </c>
      <c r="R540" t="s">
        <v>261</v>
      </c>
      <c r="S540" t="s">
        <v>261</v>
      </c>
      <c r="T540" t="s">
        <v>261</v>
      </c>
      <c r="U540" t="s">
        <v>261</v>
      </c>
      <c r="V540" t="s">
        <v>262</v>
      </c>
      <c r="W540" t="s">
        <v>261</v>
      </c>
      <c r="X540" t="s">
        <v>261</v>
      </c>
      <c r="Y540" t="s">
        <v>261</v>
      </c>
      <c r="Z540" t="s">
        <v>409</v>
      </c>
      <c r="AA540" t="s">
        <v>409</v>
      </c>
      <c r="AB540" t="s">
        <v>409</v>
      </c>
      <c r="AC540" t="s">
        <v>409</v>
      </c>
      <c r="AD540" t="s">
        <v>262</v>
      </c>
      <c r="AE540">
        <v>10761670</v>
      </c>
      <c r="AF540">
        <v>530380</v>
      </c>
      <c r="AH540" t="s">
        <v>262</v>
      </c>
      <c r="AI540" t="s">
        <v>262</v>
      </c>
      <c r="AJ540" t="s">
        <v>261</v>
      </c>
      <c r="AK540" t="s">
        <v>261</v>
      </c>
      <c r="AM540" t="s">
        <v>262</v>
      </c>
      <c r="AN540" t="s">
        <v>1736</v>
      </c>
    </row>
    <row r="541" spans="1:40" x14ac:dyDescent="0.35">
      <c r="A541">
        <v>3110526</v>
      </c>
      <c r="B541" t="s">
        <v>1737</v>
      </c>
      <c r="C541" t="str">
        <f>"9781618111616"</f>
        <v>9781618111616</v>
      </c>
      <c r="D541" t="str">
        <f>"9781618111838"</f>
        <v>9781618111838</v>
      </c>
      <c r="E541" t="s">
        <v>1592</v>
      </c>
      <c r="F541" t="s">
        <v>1592</v>
      </c>
      <c r="G541" s="1">
        <v>41501</v>
      </c>
      <c r="H541" s="1">
        <v>41538</v>
      </c>
      <c r="I541" t="s">
        <v>189</v>
      </c>
      <c r="J541">
        <v>1</v>
      </c>
      <c r="K541" t="s">
        <v>1680</v>
      </c>
      <c r="L541" t="s">
        <v>1738</v>
      </c>
      <c r="M541" t="s">
        <v>219</v>
      </c>
      <c r="N541" t="s">
        <v>1739</v>
      </c>
      <c r="O541" t="s">
        <v>1740</v>
      </c>
      <c r="P541" t="s">
        <v>1741</v>
      </c>
    </row>
    <row r="542" spans="1:40" x14ac:dyDescent="0.35">
      <c r="A542">
        <v>3110528</v>
      </c>
      <c r="B542" t="s">
        <v>1742</v>
      </c>
      <c r="C542" t="str">
        <f>"9781618112804"</f>
        <v>9781618112804</v>
      </c>
      <c r="D542" t="str">
        <f>"9781618116925"</f>
        <v>9781618116925</v>
      </c>
      <c r="E542" t="s">
        <v>1592</v>
      </c>
      <c r="F542" t="s">
        <v>1592</v>
      </c>
      <c r="G542" s="1">
        <v>41562</v>
      </c>
      <c r="H542" s="1">
        <v>41558</v>
      </c>
      <c r="I542" t="s">
        <v>189</v>
      </c>
      <c r="J542">
        <v>1</v>
      </c>
      <c r="K542" t="s">
        <v>1680</v>
      </c>
      <c r="L542" t="s">
        <v>1743</v>
      </c>
      <c r="M542" t="s">
        <v>219</v>
      </c>
      <c r="O542" s="2">
        <v>8917342</v>
      </c>
      <c r="Q542" t="s">
        <v>260</v>
      </c>
      <c r="R542" t="s">
        <v>261</v>
      </c>
      <c r="S542" t="s">
        <v>261</v>
      </c>
      <c r="T542" t="s">
        <v>261</v>
      </c>
      <c r="U542" t="s">
        <v>261</v>
      </c>
      <c r="V542" t="s">
        <v>262</v>
      </c>
      <c r="W542" t="s">
        <v>261</v>
      </c>
      <c r="X542" t="s">
        <v>261</v>
      </c>
      <c r="Y542" t="s">
        <v>261</v>
      </c>
      <c r="Z542" t="s">
        <v>409</v>
      </c>
      <c r="AA542" t="s">
        <v>409</v>
      </c>
      <c r="AB542" t="s">
        <v>409</v>
      </c>
      <c r="AC542" t="s">
        <v>409</v>
      </c>
      <c r="AD542" t="s">
        <v>262</v>
      </c>
      <c r="AE542">
        <v>10775046</v>
      </c>
      <c r="AF542">
        <v>530386</v>
      </c>
      <c r="AH542" t="s">
        <v>262</v>
      </c>
      <c r="AI542" t="s">
        <v>262</v>
      </c>
      <c r="AJ542" t="s">
        <v>261</v>
      </c>
      <c r="AK542" t="s">
        <v>261</v>
      </c>
      <c r="AM542" t="s">
        <v>262</v>
      </c>
      <c r="AN542" t="s">
        <v>1744</v>
      </c>
    </row>
    <row r="543" spans="1:40" x14ac:dyDescent="0.35">
      <c r="A543">
        <v>3110529</v>
      </c>
      <c r="B543" t="s">
        <v>1745</v>
      </c>
      <c r="C543" t="str">
        <f>"9781936235612"</f>
        <v>9781936235612</v>
      </c>
      <c r="D543" t="str">
        <f>"9781618116895"</f>
        <v>9781618116895</v>
      </c>
      <c r="E543" t="s">
        <v>1592</v>
      </c>
      <c r="F543" t="s">
        <v>1592</v>
      </c>
      <c r="G543" s="1">
        <v>41548</v>
      </c>
      <c r="H543" s="1">
        <v>41558</v>
      </c>
      <c r="I543" t="s">
        <v>189</v>
      </c>
      <c r="J543">
        <v>1</v>
      </c>
      <c r="L543" t="s">
        <v>1746</v>
      </c>
      <c r="M543" t="s">
        <v>239</v>
      </c>
    </row>
    <row r="544" spans="1:40" x14ac:dyDescent="0.35">
      <c r="A544">
        <v>3110531</v>
      </c>
      <c r="B544" t="s">
        <v>1747</v>
      </c>
      <c r="C544" t="str">
        <f>"9781618112583"</f>
        <v>9781618112583</v>
      </c>
      <c r="D544" t="str">
        <f>"9781618112590"</f>
        <v>9781618112590</v>
      </c>
      <c r="E544" t="s">
        <v>1592</v>
      </c>
      <c r="F544" t="s">
        <v>1592</v>
      </c>
      <c r="G544" s="1">
        <v>41532</v>
      </c>
      <c r="H544" s="1">
        <v>41558</v>
      </c>
      <c r="I544" t="s">
        <v>189</v>
      </c>
      <c r="J544">
        <v>1</v>
      </c>
      <c r="K544" t="s">
        <v>1726</v>
      </c>
      <c r="L544" t="s">
        <v>1748</v>
      </c>
      <c r="M544" t="s">
        <v>239</v>
      </c>
    </row>
    <row r="545" spans="1:40" x14ac:dyDescent="0.35">
      <c r="A545">
        <v>3110540</v>
      </c>
      <c r="B545" t="s">
        <v>1749</v>
      </c>
      <c r="C545" t="str">
        <f>"9781618112866"</f>
        <v>9781618112866</v>
      </c>
      <c r="D545" t="str">
        <f>"9781618117021"</f>
        <v>9781618117021</v>
      </c>
      <c r="E545" t="s">
        <v>1592</v>
      </c>
      <c r="F545" t="s">
        <v>1592</v>
      </c>
      <c r="G545" s="1">
        <v>41624</v>
      </c>
      <c r="H545" s="1">
        <v>41649</v>
      </c>
      <c r="I545" t="s">
        <v>189</v>
      </c>
      <c r="J545">
        <v>1</v>
      </c>
      <c r="K545" t="s">
        <v>1616</v>
      </c>
      <c r="L545" t="s">
        <v>1750</v>
      </c>
    </row>
    <row r="546" spans="1:40" x14ac:dyDescent="0.35">
      <c r="A546">
        <v>3110543</v>
      </c>
      <c r="B546" t="s">
        <v>1751</v>
      </c>
      <c r="C546" t="str">
        <f>"9781936235414"</f>
        <v>9781936235414</v>
      </c>
      <c r="D546" t="str">
        <f>"9781618110695"</f>
        <v>9781618110695</v>
      </c>
      <c r="E546" t="s">
        <v>1592</v>
      </c>
      <c r="F546" t="s">
        <v>1592</v>
      </c>
      <c r="G546" s="1">
        <v>41623</v>
      </c>
      <c r="H546" s="1">
        <v>41649</v>
      </c>
      <c r="I546" t="s">
        <v>189</v>
      </c>
      <c r="J546">
        <v>1</v>
      </c>
      <c r="K546" t="s">
        <v>1655</v>
      </c>
      <c r="L546" t="s">
        <v>1752</v>
      </c>
      <c r="M546" t="s">
        <v>239</v>
      </c>
      <c r="N546" t="s">
        <v>1753</v>
      </c>
      <c r="O546" t="s">
        <v>1754</v>
      </c>
      <c r="P546" t="s">
        <v>1755</v>
      </c>
    </row>
    <row r="547" spans="1:40" x14ac:dyDescent="0.35">
      <c r="A547">
        <v>3110544</v>
      </c>
      <c r="B547" t="s">
        <v>1756</v>
      </c>
      <c r="C547" t="str">
        <f>"9781618111678"</f>
        <v>9781618111678</v>
      </c>
      <c r="D547" t="str">
        <f>"9781618111890"</f>
        <v>9781618111890</v>
      </c>
      <c r="E547" t="s">
        <v>1592</v>
      </c>
      <c r="F547" t="s">
        <v>1592</v>
      </c>
      <c r="G547" s="1">
        <v>41682</v>
      </c>
      <c r="H547" s="1">
        <v>41685</v>
      </c>
      <c r="I547" t="s">
        <v>189</v>
      </c>
      <c r="J547">
        <v>1</v>
      </c>
      <c r="K547" t="s">
        <v>1757</v>
      </c>
      <c r="L547" t="s">
        <v>1758</v>
      </c>
      <c r="M547" t="s">
        <v>389</v>
      </c>
      <c r="N547" t="s">
        <v>1759</v>
      </c>
      <c r="O547" t="s">
        <v>1760</v>
      </c>
      <c r="P547" t="s">
        <v>1761</v>
      </c>
    </row>
    <row r="548" spans="1:40" x14ac:dyDescent="0.35">
      <c r="A548">
        <v>3110546</v>
      </c>
      <c r="B548" t="s">
        <v>1762</v>
      </c>
      <c r="C548" t="str">
        <f>"9781618112880"</f>
        <v>9781618112880</v>
      </c>
      <c r="D548" t="str">
        <f>"9781618116949"</f>
        <v>9781618116949</v>
      </c>
      <c r="E548" t="s">
        <v>1592</v>
      </c>
      <c r="F548" t="s">
        <v>1592</v>
      </c>
      <c r="G548" s="1">
        <v>41659</v>
      </c>
      <c r="H548" s="1">
        <v>41685</v>
      </c>
      <c r="I548" t="s">
        <v>189</v>
      </c>
      <c r="J548">
        <v>1</v>
      </c>
      <c r="K548" t="s">
        <v>1715</v>
      </c>
      <c r="L548" t="s">
        <v>1763</v>
      </c>
      <c r="M548" t="s">
        <v>329</v>
      </c>
    </row>
    <row r="549" spans="1:40" x14ac:dyDescent="0.35">
      <c r="A549">
        <v>3110552</v>
      </c>
      <c r="B549" t="s">
        <v>1764</v>
      </c>
      <c r="C549" t="str">
        <f>"9781618113511"</f>
        <v>9781618113511</v>
      </c>
      <c r="D549" t="str">
        <f>"9781618113627"</f>
        <v>9781618113627</v>
      </c>
      <c r="E549" t="s">
        <v>1592</v>
      </c>
      <c r="F549" t="s">
        <v>1592</v>
      </c>
      <c r="G549" s="1">
        <v>41660</v>
      </c>
      <c r="H549" s="1">
        <v>41740</v>
      </c>
      <c r="I549" t="s">
        <v>189</v>
      </c>
      <c r="J549">
        <v>1</v>
      </c>
      <c r="K549" t="s">
        <v>1655</v>
      </c>
      <c r="L549" t="s">
        <v>1765</v>
      </c>
      <c r="M549" t="s">
        <v>329</v>
      </c>
      <c r="O549" s="2">
        <v>394267</v>
      </c>
      <c r="Q549" t="s">
        <v>260</v>
      </c>
      <c r="R549" t="s">
        <v>261</v>
      </c>
      <c r="S549" t="s">
        <v>261</v>
      </c>
      <c r="T549" t="s">
        <v>261</v>
      </c>
      <c r="U549" t="s">
        <v>261</v>
      </c>
      <c r="V549" t="s">
        <v>262</v>
      </c>
      <c r="W549" t="s">
        <v>261</v>
      </c>
      <c r="X549" t="s">
        <v>261</v>
      </c>
      <c r="Y549" t="s">
        <v>261</v>
      </c>
      <c r="Z549" t="s">
        <v>409</v>
      </c>
      <c r="AA549" t="s">
        <v>409</v>
      </c>
      <c r="AB549" t="s">
        <v>409</v>
      </c>
      <c r="AC549" t="s">
        <v>409</v>
      </c>
      <c r="AD549" t="s">
        <v>262</v>
      </c>
      <c r="AE549">
        <v>10857393</v>
      </c>
      <c r="AH549" t="s">
        <v>262</v>
      </c>
      <c r="AI549" t="s">
        <v>262</v>
      </c>
      <c r="AJ549" t="s">
        <v>261</v>
      </c>
      <c r="AK549" t="s">
        <v>261</v>
      </c>
      <c r="AM549" t="s">
        <v>262</v>
      </c>
      <c r="AN549" t="s">
        <v>1766</v>
      </c>
    </row>
    <row r="550" spans="1:40" x14ac:dyDescent="0.35">
      <c r="A550">
        <v>3110553</v>
      </c>
      <c r="B550" t="s">
        <v>1767</v>
      </c>
      <c r="C550" t="str">
        <f>"9781618113474"</f>
        <v>9781618113474</v>
      </c>
      <c r="D550" t="str">
        <f>"9781618113580"</f>
        <v>9781618113580</v>
      </c>
      <c r="E550" t="s">
        <v>1592</v>
      </c>
      <c r="F550" t="s">
        <v>1592</v>
      </c>
      <c r="G550" s="1">
        <v>41713</v>
      </c>
      <c r="H550" s="1">
        <v>41740</v>
      </c>
      <c r="I550" t="s">
        <v>189</v>
      </c>
      <c r="J550">
        <v>1</v>
      </c>
      <c r="K550" t="s">
        <v>1768</v>
      </c>
      <c r="L550" t="s">
        <v>1748</v>
      </c>
      <c r="M550" t="s">
        <v>210</v>
      </c>
    </row>
    <row r="551" spans="1:40" x14ac:dyDescent="0.35">
      <c r="A551">
        <v>3110554</v>
      </c>
      <c r="B551" t="s">
        <v>1769</v>
      </c>
      <c r="C551" t="str">
        <f>"9781618113139"</f>
        <v>9781618113139</v>
      </c>
      <c r="D551" t="str">
        <f>"9781618116864"</f>
        <v>9781618116864</v>
      </c>
      <c r="E551" t="s">
        <v>1592</v>
      </c>
      <c r="F551" t="s">
        <v>1592</v>
      </c>
      <c r="G551" s="1">
        <v>41744</v>
      </c>
      <c r="H551" s="1">
        <v>41740</v>
      </c>
      <c r="I551" t="s">
        <v>189</v>
      </c>
      <c r="J551">
        <v>1</v>
      </c>
      <c r="K551" t="s">
        <v>1627</v>
      </c>
      <c r="L551" t="s">
        <v>1770</v>
      </c>
    </row>
    <row r="552" spans="1:40" x14ac:dyDescent="0.35">
      <c r="A552">
        <v>3110556</v>
      </c>
      <c r="B552" t="s">
        <v>1771</v>
      </c>
      <c r="C552" t="str">
        <f>"9781618112088"</f>
        <v>9781618112088</v>
      </c>
      <c r="D552" t="str">
        <f>"9781618112095"</f>
        <v>9781618112095</v>
      </c>
      <c r="E552" t="s">
        <v>1592</v>
      </c>
      <c r="F552" t="s">
        <v>1592</v>
      </c>
      <c r="G552" s="1">
        <v>41685</v>
      </c>
      <c r="H552" s="1">
        <v>41759</v>
      </c>
      <c r="I552" t="s">
        <v>189</v>
      </c>
      <c r="J552">
        <v>1</v>
      </c>
      <c r="L552" t="s">
        <v>1772</v>
      </c>
      <c r="M552" t="s">
        <v>239</v>
      </c>
      <c r="N552" t="s">
        <v>1773</v>
      </c>
      <c r="O552" s="2">
        <v>945004924</v>
      </c>
      <c r="P552" t="s">
        <v>1774</v>
      </c>
    </row>
    <row r="553" spans="1:40" x14ac:dyDescent="0.35">
      <c r="A553">
        <v>3110560</v>
      </c>
      <c r="B553" t="s">
        <v>1775</v>
      </c>
      <c r="C553" t="str">
        <f>"9781618113467"</f>
        <v>9781618113467</v>
      </c>
      <c r="D553" t="str">
        <f>"9781618116697"</f>
        <v>9781618116697</v>
      </c>
      <c r="E553" t="s">
        <v>1592</v>
      </c>
      <c r="F553" t="s">
        <v>1592</v>
      </c>
      <c r="G553" s="1">
        <v>41779</v>
      </c>
      <c r="H553" s="1">
        <v>41809</v>
      </c>
      <c r="I553" t="s">
        <v>189</v>
      </c>
      <c r="J553">
        <v>1</v>
      </c>
      <c r="K553" t="s">
        <v>1680</v>
      </c>
      <c r="L553" t="s">
        <v>1776</v>
      </c>
    </row>
    <row r="554" spans="1:40" x14ac:dyDescent="0.35">
      <c r="A554">
        <v>3110564</v>
      </c>
      <c r="B554" t="s">
        <v>1777</v>
      </c>
      <c r="C554" t="str">
        <f>"9781618113986"</f>
        <v>9781618113986</v>
      </c>
      <c r="D554" t="str">
        <f>"9781618117083"</f>
        <v>9781618117083</v>
      </c>
      <c r="E554" t="s">
        <v>1592</v>
      </c>
      <c r="F554" t="s">
        <v>1592</v>
      </c>
      <c r="G554" s="1">
        <v>41866</v>
      </c>
      <c r="H554" s="1">
        <v>41866</v>
      </c>
      <c r="I554" t="s">
        <v>189</v>
      </c>
      <c r="J554">
        <v>1</v>
      </c>
      <c r="L554" t="s">
        <v>1778</v>
      </c>
    </row>
    <row r="555" spans="1:40" x14ac:dyDescent="0.35">
      <c r="A555">
        <v>3110568</v>
      </c>
      <c r="B555" t="s">
        <v>1779</v>
      </c>
      <c r="C555" t="str">
        <f>"9781618112781"</f>
        <v>9781618112781</v>
      </c>
      <c r="D555" t="str">
        <f>"9781618112798"</f>
        <v>9781618112798</v>
      </c>
      <c r="E555" t="s">
        <v>1592</v>
      </c>
      <c r="F555" t="s">
        <v>1592</v>
      </c>
      <c r="G555" s="1">
        <v>41958</v>
      </c>
      <c r="H555" s="1">
        <v>42012</v>
      </c>
      <c r="I555" t="s">
        <v>189</v>
      </c>
      <c r="J555">
        <v>1</v>
      </c>
      <c r="L555" t="s">
        <v>1780</v>
      </c>
    </row>
    <row r="556" spans="1:40" x14ac:dyDescent="0.35">
      <c r="A556">
        <v>3110569</v>
      </c>
      <c r="B556" t="s">
        <v>1781</v>
      </c>
      <c r="C556" t="str">
        <f>"9781618113504"</f>
        <v>9781618113504</v>
      </c>
      <c r="D556" t="str">
        <f>"9781618116963"</f>
        <v>9781618116963</v>
      </c>
      <c r="E556" t="s">
        <v>1592</v>
      </c>
      <c r="F556" t="s">
        <v>1592</v>
      </c>
      <c r="G556" s="1">
        <v>41958</v>
      </c>
      <c r="H556" s="1">
        <v>42012</v>
      </c>
      <c r="I556" t="s">
        <v>189</v>
      </c>
      <c r="J556">
        <v>1</v>
      </c>
      <c r="K556" t="s">
        <v>1596</v>
      </c>
      <c r="L556" t="s">
        <v>1782</v>
      </c>
    </row>
    <row r="557" spans="1:40" x14ac:dyDescent="0.35">
      <c r="A557">
        <v>3119958</v>
      </c>
      <c r="B557" t="s">
        <v>1783</v>
      </c>
      <c r="C557" t="str">
        <f>"9781780401089"</f>
        <v>9781780401089</v>
      </c>
      <c r="D557" t="str">
        <f>"9781780401096"</f>
        <v>9781780401096</v>
      </c>
      <c r="E557" t="s">
        <v>1784</v>
      </c>
      <c r="F557" t="s">
        <v>1784</v>
      </c>
      <c r="G557" s="1">
        <v>41135</v>
      </c>
      <c r="H557" s="1">
        <v>41467</v>
      </c>
      <c r="I557" t="s">
        <v>189</v>
      </c>
      <c r="J557">
        <v>1</v>
      </c>
      <c r="L557" t="s">
        <v>1785</v>
      </c>
    </row>
    <row r="558" spans="1:40" x14ac:dyDescent="0.35">
      <c r="A558">
        <v>3120913</v>
      </c>
      <c r="B558" t="s">
        <v>1786</v>
      </c>
      <c r="C558" t="str">
        <f>"9781900222099"</f>
        <v>9781900222099</v>
      </c>
      <c r="D558" t="str">
        <f>"9781780403038"</f>
        <v>9781780403038</v>
      </c>
      <c r="E558" t="s">
        <v>1784</v>
      </c>
      <c r="F558" t="s">
        <v>1784</v>
      </c>
      <c r="G558" s="1">
        <v>36526</v>
      </c>
      <c r="H558" s="1">
        <v>41722</v>
      </c>
      <c r="I558" t="s">
        <v>189</v>
      </c>
      <c r="J558">
        <v>1</v>
      </c>
      <c r="K558" t="s">
        <v>1787</v>
      </c>
      <c r="L558" t="s">
        <v>1788</v>
      </c>
    </row>
    <row r="559" spans="1:40" x14ac:dyDescent="0.35">
      <c r="A559">
        <v>3121230</v>
      </c>
      <c r="B559" t="s">
        <v>1789</v>
      </c>
      <c r="C559" t="str">
        <f>"9781780400440"</f>
        <v>9781780400440</v>
      </c>
      <c r="D559" t="str">
        <f>"9781780400457"</f>
        <v>9781780400457</v>
      </c>
      <c r="E559" t="s">
        <v>1784</v>
      </c>
      <c r="F559" t="s">
        <v>1784</v>
      </c>
      <c r="G559" s="1">
        <v>41865</v>
      </c>
      <c r="H559" s="1">
        <v>41985</v>
      </c>
      <c r="I559" t="s">
        <v>189</v>
      </c>
      <c r="J559">
        <v>1</v>
      </c>
      <c r="L559" t="s">
        <v>1790</v>
      </c>
      <c r="M559" t="s">
        <v>1791</v>
      </c>
    </row>
    <row r="560" spans="1:40" x14ac:dyDescent="0.35">
      <c r="A560">
        <v>3121255</v>
      </c>
      <c r="B560" t="s">
        <v>1792</v>
      </c>
      <c r="C560" t="str">
        <f>"9781843391463"</f>
        <v>9781843391463</v>
      </c>
      <c r="D560" t="str">
        <f>"9781780401171"</f>
        <v>9781780401171</v>
      </c>
      <c r="E560" t="s">
        <v>1784</v>
      </c>
      <c r="F560" t="s">
        <v>1784</v>
      </c>
      <c r="G560" s="1">
        <v>41897</v>
      </c>
      <c r="H560" s="1">
        <v>41985</v>
      </c>
      <c r="I560" t="s">
        <v>189</v>
      </c>
      <c r="J560">
        <v>1</v>
      </c>
      <c r="K560" t="s">
        <v>1793</v>
      </c>
      <c r="L560" t="s">
        <v>1794</v>
      </c>
    </row>
    <row r="561" spans="1:40" x14ac:dyDescent="0.35">
      <c r="A561">
        <v>3121365</v>
      </c>
      <c r="B561" t="s">
        <v>1795</v>
      </c>
      <c r="C561" t="str">
        <f>"9781780404639"</f>
        <v>9781780404639</v>
      </c>
      <c r="D561" t="str">
        <f>"9781780404660"</f>
        <v>9781780404660</v>
      </c>
      <c r="E561" t="s">
        <v>1784</v>
      </c>
      <c r="F561" t="s">
        <v>1784</v>
      </c>
      <c r="G561" s="1">
        <v>42050</v>
      </c>
      <c r="H561" s="1">
        <v>42086</v>
      </c>
      <c r="I561" t="s">
        <v>189</v>
      </c>
      <c r="J561">
        <v>1</v>
      </c>
      <c r="L561" t="s">
        <v>114</v>
      </c>
    </row>
    <row r="562" spans="1:40" x14ac:dyDescent="0.35">
      <c r="A562">
        <v>3137295</v>
      </c>
      <c r="B562" t="s">
        <v>1796</v>
      </c>
      <c r="C562" t="str">
        <f>"9789639776555"</f>
        <v>9789639776555</v>
      </c>
      <c r="D562" t="str">
        <f>"9786155211812"</f>
        <v>9786155211812</v>
      </c>
      <c r="E562" t="s">
        <v>1797</v>
      </c>
      <c r="F562" t="s">
        <v>1797</v>
      </c>
      <c r="G562" s="1">
        <v>40127</v>
      </c>
      <c r="H562" s="1">
        <v>40347</v>
      </c>
      <c r="I562" t="s">
        <v>189</v>
      </c>
      <c r="J562">
        <v>1</v>
      </c>
      <c r="L562" t="s">
        <v>1798</v>
      </c>
      <c r="M562" t="s">
        <v>239</v>
      </c>
      <c r="N562" t="s">
        <v>1799</v>
      </c>
      <c r="O562" t="s">
        <v>1800</v>
      </c>
      <c r="P562" t="s">
        <v>1801</v>
      </c>
    </row>
    <row r="563" spans="1:40" x14ac:dyDescent="0.35">
      <c r="A563">
        <v>3340019</v>
      </c>
      <c r="B563" t="s">
        <v>1802</v>
      </c>
      <c r="C563" t="str">
        <f>"9780975747582"</f>
        <v>9780975747582</v>
      </c>
      <c r="D563" t="str">
        <f>"9780975747599"</f>
        <v>9780975747599</v>
      </c>
      <c r="E563" t="s">
        <v>1803</v>
      </c>
      <c r="F563" t="s">
        <v>1804</v>
      </c>
      <c r="G563" s="1">
        <v>39022</v>
      </c>
      <c r="H563" s="1">
        <v>39028</v>
      </c>
      <c r="I563" t="s">
        <v>189</v>
      </c>
      <c r="J563">
        <v>1</v>
      </c>
      <c r="L563" t="s">
        <v>1805</v>
      </c>
    </row>
    <row r="564" spans="1:40" x14ac:dyDescent="0.35">
      <c r="A564">
        <v>3384091</v>
      </c>
      <c r="B564" t="s">
        <v>1806</v>
      </c>
      <c r="C564" t="str">
        <f>"9781909254367"</f>
        <v>9781909254367</v>
      </c>
      <c r="D564" t="str">
        <f>"9781909254374"</f>
        <v>9781909254374</v>
      </c>
      <c r="E564" t="s">
        <v>1807</v>
      </c>
      <c r="F564" t="s">
        <v>1807</v>
      </c>
      <c r="G564" s="1">
        <v>41306</v>
      </c>
      <c r="H564" s="1">
        <v>41426</v>
      </c>
      <c r="I564" t="s">
        <v>189</v>
      </c>
      <c r="J564">
        <v>1</v>
      </c>
      <c r="K564" t="s">
        <v>1808</v>
      </c>
      <c r="L564" t="s">
        <v>1809</v>
      </c>
      <c r="M564" t="s">
        <v>219</v>
      </c>
      <c r="Q564" t="s">
        <v>260</v>
      </c>
      <c r="R564" t="s">
        <v>261</v>
      </c>
      <c r="S564" t="s">
        <v>261</v>
      </c>
      <c r="T564" t="s">
        <v>261</v>
      </c>
      <c r="U564" t="s">
        <v>261</v>
      </c>
      <c r="V564" t="s">
        <v>262</v>
      </c>
      <c r="W564" t="s">
        <v>261</v>
      </c>
      <c r="X564" t="s">
        <v>261</v>
      </c>
      <c r="Y564" t="s">
        <v>261</v>
      </c>
      <c r="Z564" t="s">
        <v>409</v>
      </c>
      <c r="AA564" t="s">
        <v>409</v>
      </c>
      <c r="AB564" t="s">
        <v>409</v>
      </c>
      <c r="AC564" t="s">
        <v>409</v>
      </c>
      <c r="AD564" t="s">
        <v>262</v>
      </c>
      <c r="AE564">
        <v>10715006</v>
      </c>
      <c r="AH564" t="s">
        <v>262</v>
      </c>
      <c r="AI564" t="s">
        <v>262</v>
      </c>
      <c r="AJ564" t="s">
        <v>261</v>
      </c>
      <c r="AK564" t="s">
        <v>261</v>
      </c>
      <c r="AM564" t="s">
        <v>262</v>
      </c>
      <c r="AN564" t="s">
        <v>1810</v>
      </c>
    </row>
    <row r="565" spans="1:40" x14ac:dyDescent="0.35">
      <c r="A565">
        <v>3384092</v>
      </c>
      <c r="B565" t="s">
        <v>1811</v>
      </c>
      <c r="C565" t="str">
        <f>"9781909254459"</f>
        <v>9781909254459</v>
      </c>
      <c r="D565" t="str">
        <f>"9781909254466"</f>
        <v>9781909254466</v>
      </c>
      <c r="E565" t="s">
        <v>1807</v>
      </c>
      <c r="F565" t="s">
        <v>1807</v>
      </c>
      <c r="G565" s="1">
        <v>41365</v>
      </c>
      <c r="H565" s="1">
        <v>41426</v>
      </c>
      <c r="I565" t="s">
        <v>189</v>
      </c>
      <c r="J565">
        <v>1</v>
      </c>
      <c r="L565" t="s">
        <v>1812</v>
      </c>
      <c r="M565" t="s">
        <v>199</v>
      </c>
      <c r="N565" t="s">
        <v>1813</v>
      </c>
      <c r="P565" t="s">
        <v>1814</v>
      </c>
      <c r="Q565" t="s">
        <v>260</v>
      </c>
      <c r="R565" t="s">
        <v>261</v>
      </c>
      <c r="S565" t="s">
        <v>261</v>
      </c>
      <c r="T565" t="s">
        <v>261</v>
      </c>
      <c r="U565" t="s">
        <v>262</v>
      </c>
      <c r="V565" t="s">
        <v>262</v>
      </c>
      <c r="W565" t="s">
        <v>261</v>
      </c>
      <c r="X565" t="s">
        <v>262</v>
      </c>
      <c r="Y565" t="s">
        <v>261</v>
      </c>
      <c r="Z565" t="s">
        <v>409</v>
      </c>
      <c r="AA565" t="s">
        <v>409</v>
      </c>
      <c r="AB565" t="s">
        <v>409</v>
      </c>
      <c r="AC565" t="s">
        <v>409</v>
      </c>
      <c r="AD565" t="s">
        <v>262</v>
      </c>
      <c r="AE565">
        <v>10715007</v>
      </c>
      <c r="AH565" t="s">
        <v>262</v>
      </c>
      <c r="AI565" t="s">
        <v>262</v>
      </c>
      <c r="AJ565" t="s">
        <v>261</v>
      </c>
      <c r="AK565" t="s">
        <v>261</v>
      </c>
      <c r="AM565" t="s">
        <v>262</v>
      </c>
      <c r="AN565" t="s">
        <v>1815</v>
      </c>
    </row>
    <row r="566" spans="1:40" x14ac:dyDescent="0.35">
      <c r="A566">
        <v>3384093</v>
      </c>
      <c r="B566" t="s">
        <v>1816</v>
      </c>
      <c r="C566" t="str">
        <f>"9781909254114"</f>
        <v>9781909254114</v>
      </c>
      <c r="D566" t="str">
        <f>"9781909254121"</f>
        <v>9781909254121</v>
      </c>
      <c r="E566" t="s">
        <v>1807</v>
      </c>
      <c r="F566" t="s">
        <v>1807</v>
      </c>
      <c r="G566" s="1">
        <v>41214</v>
      </c>
      <c r="H566" s="1">
        <v>41426</v>
      </c>
      <c r="I566" t="s">
        <v>189</v>
      </c>
      <c r="J566">
        <v>1</v>
      </c>
      <c r="L566" t="s">
        <v>1817</v>
      </c>
      <c r="M566" t="s">
        <v>329</v>
      </c>
      <c r="O566" s="2">
        <v>30348241047</v>
      </c>
      <c r="Q566" t="s">
        <v>260</v>
      </c>
      <c r="R566" t="s">
        <v>261</v>
      </c>
      <c r="S566" t="s">
        <v>261</v>
      </c>
      <c r="T566" t="s">
        <v>261</v>
      </c>
      <c r="U566" t="s">
        <v>261</v>
      </c>
      <c r="V566" t="s">
        <v>262</v>
      </c>
      <c r="W566" t="s">
        <v>261</v>
      </c>
      <c r="X566" t="s">
        <v>261</v>
      </c>
      <c r="Y566" t="s">
        <v>261</v>
      </c>
      <c r="Z566" t="s">
        <v>409</v>
      </c>
      <c r="AA566" t="s">
        <v>409</v>
      </c>
      <c r="AB566" t="s">
        <v>409</v>
      </c>
      <c r="AC566" t="s">
        <v>409</v>
      </c>
      <c r="AD566" t="s">
        <v>262</v>
      </c>
      <c r="AE566">
        <v>10715008</v>
      </c>
      <c r="AH566" t="s">
        <v>262</v>
      </c>
      <c r="AI566" t="s">
        <v>262</v>
      </c>
      <c r="AJ566" t="s">
        <v>261</v>
      </c>
      <c r="AK566" t="s">
        <v>261</v>
      </c>
      <c r="AM566" t="s">
        <v>262</v>
      </c>
      <c r="AN566" t="s">
        <v>1818</v>
      </c>
    </row>
    <row r="567" spans="1:40" x14ac:dyDescent="0.35">
      <c r="A567">
        <v>3384094</v>
      </c>
      <c r="B567" t="s">
        <v>1819</v>
      </c>
      <c r="C567" t="str">
        <f>"9781906924256"</f>
        <v>9781906924256</v>
      </c>
      <c r="D567" t="str">
        <f>"9781906924263"</f>
        <v>9781906924263</v>
      </c>
      <c r="E567" t="s">
        <v>1807</v>
      </c>
      <c r="F567" t="s">
        <v>1807</v>
      </c>
      <c r="G567" s="1">
        <v>40360</v>
      </c>
      <c r="H567" s="1">
        <v>41426</v>
      </c>
      <c r="I567" t="s">
        <v>189</v>
      </c>
      <c r="J567">
        <v>1</v>
      </c>
      <c r="K567" t="s">
        <v>1820</v>
      </c>
      <c r="L567" t="s">
        <v>1821</v>
      </c>
      <c r="M567" t="s">
        <v>329</v>
      </c>
      <c r="N567" t="s">
        <v>1822</v>
      </c>
      <c r="O567" s="2">
        <v>3034833</v>
      </c>
      <c r="Q567" t="s">
        <v>260</v>
      </c>
      <c r="R567" t="s">
        <v>261</v>
      </c>
      <c r="S567" t="s">
        <v>261</v>
      </c>
      <c r="T567" t="s">
        <v>261</v>
      </c>
      <c r="U567" t="s">
        <v>261</v>
      </c>
      <c r="V567" t="s">
        <v>262</v>
      </c>
      <c r="W567" t="s">
        <v>261</v>
      </c>
      <c r="X567" t="s">
        <v>261</v>
      </c>
      <c r="Y567" t="s">
        <v>261</v>
      </c>
      <c r="Z567" t="s">
        <v>409</v>
      </c>
      <c r="AA567" t="s">
        <v>409</v>
      </c>
      <c r="AB567" t="s">
        <v>409</v>
      </c>
      <c r="AC567" t="s">
        <v>409</v>
      </c>
      <c r="AD567" t="s">
        <v>262</v>
      </c>
      <c r="AE567">
        <v>10715009</v>
      </c>
      <c r="AH567" t="s">
        <v>262</v>
      </c>
      <c r="AI567" t="s">
        <v>262</v>
      </c>
      <c r="AJ567" t="s">
        <v>261</v>
      </c>
      <c r="AK567" t="s">
        <v>261</v>
      </c>
      <c r="AM567" t="s">
        <v>262</v>
      </c>
      <c r="AN567" t="s">
        <v>1823</v>
      </c>
    </row>
    <row r="568" spans="1:40" x14ac:dyDescent="0.35">
      <c r="A568">
        <v>3384095</v>
      </c>
      <c r="B568" t="s">
        <v>1824</v>
      </c>
      <c r="C568" t="str">
        <f>"9781906924287"</f>
        <v>9781906924287</v>
      </c>
      <c r="D568" t="str">
        <f>"9781906924294"</f>
        <v>9781906924294</v>
      </c>
      <c r="E568" t="s">
        <v>1807</v>
      </c>
      <c r="F568" t="s">
        <v>1807</v>
      </c>
      <c r="G568" s="1">
        <v>40452</v>
      </c>
      <c r="H568" s="1">
        <v>41426</v>
      </c>
      <c r="I568" t="s">
        <v>189</v>
      </c>
      <c r="J568">
        <v>1</v>
      </c>
      <c r="L568" t="s">
        <v>35</v>
      </c>
    </row>
    <row r="569" spans="1:40" x14ac:dyDescent="0.35">
      <c r="A569">
        <v>3384096</v>
      </c>
      <c r="B569" t="s">
        <v>1825</v>
      </c>
      <c r="C569" t="str">
        <f>"9781906924218"</f>
        <v>9781906924218</v>
      </c>
      <c r="D569" t="str">
        <f>"9781906924232"</f>
        <v>9781906924232</v>
      </c>
      <c r="E569" t="s">
        <v>1807</v>
      </c>
      <c r="F569" t="s">
        <v>1807</v>
      </c>
      <c r="G569" s="1">
        <v>40269</v>
      </c>
      <c r="H569" s="1">
        <v>41426</v>
      </c>
      <c r="I569" t="s">
        <v>189</v>
      </c>
      <c r="J569">
        <v>1</v>
      </c>
      <c r="L569" t="s">
        <v>1826</v>
      </c>
      <c r="M569" t="s">
        <v>219</v>
      </c>
      <c r="Q569" t="s">
        <v>1827</v>
      </c>
      <c r="R569" t="s">
        <v>261</v>
      </c>
      <c r="S569" t="s">
        <v>261</v>
      </c>
      <c r="T569" t="s">
        <v>261</v>
      </c>
      <c r="U569" t="s">
        <v>261</v>
      </c>
      <c r="V569" t="s">
        <v>262</v>
      </c>
      <c r="W569" t="s">
        <v>261</v>
      </c>
      <c r="X569" t="s">
        <v>261</v>
      </c>
      <c r="Y569" t="s">
        <v>261</v>
      </c>
      <c r="Z569" t="s">
        <v>409</v>
      </c>
      <c r="AA569" t="s">
        <v>409</v>
      </c>
      <c r="AB569" t="s">
        <v>409</v>
      </c>
      <c r="AC569" t="s">
        <v>409</v>
      </c>
      <c r="AD569" t="s">
        <v>262</v>
      </c>
      <c r="AE569">
        <v>10715011</v>
      </c>
      <c r="AH569" t="s">
        <v>262</v>
      </c>
      <c r="AI569" t="s">
        <v>262</v>
      </c>
      <c r="AJ569" t="s">
        <v>261</v>
      </c>
      <c r="AK569" t="s">
        <v>261</v>
      </c>
      <c r="AM569" t="s">
        <v>262</v>
      </c>
      <c r="AN569" t="s">
        <v>1828</v>
      </c>
    </row>
    <row r="570" spans="1:40" x14ac:dyDescent="0.35">
      <c r="A570">
        <v>3384097</v>
      </c>
      <c r="B570" t="s">
        <v>1829</v>
      </c>
      <c r="C570" t="str">
        <f>"9781909254268"</f>
        <v>9781909254268</v>
      </c>
      <c r="D570" t="str">
        <f>"9781909254275"</f>
        <v>9781909254275</v>
      </c>
      <c r="E570" t="s">
        <v>1807</v>
      </c>
      <c r="F570" t="s">
        <v>1807</v>
      </c>
      <c r="G570" s="1">
        <v>41091</v>
      </c>
      <c r="H570" s="1">
        <v>41426</v>
      </c>
      <c r="I570" t="s">
        <v>189</v>
      </c>
      <c r="J570">
        <v>1</v>
      </c>
      <c r="K570" t="s">
        <v>1820</v>
      </c>
      <c r="L570" t="s">
        <v>1830</v>
      </c>
      <c r="M570" t="s">
        <v>1831</v>
      </c>
      <c r="O570" s="2">
        <v>130285</v>
      </c>
      <c r="Q570" t="s">
        <v>260</v>
      </c>
      <c r="R570" t="s">
        <v>261</v>
      </c>
      <c r="S570" t="s">
        <v>261</v>
      </c>
      <c r="T570" t="s">
        <v>261</v>
      </c>
      <c r="U570" t="s">
        <v>261</v>
      </c>
      <c r="V570" t="s">
        <v>262</v>
      </c>
      <c r="W570" t="s">
        <v>261</v>
      </c>
      <c r="X570" t="s">
        <v>261</v>
      </c>
      <c r="Y570" t="s">
        <v>261</v>
      </c>
      <c r="Z570" t="s">
        <v>409</v>
      </c>
      <c r="AA570" t="s">
        <v>409</v>
      </c>
      <c r="AB570" t="s">
        <v>409</v>
      </c>
      <c r="AC570" t="s">
        <v>409</v>
      </c>
      <c r="AD570" t="s">
        <v>262</v>
      </c>
      <c r="AE570">
        <v>10715012</v>
      </c>
      <c r="AH570" t="s">
        <v>262</v>
      </c>
      <c r="AI570" t="s">
        <v>262</v>
      </c>
      <c r="AJ570" t="s">
        <v>261</v>
      </c>
      <c r="AK570" t="s">
        <v>261</v>
      </c>
      <c r="AM570" t="s">
        <v>262</v>
      </c>
      <c r="AN570" t="s">
        <v>1832</v>
      </c>
    </row>
    <row r="571" spans="1:40" x14ac:dyDescent="0.35">
      <c r="A571">
        <v>3384098</v>
      </c>
      <c r="B571" t="s">
        <v>1833</v>
      </c>
      <c r="C571" t="str">
        <f>"9781906924348"</f>
        <v>9781906924348</v>
      </c>
      <c r="D571" t="str">
        <f>"9781906924355"</f>
        <v>9781906924355</v>
      </c>
      <c r="E571" t="s">
        <v>1807</v>
      </c>
      <c r="F571" t="s">
        <v>1807</v>
      </c>
      <c r="G571" s="1">
        <v>40603</v>
      </c>
      <c r="H571" s="1">
        <v>41426</v>
      </c>
      <c r="I571" t="s">
        <v>189</v>
      </c>
      <c r="J571">
        <v>1</v>
      </c>
      <c r="L571" t="s">
        <v>1834</v>
      </c>
      <c r="M571" t="s">
        <v>1831</v>
      </c>
      <c r="O571" t="s">
        <v>1835</v>
      </c>
      <c r="Q571" t="s">
        <v>260</v>
      </c>
      <c r="R571" t="s">
        <v>261</v>
      </c>
      <c r="S571" t="s">
        <v>261</v>
      </c>
      <c r="T571" t="s">
        <v>261</v>
      </c>
      <c r="U571" t="s">
        <v>261</v>
      </c>
      <c r="V571" t="s">
        <v>262</v>
      </c>
      <c r="W571" t="s">
        <v>261</v>
      </c>
      <c r="X571" t="s">
        <v>261</v>
      </c>
      <c r="Y571" t="s">
        <v>261</v>
      </c>
      <c r="Z571" t="s">
        <v>409</v>
      </c>
      <c r="AA571" t="s">
        <v>409</v>
      </c>
      <c r="AB571" t="s">
        <v>409</v>
      </c>
      <c r="AC571" t="s">
        <v>409</v>
      </c>
      <c r="AD571" t="s">
        <v>262</v>
      </c>
      <c r="AE571">
        <v>10715013</v>
      </c>
      <c r="AH571" t="s">
        <v>262</v>
      </c>
      <c r="AI571" t="s">
        <v>262</v>
      </c>
      <c r="AJ571" t="s">
        <v>261</v>
      </c>
      <c r="AK571" t="s">
        <v>261</v>
      </c>
      <c r="AM571" t="s">
        <v>262</v>
      </c>
      <c r="AN571" t="s">
        <v>1836</v>
      </c>
    </row>
    <row r="572" spans="1:40" x14ac:dyDescent="0.35">
      <c r="A572">
        <v>3384099</v>
      </c>
      <c r="B572" t="s">
        <v>1837</v>
      </c>
      <c r="C572" t="str">
        <f>"9781906924317"</f>
        <v>9781906924317</v>
      </c>
      <c r="D572" t="str">
        <f>"9781906924324"</f>
        <v>9781906924324</v>
      </c>
      <c r="E572" t="s">
        <v>1807</v>
      </c>
      <c r="F572" t="s">
        <v>1807</v>
      </c>
      <c r="G572" s="1">
        <v>40513</v>
      </c>
      <c r="H572" s="1">
        <v>41426</v>
      </c>
      <c r="I572" t="s">
        <v>189</v>
      </c>
      <c r="J572">
        <v>1</v>
      </c>
      <c r="L572" t="s">
        <v>1838</v>
      </c>
      <c r="M572" t="s">
        <v>219</v>
      </c>
      <c r="N572" t="s">
        <v>1839</v>
      </c>
      <c r="O572" t="s">
        <v>1840</v>
      </c>
      <c r="Q572" t="s">
        <v>260</v>
      </c>
      <c r="R572" t="s">
        <v>261</v>
      </c>
      <c r="S572" t="s">
        <v>261</v>
      </c>
      <c r="T572" t="s">
        <v>261</v>
      </c>
      <c r="U572" t="s">
        <v>261</v>
      </c>
      <c r="V572" t="s">
        <v>262</v>
      </c>
      <c r="W572" t="s">
        <v>261</v>
      </c>
      <c r="X572" t="s">
        <v>261</v>
      </c>
      <c r="Y572" t="s">
        <v>261</v>
      </c>
      <c r="Z572" t="s">
        <v>409</v>
      </c>
      <c r="AA572" t="s">
        <v>409</v>
      </c>
      <c r="AB572" t="s">
        <v>409</v>
      </c>
      <c r="AC572" t="s">
        <v>409</v>
      </c>
      <c r="AD572" t="s">
        <v>262</v>
      </c>
      <c r="AE572">
        <v>10715014</v>
      </c>
      <c r="AH572" t="s">
        <v>262</v>
      </c>
      <c r="AI572" t="s">
        <v>262</v>
      </c>
      <c r="AJ572" t="s">
        <v>261</v>
      </c>
      <c r="AK572" t="s">
        <v>261</v>
      </c>
      <c r="AM572" t="s">
        <v>262</v>
      </c>
      <c r="AN572" t="s">
        <v>1841</v>
      </c>
    </row>
    <row r="573" spans="1:40" x14ac:dyDescent="0.35">
      <c r="A573">
        <v>3384100</v>
      </c>
      <c r="B573" t="s">
        <v>1842</v>
      </c>
      <c r="C573" t="str">
        <f>"9781906924881"</f>
        <v>9781906924881</v>
      </c>
      <c r="D573" t="str">
        <f>"9781906924898"</f>
        <v>9781906924898</v>
      </c>
      <c r="E573" t="s">
        <v>1807</v>
      </c>
      <c r="F573" t="s">
        <v>1807</v>
      </c>
      <c r="G573" s="1">
        <v>41091</v>
      </c>
      <c r="H573" s="1">
        <v>41426</v>
      </c>
      <c r="I573" t="s">
        <v>189</v>
      </c>
      <c r="J573">
        <v>1</v>
      </c>
      <c r="L573" t="s">
        <v>1843</v>
      </c>
    </row>
    <row r="574" spans="1:40" x14ac:dyDescent="0.35">
      <c r="A574">
        <v>3384101</v>
      </c>
      <c r="B574" t="s">
        <v>1844</v>
      </c>
      <c r="C574" t="str">
        <f>"9781906924461"</f>
        <v>9781906924461</v>
      </c>
      <c r="D574" t="str">
        <f>"9781906924478"</f>
        <v>9781906924478</v>
      </c>
      <c r="E574" t="s">
        <v>1807</v>
      </c>
      <c r="F574" t="s">
        <v>1807</v>
      </c>
      <c r="G574" s="1">
        <v>40994</v>
      </c>
      <c r="H574" s="1">
        <v>41426</v>
      </c>
      <c r="I574" t="s">
        <v>189</v>
      </c>
      <c r="J574">
        <v>1</v>
      </c>
      <c r="K574" t="s">
        <v>1820</v>
      </c>
      <c r="L574" t="s">
        <v>1845</v>
      </c>
    </row>
    <row r="575" spans="1:40" x14ac:dyDescent="0.35">
      <c r="A575">
        <v>3384102</v>
      </c>
      <c r="B575" t="s">
        <v>1846</v>
      </c>
      <c r="C575" t="str">
        <f>"9781906924430"</f>
        <v>9781906924430</v>
      </c>
      <c r="D575" t="str">
        <f>"9781906924447"</f>
        <v>9781906924447</v>
      </c>
      <c r="E575" t="s">
        <v>1807</v>
      </c>
      <c r="F575" t="s">
        <v>1807</v>
      </c>
      <c r="G575" s="1">
        <v>41456</v>
      </c>
      <c r="H575" s="1">
        <v>41426</v>
      </c>
      <c r="I575" t="s">
        <v>189</v>
      </c>
      <c r="J575">
        <v>1</v>
      </c>
      <c r="L575" t="s">
        <v>1847</v>
      </c>
      <c r="M575" t="s">
        <v>219</v>
      </c>
      <c r="O575" t="s">
        <v>1848</v>
      </c>
      <c r="Q575" t="s">
        <v>260</v>
      </c>
      <c r="R575" t="s">
        <v>261</v>
      </c>
      <c r="S575" t="s">
        <v>261</v>
      </c>
      <c r="T575" t="s">
        <v>261</v>
      </c>
      <c r="U575" t="s">
        <v>261</v>
      </c>
      <c r="V575" t="s">
        <v>262</v>
      </c>
      <c r="W575" t="s">
        <v>261</v>
      </c>
      <c r="X575" t="s">
        <v>261</v>
      </c>
      <c r="Y575" t="s">
        <v>261</v>
      </c>
      <c r="Z575" t="s">
        <v>409</v>
      </c>
      <c r="AA575" t="s">
        <v>409</v>
      </c>
      <c r="AB575" t="s">
        <v>409</v>
      </c>
      <c r="AC575" t="s">
        <v>409</v>
      </c>
      <c r="AD575" t="s">
        <v>262</v>
      </c>
      <c r="AE575">
        <v>10715017</v>
      </c>
      <c r="AH575" t="s">
        <v>262</v>
      </c>
      <c r="AI575" t="s">
        <v>262</v>
      </c>
      <c r="AJ575" t="s">
        <v>261</v>
      </c>
      <c r="AK575" t="s">
        <v>261</v>
      </c>
      <c r="AM575" t="s">
        <v>262</v>
      </c>
      <c r="AN575" t="s">
        <v>1849</v>
      </c>
    </row>
    <row r="576" spans="1:40" x14ac:dyDescent="0.35">
      <c r="A576">
        <v>3384103</v>
      </c>
      <c r="B576" t="s">
        <v>1850</v>
      </c>
      <c r="C576" t="str">
        <f>"9781906924409"</f>
        <v>9781906924409</v>
      </c>
      <c r="D576" t="str">
        <f>"9781906924416"</f>
        <v>9781906924416</v>
      </c>
      <c r="E576" t="s">
        <v>1807</v>
      </c>
      <c r="F576" t="s">
        <v>1807</v>
      </c>
      <c r="G576" s="1">
        <v>40695</v>
      </c>
      <c r="H576" s="1">
        <v>41426</v>
      </c>
      <c r="I576" t="s">
        <v>189</v>
      </c>
      <c r="J576">
        <v>1</v>
      </c>
      <c r="K576" t="s">
        <v>1851</v>
      </c>
      <c r="L576" t="s">
        <v>1852</v>
      </c>
      <c r="M576" t="s">
        <v>329</v>
      </c>
      <c r="O576" s="2">
        <v>3036609171241</v>
      </c>
      <c r="Q576" t="s">
        <v>260</v>
      </c>
      <c r="R576" t="s">
        <v>261</v>
      </c>
      <c r="S576" t="s">
        <v>261</v>
      </c>
      <c r="T576" t="s">
        <v>261</v>
      </c>
      <c r="U576" t="s">
        <v>261</v>
      </c>
      <c r="V576" t="s">
        <v>262</v>
      </c>
      <c r="W576" t="s">
        <v>261</v>
      </c>
      <c r="X576" t="s">
        <v>261</v>
      </c>
      <c r="Y576" t="s">
        <v>261</v>
      </c>
      <c r="Z576" t="s">
        <v>409</v>
      </c>
      <c r="AA576" t="s">
        <v>409</v>
      </c>
      <c r="AB576" t="s">
        <v>409</v>
      </c>
      <c r="AC576" t="s">
        <v>409</v>
      </c>
      <c r="AD576" t="s">
        <v>262</v>
      </c>
      <c r="AE576">
        <v>10715018</v>
      </c>
      <c r="AH576" t="s">
        <v>262</v>
      </c>
      <c r="AI576" t="s">
        <v>262</v>
      </c>
      <c r="AJ576" t="s">
        <v>261</v>
      </c>
      <c r="AK576" t="s">
        <v>261</v>
      </c>
      <c r="AM576" t="s">
        <v>262</v>
      </c>
      <c r="AN576" t="s">
        <v>1853</v>
      </c>
    </row>
    <row r="577" spans="1:40" x14ac:dyDescent="0.35">
      <c r="A577">
        <v>3384104</v>
      </c>
      <c r="B577" t="s">
        <v>1854</v>
      </c>
      <c r="C577" t="str">
        <f>"9781906924577"</f>
        <v>9781906924577</v>
      </c>
      <c r="D577" t="str">
        <f>"9781906924584"</f>
        <v>9781906924584</v>
      </c>
      <c r="E577" t="s">
        <v>1807</v>
      </c>
      <c r="F577" t="s">
        <v>1807</v>
      </c>
      <c r="G577" s="1">
        <v>40848</v>
      </c>
      <c r="H577" s="1">
        <v>41426</v>
      </c>
      <c r="I577" t="s">
        <v>189</v>
      </c>
      <c r="J577">
        <v>1</v>
      </c>
      <c r="L577" t="s">
        <v>1855</v>
      </c>
    </row>
    <row r="578" spans="1:40" x14ac:dyDescent="0.35">
      <c r="A578">
        <v>3384105</v>
      </c>
      <c r="B578" t="s">
        <v>1856</v>
      </c>
      <c r="C578" t="str">
        <f>"9781906924546"</f>
        <v>9781906924546</v>
      </c>
      <c r="D578" t="str">
        <f>"9781906924553"</f>
        <v>9781906924553</v>
      </c>
      <c r="E578" t="s">
        <v>1807</v>
      </c>
      <c r="F578" t="s">
        <v>1807</v>
      </c>
      <c r="G578" s="1">
        <v>40848</v>
      </c>
      <c r="H578" s="1">
        <v>41426</v>
      </c>
      <c r="I578" t="s">
        <v>189</v>
      </c>
      <c r="J578">
        <v>1</v>
      </c>
      <c r="K578" t="s">
        <v>1857</v>
      </c>
      <c r="L578" t="s">
        <v>1858</v>
      </c>
      <c r="M578" t="s">
        <v>219</v>
      </c>
    </row>
    <row r="579" spans="1:40" x14ac:dyDescent="0.35">
      <c r="A579">
        <v>3384106</v>
      </c>
      <c r="B579" t="s">
        <v>1859</v>
      </c>
      <c r="C579" t="str">
        <f>"9781906924515"</f>
        <v>9781906924515</v>
      </c>
      <c r="D579" t="str">
        <f>"9781906924522"</f>
        <v>9781906924522</v>
      </c>
      <c r="E579" t="s">
        <v>1807</v>
      </c>
      <c r="F579" t="s">
        <v>1807</v>
      </c>
      <c r="G579" s="1">
        <v>40787</v>
      </c>
      <c r="H579" s="1">
        <v>41426</v>
      </c>
      <c r="I579" t="s">
        <v>189</v>
      </c>
      <c r="J579">
        <v>1</v>
      </c>
      <c r="L579" t="s">
        <v>1860</v>
      </c>
      <c r="M579" t="s">
        <v>219</v>
      </c>
      <c r="O579" s="2">
        <v>80993382</v>
      </c>
      <c r="Q579" t="s">
        <v>260</v>
      </c>
      <c r="R579" t="s">
        <v>261</v>
      </c>
      <c r="S579" t="s">
        <v>261</v>
      </c>
      <c r="T579" t="s">
        <v>261</v>
      </c>
      <c r="U579" t="s">
        <v>261</v>
      </c>
      <c r="V579" t="s">
        <v>262</v>
      </c>
      <c r="W579" t="s">
        <v>261</v>
      </c>
      <c r="X579" t="s">
        <v>261</v>
      </c>
      <c r="Y579" t="s">
        <v>261</v>
      </c>
      <c r="Z579" t="s">
        <v>409</v>
      </c>
      <c r="AA579" t="s">
        <v>409</v>
      </c>
      <c r="AB579" t="s">
        <v>409</v>
      </c>
      <c r="AC579" t="s">
        <v>409</v>
      </c>
      <c r="AD579" t="s">
        <v>262</v>
      </c>
      <c r="AE579">
        <v>10715021</v>
      </c>
      <c r="AH579" t="s">
        <v>262</v>
      </c>
      <c r="AI579" t="s">
        <v>262</v>
      </c>
      <c r="AJ579" t="s">
        <v>261</v>
      </c>
      <c r="AK579" t="s">
        <v>261</v>
      </c>
      <c r="AM579" t="s">
        <v>262</v>
      </c>
      <c r="AN579" t="s">
        <v>1861</v>
      </c>
    </row>
    <row r="580" spans="1:40" x14ac:dyDescent="0.35">
      <c r="A580">
        <v>3384107</v>
      </c>
      <c r="B580" t="s">
        <v>1862</v>
      </c>
      <c r="C580" t="str">
        <f>"9781906924669"</f>
        <v>9781906924669</v>
      </c>
      <c r="D580" t="str">
        <f>"9781906924676"</f>
        <v>9781906924676</v>
      </c>
      <c r="E580" t="s">
        <v>1807</v>
      </c>
      <c r="F580" t="s">
        <v>1807</v>
      </c>
      <c r="G580" s="1">
        <v>40940</v>
      </c>
      <c r="H580" s="1">
        <v>41426</v>
      </c>
      <c r="I580" t="s">
        <v>189</v>
      </c>
      <c r="J580">
        <v>1</v>
      </c>
      <c r="L580" t="s">
        <v>1863</v>
      </c>
    </row>
    <row r="581" spans="1:40" x14ac:dyDescent="0.35">
      <c r="A581">
        <v>3384108</v>
      </c>
      <c r="B581" t="s">
        <v>1864</v>
      </c>
      <c r="C581" t="str">
        <f>"9781909254213"</f>
        <v>9781909254213</v>
      </c>
      <c r="D581" t="str">
        <f>"9781909254220"</f>
        <v>9781909254220</v>
      </c>
      <c r="E581" t="s">
        <v>1807</v>
      </c>
      <c r="F581" t="s">
        <v>1807</v>
      </c>
      <c r="G581" s="1">
        <v>41275</v>
      </c>
      <c r="H581" s="1">
        <v>41426</v>
      </c>
      <c r="I581" t="s">
        <v>189</v>
      </c>
      <c r="J581">
        <v>1</v>
      </c>
      <c r="L581" t="s">
        <v>35</v>
      </c>
      <c r="M581" t="s">
        <v>239</v>
      </c>
    </row>
    <row r="582" spans="1:40" x14ac:dyDescent="0.35">
      <c r="A582">
        <v>3384109</v>
      </c>
      <c r="B582" t="s">
        <v>1865</v>
      </c>
      <c r="C582" t="str">
        <f>"9781906924713"</f>
        <v>9781906924713</v>
      </c>
      <c r="D582" t="str">
        <f>"9781906924720"</f>
        <v>9781906924720</v>
      </c>
      <c r="E582" t="s">
        <v>1807</v>
      </c>
      <c r="F582" t="s">
        <v>1807</v>
      </c>
      <c r="G582" s="1">
        <v>28040</v>
      </c>
      <c r="H582" s="1">
        <v>41426</v>
      </c>
      <c r="I582" t="s">
        <v>189</v>
      </c>
      <c r="J582">
        <v>1</v>
      </c>
      <c r="K582" t="s">
        <v>1866</v>
      </c>
      <c r="L582" t="s">
        <v>1834</v>
      </c>
    </row>
    <row r="583" spans="1:40" x14ac:dyDescent="0.35">
      <c r="A583">
        <v>3384110</v>
      </c>
      <c r="B583" t="s">
        <v>1867</v>
      </c>
      <c r="C583" t="str">
        <f>"9781906924133"</f>
        <v>9781906924133</v>
      </c>
      <c r="D583" t="str">
        <f>"9781906924140"</f>
        <v>9781906924140</v>
      </c>
      <c r="E583" t="s">
        <v>1807</v>
      </c>
      <c r="F583" t="s">
        <v>1807</v>
      </c>
      <c r="G583" s="1">
        <v>40179</v>
      </c>
      <c r="H583" s="1">
        <v>41426</v>
      </c>
      <c r="I583" t="s">
        <v>189</v>
      </c>
      <c r="J583">
        <v>1</v>
      </c>
      <c r="L583" t="s">
        <v>1868</v>
      </c>
    </row>
    <row r="584" spans="1:40" x14ac:dyDescent="0.35">
      <c r="A584">
        <v>3384111</v>
      </c>
      <c r="B584" t="s">
        <v>1869</v>
      </c>
      <c r="C584" t="str">
        <f>"9781906924164"</f>
        <v>9781906924164</v>
      </c>
      <c r="D584" t="str">
        <f>"9781906924171"</f>
        <v>9781906924171</v>
      </c>
      <c r="E584" t="s">
        <v>1807</v>
      </c>
      <c r="F584" t="s">
        <v>1807</v>
      </c>
      <c r="G584" s="1">
        <v>40360</v>
      </c>
      <c r="H584" s="1">
        <v>41426</v>
      </c>
      <c r="I584" t="s">
        <v>189</v>
      </c>
      <c r="J584">
        <v>1</v>
      </c>
      <c r="L584" t="s">
        <v>1870</v>
      </c>
    </row>
    <row r="585" spans="1:40" x14ac:dyDescent="0.35">
      <c r="A585">
        <v>3384112</v>
      </c>
      <c r="B585" t="s">
        <v>1871</v>
      </c>
      <c r="C585" t="str">
        <f>"9781906924195"</f>
        <v>9781906924195</v>
      </c>
      <c r="D585" t="str">
        <f>"9781906924201"</f>
        <v>9781906924201</v>
      </c>
      <c r="E585" t="s">
        <v>1807</v>
      </c>
      <c r="F585" t="s">
        <v>1807</v>
      </c>
      <c r="G585" s="1">
        <v>40330</v>
      </c>
      <c r="H585" s="1">
        <v>41426</v>
      </c>
      <c r="I585" t="s">
        <v>189</v>
      </c>
      <c r="J585">
        <v>1</v>
      </c>
      <c r="L585" t="s">
        <v>1872</v>
      </c>
    </row>
    <row r="586" spans="1:40" x14ac:dyDescent="0.35">
      <c r="A586">
        <v>3384113</v>
      </c>
      <c r="B586" t="s">
        <v>1873</v>
      </c>
      <c r="C586" t="str">
        <f>"9781906924041"</f>
        <v>9781906924041</v>
      </c>
      <c r="D586" t="str">
        <f>"9781906924058"</f>
        <v>9781906924058</v>
      </c>
      <c r="E586" t="s">
        <v>1807</v>
      </c>
      <c r="F586" t="s">
        <v>1807</v>
      </c>
      <c r="G586" s="1">
        <v>30413</v>
      </c>
      <c r="H586" s="1">
        <v>41426</v>
      </c>
      <c r="I586" t="s">
        <v>189</v>
      </c>
      <c r="J586">
        <v>1</v>
      </c>
      <c r="L586" t="s">
        <v>1874</v>
      </c>
      <c r="M586" t="s">
        <v>578</v>
      </c>
      <c r="O586" s="2">
        <v>7914309046</v>
      </c>
      <c r="Q586" t="s">
        <v>260</v>
      </c>
      <c r="R586" t="s">
        <v>261</v>
      </c>
      <c r="S586" t="s">
        <v>261</v>
      </c>
      <c r="T586" t="s">
        <v>261</v>
      </c>
      <c r="U586" t="s">
        <v>261</v>
      </c>
      <c r="V586" t="s">
        <v>262</v>
      </c>
      <c r="W586" t="s">
        <v>261</v>
      </c>
      <c r="X586" t="s">
        <v>261</v>
      </c>
      <c r="Y586" t="s">
        <v>261</v>
      </c>
      <c r="Z586" t="s">
        <v>409</v>
      </c>
      <c r="AA586" t="s">
        <v>409</v>
      </c>
      <c r="AB586" t="s">
        <v>409</v>
      </c>
      <c r="AC586" t="s">
        <v>409</v>
      </c>
      <c r="AD586" t="s">
        <v>262</v>
      </c>
      <c r="AE586">
        <v>10715028</v>
      </c>
      <c r="AH586" t="s">
        <v>262</v>
      </c>
      <c r="AI586" t="s">
        <v>262</v>
      </c>
      <c r="AJ586" t="s">
        <v>261</v>
      </c>
      <c r="AK586" t="s">
        <v>261</v>
      </c>
      <c r="AM586" t="s">
        <v>262</v>
      </c>
      <c r="AN586" t="s">
        <v>1875</v>
      </c>
    </row>
    <row r="587" spans="1:40" x14ac:dyDescent="0.35">
      <c r="A587">
        <v>3384114</v>
      </c>
      <c r="B587" t="s">
        <v>1876</v>
      </c>
      <c r="C587" t="str">
        <f>"9781906924072"</f>
        <v>9781906924072</v>
      </c>
      <c r="D587" t="str">
        <f>"9781906924089"</f>
        <v>9781906924089</v>
      </c>
      <c r="E587" t="s">
        <v>1807</v>
      </c>
      <c r="F587" t="s">
        <v>1807</v>
      </c>
      <c r="G587" s="1">
        <v>39923</v>
      </c>
      <c r="H587" s="1">
        <v>41426</v>
      </c>
      <c r="I587" t="s">
        <v>189</v>
      </c>
      <c r="J587">
        <v>1</v>
      </c>
      <c r="L587" t="s">
        <v>35</v>
      </c>
      <c r="M587" t="s">
        <v>239</v>
      </c>
    </row>
    <row r="588" spans="1:40" x14ac:dyDescent="0.35">
      <c r="A588">
        <v>3384115</v>
      </c>
      <c r="B588" t="s">
        <v>1877</v>
      </c>
      <c r="C588" t="str">
        <f>"9781906924010"</f>
        <v>9781906924010</v>
      </c>
      <c r="D588" t="str">
        <f>"9781906924027"</f>
        <v>9781906924027</v>
      </c>
      <c r="E588" t="s">
        <v>1807</v>
      </c>
      <c r="F588" t="s">
        <v>1807</v>
      </c>
      <c r="G588" s="1">
        <v>39753</v>
      </c>
      <c r="H588" s="1">
        <v>41426</v>
      </c>
      <c r="I588" t="s">
        <v>189</v>
      </c>
      <c r="J588">
        <v>1</v>
      </c>
      <c r="L588" t="s">
        <v>1878</v>
      </c>
    </row>
    <row r="589" spans="1:40" x14ac:dyDescent="0.35">
      <c r="A589">
        <v>3384116</v>
      </c>
      <c r="B589" t="s">
        <v>1879</v>
      </c>
      <c r="C589" t="str">
        <f>"9781906924102"</f>
        <v>9781906924102</v>
      </c>
      <c r="D589" t="str">
        <f>"9781906924119"</f>
        <v>9781906924119</v>
      </c>
      <c r="E589" t="s">
        <v>1807</v>
      </c>
      <c r="F589" t="s">
        <v>1807</v>
      </c>
      <c r="G589" s="1">
        <v>40087</v>
      </c>
      <c r="H589" s="1">
        <v>41426</v>
      </c>
      <c r="I589" t="s">
        <v>189</v>
      </c>
      <c r="J589">
        <v>1</v>
      </c>
      <c r="L589" t="s">
        <v>1880</v>
      </c>
      <c r="M589" t="s">
        <v>219</v>
      </c>
      <c r="O589" s="2">
        <v>82099282</v>
      </c>
      <c r="Q589" t="s">
        <v>260</v>
      </c>
      <c r="R589" t="s">
        <v>261</v>
      </c>
      <c r="S589" t="s">
        <v>261</v>
      </c>
      <c r="T589" t="s">
        <v>261</v>
      </c>
      <c r="U589" t="s">
        <v>261</v>
      </c>
      <c r="V589" t="s">
        <v>262</v>
      </c>
      <c r="W589" t="s">
        <v>261</v>
      </c>
      <c r="X589" t="s">
        <v>261</v>
      </c>
      <c r="Y589" t="s">
        <v>261</v>
      </c>
      <c r="Z589" t="s">
        <v>409</v>
      </c>
      <c r="AA589" t="s">
        <v>409</v>
      </c>
      <c r="AB589" t="s">
        <v>409</v>
      </c>
      <c r="AC589" t="s">
        <v>409</v>
      </c>
      <c r="AD589" t="s">
        <v>262</v>
      </c>
      <c r="AE589">
        <v>10715031</v>
      </c>
      <c r="AH589" t="s">
        <v>262</v>
      </c>
      <c r="AI589" t="s">
        <v>262</v>
      </c>
      <c r="AJ589" t="s">
        <v>261</v>
      </c>
      <c r="AK589" t="s">
        <v>261</v>
      </c>
      <c r="AM589" t="s">
        <v>262</v>
      </c>
      <c r="AN589" t="s">
        <v>1881</v>
      </c>
    </row>
    <row r="590" spans="1:40" x14ac:dyDescent="0.35">
      <c r="A590">
        <v>3384117</v>
      </c>
      <c r="B590" t="s">
        <v>1882</v>
      </c>
      <c r="C590" t="str">
        <f>"9781909254169"</f>
        <v>9781909254169</v>
      </c>
      <c r="D590" t="str">
        <f>"9781909254176"</f>
        <v>9781909254176</v>
      </c>
      <c r="E590" t="s">
        <v>1807</v>
      </c>
      <c r="F590" t="s">
        <v>1807</v>
      </c>
      <c r="G590" s="1">
        <v>41214</v>
      </c>
      <c r="H590" s="1">
        <v>41426</v>
      </c>
      <c r="I590" t="s">
        <v>189</v>
      </c>
      <c r="J590">
        <v>1</v>
      </c>
      <c r="K590" t="s">
        <v>1857</v>
      </c>
      <c r="L590" t="s">
        <v>1858</v>
      </c>
      <c r="M590" t="s">
        <v>219</v>
      </c>
      <c r="O590" t="s">
        <v>1883</v>
      </c>
      <c r="Q590" t="s">
        <v>260</v>
      </c>
      <c r="R590" t="s">
        <v>261</v>
      </c>
      <c r="S590" t="s">
        <v>261</v>
      </c>
      <c r="T590" t="s">
        <v>261</v>
      </c>
      <c r="U590" t="s">
        <v>261</v>
      </c>
      <c r="V590" t="s">
        <v>262</v>
      </c>
      <c r="W590" t="s">
        <v>261</v>
      </c>
      <c r="X590" t="s">
        <v>261</v>
      </c>
      <c r="Y590" t="s">
        <v>261</v>
      </c>
      <c r="Z590" t="s">
        <v>409</v>
      </c>
      <c r="AA590" t="s">
        <v>409</v>
      </c>
      <c r="AB590" t="s">
        <v>409</v>
      </c>
      <c r="AC590" t="s">
        <v>409</v>
      </c>
      <c r="AD590" t="s">
        <v>262</v>
      </c>
      <c r="AE590">
        <v>10715032</v>
      </c>
      <c r="AH590" t="s">
        <v>262</v>
      </c>
      <c r="AI590" t="s">
        <v>262</v>
      </c>
      <c r="AJ590" t="s">
        <v>261</v>
      </c>
      <c r="AK590" t="s">
        <v>261</v>
      </c>
      <c r="AM590" t="s">
        <v>262</v>
      </c>
      <c r="AN590" t="s">
        <v>1884</v>
      </c>
    </row>
    <row r="591" spans="1:40" x14ac:dyDescent="0.35">
      <c r="A591">
        <v>3384118</v>
      </c>
      <c r="B591" t="s">
        <v>1885</v>
      </c>
      <c r="C591" t="str">
        <f>"9781906924935"</f>
        <v>9781906924935</v>
      </c>
      <c r="D591" t="str">
        <f>"9781906924942"</f>
        <v>9781906924942</v>
      </c>
      <c r="E591" t="s">
        <v>1807</v>
      </c>
      <c r="F591" t="s">
        <v>1807</v>
      </c>
      <c r="G591" s="1">
        <v>41153</v>
      </c>
      <c r="H591" s="1">
        <v>41426</v>
      </c>
      <c r="I591" t="s">
        <v>189</v>
      </c>
      <c r="J591">
        <v>1</v>
      </c>
      <c r="L591" t="s">
        <v>1886</v>
      </c>
      <c r="M591" t="s">
        <v>282</v>
      </c>
    </row>
    <row r="592" spans="1:40" x14ac:dyDescent="0.35">
      <c r="A592">
        <v>3384119</v>
      </c>
      <c r="B592" t="s">
        <v>1887</v>
      </c>
      <c r="C592" t="str">
        <f>"9781906924782"</f>
        <v>9781906924782</v>
      </c>
      <c r="D592" t="str">
        <f>"9781906924799"</f>
        <v>9781906924799</v>
      </c>
      <c r="E592" t="s">
        <v>1807</v>
      </c>
      <c r="F592" t="s">
        <v>1807</v>
      </c>
      <c r="G592" s="1">
        <v>41000</v>
      </c>
      <c r="H592" s="1">
        <v>41426</v>
      </c>
      <c r="I592" t="s">
        <v>189</v>
      </c>
      <c r="J592">
        <v>1</v>
      </c>
      <c r="L592" t="s">
        <v>1888</v>
      </c>
      <c r="M592" t="s">
        <v>282</v>
      </c>
      <c r="O592">
        <v>330</v>
      </c>
      <c r="Q592" t="s">
        <v>260</v>
      </c>
      <c r="R592" t="s">
        <v>261</v>
      </c>
      <c r="S592" t="s">
        <v>261</v>
      </c>
      <c r="T592" t="s">
        <v>261</v>
      </c>
      <c r="U592" t="s">
        <v>261</v>
      </c>
      <c r="V592" t="s">
        <v>262</v>
      </c>
      <c r="W592" t="s">
        <v>261</v>
      </c>
      <c r="X592" t="s">
        <v>261</v>
      </c>
      <c r="Y592" t="s">
        <v>261</v>
      </c>
      <c r="Z592" t="s">
        <v>409</v>
      </c>
      <c r="AA592" t="s">
        <v>409</v>
      </c>
      <c r="AB592" t="s">
        <v>409</v>
      </c>
      <c r="AC592" t="s">
        <v>409</v>
      </c>
      <c r="AD592" t="s">
        <v>262</v>
      </c>
      <c r="AE592">
        <v>10715034</v>
      </c>
      <c r="AH592" t="s">
        <v>262</v>
      </c>
      <c r="AI592" t="s">
        <v>262</v>
      </c>
      <c r="AJ592" t="s">
        <v>261</v>
      </c>
      <c r="AK592" t="s">
        <v>261</v>
      </c>
      <c r="AM592" t="s">
        <v>262</v>
      </c>
      <c r="AN592" t="s">
        <v>1889</v>
      </c>
    </row>
    <row r="593" spans="1:40" x14ac:dyDescent="0.35">
      <c r="A593">
        <v>3384120</v>
      </c>
      <c r="B593" t="s">
        <v>1890</v>
      </c>
      <c r="C593" t="str">
        <f>"9781906924379"</f>
        <v>9781906924379</v>
      </c>
      <c r="D593" t="str">
        <f>"9781906924386"</f>
        <v>9781906924386</v>
      </c>
      <c r="E593" t="s">
        <v>1807</v>
      </c>
      <c r="F593" t="s">
        <v>1807</v>
      </c>
      <c r="G593" s="1">
        <v>40664</v>
      </c>
      <c r="H593" s="1">
        <v>41453</v>
      </c>
      <c r="I593" t="s">
        <v>189</v>
      </c>
      <c r="J593">
        <v>1</v>
      </c>
      <c r="L593" t="s">
        <v>1891</v>
      </c>
    </row>
    <row r="594" spans="1:40" x14ac:dyDescent="0.35">
      <c r="A594">
        <v>3384121</v>
      </c>
      <c r="B594" t="s">
        <v>1892</v>
      </c>
      <c r="C594" t="str">
        <f>"9781909254602"</f>
        <v>9781909254602</v>
      </c>
      <c r="D594" t="str">
        <f>"9781909254619"</f>
        <v>9781909254619</v>
      </c>
      <c r="E594" t="s">
        <v>1807</v>
      </c>
      <c r="F594" t="s">
        <v>1807</v>
      </c>
      <c r="G594" s="1">
        <v>41456</v>
      </c>
      <c r="H594" s="1">
        <v>41726</v>
      </c>
      <c r="I594" t="s">
        <v>189</v>
      </c>
      <c r="J594">
        <v>1</v>
      </c>
      <c r="K594" t="s">
        <v>1866</v>
      </c>
      <c r="L594" t="s">
        <v>1893</v>
      </c>
    </row>
    <row r="595" spans="1:40" x14ac:dyDescent="0.35">
      <c r="A595">
        <v>3384122</v>
      </c>
      <c r="B595" t="s">
        <v>1894</v>
      </c>
      <c r="C595" t="str">
        <f>"9781909254763"</f>
        <v>9781909254763</v>
      </c>
      <c r="D595" t="str">
        <f>"9781909254770"</f>
        <v>9781909254770</v>
      </c>
      <c r="E595" t="s">
        <v>1807</v>
      </c>
      <c r="F595" t="s">
        <v>1807</v>
      </c>
      <c r="G595" s="1">
        <v>41640</v>
      </c>
      <c r="H595" s="1">
        <v>41726</v>
      </c>
      <c r="I595" t="s">
        <v>189</v>
      </c>
      <c r="J595">
        <v>1</v>
      </c>
      <c r="L595" t="s">
        <v>1895</v>
      </c>
    </row>
    <row r="596" spans="1:40" x14ac:dyDescent="0.35">
      <c r="A596">
        <v>3384123</v>
      </c>
      <c r="B596" t="s">
        <v>1896</v>
      </c>
    </row>
    <row r="597" spans="1:40" x14ac:dyDescent="0.35">
      <c r="A597">
        <v>3384124</v>
      </c>
      <c r="B597" t="s">
        <v>1897</v>
      </c>
      <c r="C597" t="str">
        <f>"9781909254640"</f>
        <v>9781909254640</v>
      </c>
      <c r="D597" t="str">
        <f>"9781909254411"</f>
        <v>9781909254411</v>
      </c>
      <c r="E597" t="s">
        <v>1807</v>
      </c>
      <c r="F597" t="s">
        <v>1807</v>
      </c>
      <c r="G597" s="1">
        <v>41579</v>
      </c>
      <c r="H597" s="1">
        <v>41726</v>
      </c>
      <c r="I597" t="s">
        <v>189</v>
      </c>
      <c r="J597">
        <v>1</v>
      </c>
      <c r="K597" t="s">
        <v>1866</v>
      </c>
      <c r="L597" t="s">
        <v>1898</v>
      </c>
    </row>
    <row r="598" spans="1:40" x14ac:dyDescent="0.35">
      <c r="A598">
        <v>3384125</v>
      </c>
      <c r="B598" t="s">
        <v>1899</v>
      </c>
      <c r="C598" t="str">
        <f>"9781783740130"</f>
        <v>9781783740130</v>
      </c>
      <c r="D598" t="str">
        <f>"9781783740147"</f>
        <v>9781783740147</v>
      </c>
      <c r="E598" t="s">
        <v>1807</v>
      </c>
      <c r="F598" t="s">
        <v>1807</v>
      </c>
      <c r="G598" s="1">
        <v>41671</v>
      </c>
      <c r="H598" s="1">
        <v>41726</v>
      </c>
      <c r="I598" t="s">
        <v>189</v>
      </c>
      <c r="J598">
        <v>1</v>
      </c>
      <c r="L598" t="s">
        <v>1900</v>
      </c>
      <c r="M598" t="s">
        <v>239</v>
      </c>
      <c r="N598" t="s">
        <v>1901</v>
      </c>
      <c r="Q598" t="s">
        <v>260</v>
      </c>
      <c r="R598" t="s">
        <v>261</v>
      </c>
      <c r="S598" t="s">
        <v>261</v>
      </c>
      <c r="T598" t="s">
        <v>261</v>
      </c>
      <c r="U598" t="s">
        <v>261</v>
      </c>
      <c r="V598" t="s">
        <v>262</v>
      </c>
      <c r="W598" t="s">
        <v>261</v>
      </c>
      <c r="X598" t="s">
        <v>261</v>
      </c>
      <c r="Y598" t="s">
        <v>261</v>
      </c>
      <c r="Z598" t="s">
        <v>409</v>
      </c>
      <c r="AA598" t="s">
        <v>409</v>
      </c>
      <c r="AB598" t="s">
        <v>409</v>
      </c>
      <c r="AC598" t="s">
        <v>409</v>
      </c>
      <c r="AD598" t="s">
        <v>262</v>
      </c>
      <c r="AE598">
        <v>10852537</v>
      </c>
      <c r="AH598" t="s">
        <v>262</v>
      </c>
      <c r="AI598" t="s">
        <v>262</v>
      </c>
      <c r="AJ598" t="s">
        <v>261</v>
      </c>
      <c r="AK598" t="s">
        <v>261</v>
      </c>
      <c r="AM598" t="s">
        <v>262</v>
      </c>
      <c r="AN598" t="s">
        <v>1902</v>
      </c>
    </row>
    <row r="599" spans="1:40" x14ac:dyDescent="0.35">
      <c r="A599">
        <v>3384126</v>
      </c>
      <c r="B599" t="s">
        <v>1903</v>
      </c>
      <c r="C599" t="str">
        <f>"9781783740017"</f>
        <v>9781783740017</v>
      </c>
      <c r="D599" t="str">
        <f>"9781783740024"</f>
        <v>9781783740024</v>
      </c>
      <c r="E599" t="s">
        <v>1807</v>
      </c>
      <c r="F599" t="s">
        <v>1807</v>
      </c>
      <c r="G599" s="1">
        <v>41518</v>
      </c>
      <c r="H599" s="1">
        <v>41726</v>
      </c>
      <c r="I599" t="s">
        <v>189</v>
      </c>
      <c r="J599">
        <v>1</v>
      </c>
      <c r="K599" t="s">
        <v>1857</v>
      </c>
      <c r="L599" t="s">
        <v>1904</v>
      </c>
    </row>
    <row r="600" spans="1:40" x14ac:dyDescent="0.35">
      <c r="A600">
        <v>3384127</v>
      </c>
      <c r="B600" t="s">
        <v>1905</v>
      </c>
      <c r="C600" t="str">
        <f>"9781783740185"</f>
        <v>9781783740185</v>
      </c>
      <c r="D600" t="str">
        <f>"9781783740192"</f>
        <v>9781783740192</v>
      </c>
      <c r="E600" t="s">
        <v>1807</v>
      </c>
      <c r="F600" t="s">
        <v>1807</v>
      </c>
      <c r="G600" s="1">
        <v>41609</v>
      </c>
      <c r="H600" s="1">
        <v>41726</v>
      </c>
      <c r="I600" t="s">
        <v>189</v>
      </c>
      <c r="J600">
        <v>1</v>
      </c>
      <c r="K600" t="s">
        <v>1808</v>
      </c>
      <c r="L600" t="s">
        <v>1906</v>
      </c>
    </row>
    <row r="601" spans="1:40" x14ac:dyDescent="0.35">
      <c r="A601">
        <v>3384128</v>
      </c>
      <c r="B601" t="s">
        <v>1907</v>
      </c>
      <c r="C601" t="str">
        <f>"9781909254060"</f>
        <v>9781909254060</v>
      </c>
      <c r="D601" t="str">
        <f>"9781909254077"</f>
        <v>9781909254077</v>
      </c>
      <c r="E601" t="s">
        <v>1807</v>
      </c>
      <c r="F601" t="s">
        <v>1807</v>
      </c>
      <c r="G601" s="1">
        <v>41548</v>
      </c>
      <c r="H601" s="1">
        <v>41726</v>
      </c>
      <c r="I601" t="s">
        <v>189</v>
      </c>
      <c r="J601">
        <v>1</v>
      </c>
      <c r="K601" t="s">
        <v>1866</v>
      </c>
      <c r="L601" t="s">
        <v>1908</v>
      </c>
    </row>
    <row r="602" spans="1:40" x14ac:dyDescent="0.35">
      <c r="A602">
        <v>3384129</v>
      </c>
      <c r="B602" t="s">
        <v>1909</v>
      </c>
      <c r="C602" t="str">
        <f>"9781909254015"</f>
        <v>9781909254015</v>
      </c>
      <c r="D602" t="str">
        <f>"9781909254022"</f>
        <v>9781909254022</v>
      </c>
      <c r="E602" t="s">
        <v>1807</v>
      </c>
      <c r="F602" t="s">
        <v>1807</v>
      </c>
      <c r="G602" s="1">
        <v>41456</v>
      </c>
      <c r="H602" s="1">
        <v>41726</v>
      </c>
      <c r="I602" t="s">
        <v>189</v>
      </c>
      <c r="J602">
        <v>1</v>
      </c>
      <c r="L602" t="s">
        <v>1910</v>
      </c>
    </row>
    <row r="603" spans="1:40" x14ac:dyDescent="0.35">
      <c r="A603">
        <v>3384130</v>
      </c>
      <c r="B603" t="s">
        <v>1911</v>
      </c>
      <c r="C603" t="str">
        <f>"9781909254312"</f>
        <v>9781909254312</v>
      </c>
      <c r="D603" t="str">
        <f>"9781909254329"</f>
        <v>9781909254329</v>
      </c>
      <c r="E603" t="s">
        <v>1807</v>
      </c>
      <c r="F603" t="s">
        <v>1807</v>
      </c>
      <c r="G603" s="1">
        <v>41395</v>
      </c>
      <c r="H603" s="1">
        <v>41726</v>
      </c>
      <c r="I603" t="s">
        <v>189</v>
      </c>
      <c r="J603">
        <v>1</v>
      </c>
      <c r="K603" t="s">
        <v>1866</v>
      </c>
      <c r="L603" t="s">
        <v>1912</v>
      </c>
    </row>
    <row r="604" spans="1:40" x14ac:dyDescent="0.35">
      <c r="A604">
        <v>3384131</v>
      </c>
      <c r="B604" t="s">
        <v>1913</v>
      </c>
      <c r="C604" t="str">
        <f>"9781783740383"</f>
        <v>9781783740383</v>
      </c>
      <c r="D604" t="str">
        <f>"9781783740390"</f>
        <v>9781783740390</v>
      </c>
      <c r="E604" t="s">
        <v>1807</v>
      </c>
      <c r="F604" t="s">
        <v>1807</v>
      </c>
      <c r="G604" s="1">
        <v>41852</v>
      </c>
      <c r="H604" s="1">
        <v>41989</v>
      </c>
      <c r="I604" t="s">
        <v>189</v>
      </c>
      <c r="J604">
        <v>1</v>
      </c>
      <c r="L604" t="s">
        <v>1914</v>
      </c>
      <c r="M604" t="s">
        <v>1687</v>
      </c>
      <c r="N604" t="s">
        <v>1915</v>
      </c>
      <c r="Q604" t="s">
        <v>260</v>
      </c>
      <c r="R604" t="s">
        <v>261</v>
      </c>
      <c r="S604" t="s">
        <v>261</v>
      </c>
      <c r="T604" t="s">
        <v>261</v>
      </c>
      <c r="U604" t="s">
        <v>261</v>
      </c>
      <c r="V604" t="s">
        <v>262</v>
      </c>
      <c r="W604" t="s">
        <v>261</v>
      </c>
      <c r="X604" t="s">
        <v>261</v>
      </c>
      <c r="Y604" t="s">
        <v>261</v>
      </c>
      <c r="Z604" t="s">
        <v>409</v>
      </c>
      <c r="AA604" t="s">
        <v>409</v>
      </c>
      <c r="AB604" t="s">
        <v>409</v>
      </c>
      <c r="AC604" t="s">
        <v>409</v>
      </c>
      <c r="AD604" t="s">
        <v>262</v>
      </c>
      <c r="AE604">
        <v>10996508</v>
      </c>
      <c r="AH604" t="s">
        <v>262</v>
      </c>
      <c r="AI604" t="s">
        <v>262</v>
      </c>
      <c r="AJ604" t="s">
        <v>261</v>
      </c>
      <c r="AK604" t="s">
        <v>261</v>
      </c>
      <c r="AM604" t="s">
        <v>262</v>
      </c>
      <c r="AN604" t="s">
        <v>1916</v>
      </c>
    </row>
    <row r="605" spans="1:40" x14ac:dyDescent="0.35">
      <c r="A605">
        <v>3384132</v>
      </c>
      <c r="B605" t="s">
        <v>1917</v>
      </c>
      <c r="C605" t="str">
        <f>"9781783740581"</f>
        <v>9781783740581</v>
      </c>
      <c r="D605" t="str">
        <f>"9781783740598"</f>
        <v>9781783740598</v>
      </c>
      <c r="E605" t="s">
        <v>1807</v>
      </c>
      <c r="F605" t="s">
        <v>1807</v>
      </c>
      <c r="G605" s="1">
        <v>41730</v>
      </c>
      <c r="H605" s="1">
        <v>41989</v>
      </c>
      <c r="I605" t="s">
        <v>189</v>
      </c>
      <c r="J605">
        <v>1</v>
      </c>
      <c r="L605" t="s">
        <v>1817</v>
      </c>
      <c r="M605" t="s">
        <v>239</v>
      </c>
      <c r="N605" t="s">
        <v>1918</v>
      </c>
      <c r="Q605" t="s">
        <v>260</v>
      </c>
      <c r="R605" t="s">
        <v>261</v>
      </c>
      <c r="S605" t="s">
        <v>261</v>
      </c>
      <c r="T605" t="s">
        <v>261</v>
      </c>
      <c r="U605" t="s">
        <v>261</v>
      </c>
      <c r="V605" t="s">
        <v>262</v>
      </c>
      <c r="W605" t="s">
        <v>261</v>
      </c>
      <c r="X605" t="s">
        <v>261</v>
      </c>
      <c r="Y605" t="s">
        <v>261</v>
      </c>
      <c r="Z605" t="s">
        <v>409</v>
      </c>
      <c r="AA605" t="s">
        <v>409</v>
      </c>
      <c r="AB605" t="s">
        <v>409</v>
      </c>
      <c r="AC605" t="s">
        <v>409</v>
      </c>
      <c r="AD605" t="s">
        <v>262</v>
      </c>
      <c r="AE605">
        <v>10996509</v>
      </c>
      <c r="AH605" t="s">
        <v>262</v>
      </c>
      <c r="AI605" t="s">
        <v>262</v>
      </c>
      <c r="AJ605" t="s">
        <v>261</v>
      </c>
      <c r="AK605" t="s">
        <v>261</v>
      </c>
      <c r="AM605" t="s">
        <v>262</v>
      </c>
      <c r="AN605" t="s">
        <v>1919</v>
      </c>
    </row>
    <row r="606" spans="1:40" x14ac:dyDescent="0.35">
      <c r="A606">
        <v>3384133</v>
      </c>
      <c r="B606" t="s">
        <v>1920</v>
      </c>
      <c r="C606" t="str">
        <f>"9781783740789"</f>
        <v>9781783740789</v>
      </c>
      <c r="D606" t="str">
        <f>"9781783740796"</f>
        <v>9781783740796</v>
      </c>
      <c r="E606" t="s">
        <v>1807</v>
      </c>
      <c r="F606" t="s">
        <v>1807</v>
      </c>
      <c r="G606" s="1">
        <v>41886</v>
      </c>
      <c r="H606" s="1">
        <v>41989</v>
      </c>
      <c r="I606" t="s">
        <v>189</v>
      </c>
      <c r="J606">
        <v>1</v>
      </c>
      <c r="K606" t="s">
        <v>1857</v>
      </c>
      <c r="L606" t="s">
        <v>1858</v>
      </c>
    </row>
    <row r="607" spans="1:40" x14ac:dyDescent="0.35">
      <c r="A607">
        <v>3384134</v>
      </c>
      <c r="B607" t="s">
        <v>1921</v>
      </c>
      <c r="C607" t="str">
        <f>"9781783740086"</f>
        <v>9781783740086</v>
      </c>
      <c r="D607" t="str">
        <f>"9781783740093"</f>
        <v>9781783740093</v>
      </c>
      <c r="E607" t="s">
        <v>1807</v>
      </c>
      <c r="F607" t="s">
        <v>1807</v>
      </c>
      <c r="G607" s="1">
        <v>41548</v>
      </c>
      <c r="H607" s="1">
        <v>41989</v>
      </c>
      <c r="I607" t="s">
        <v>189</v>
      </c>
      <c r="J607">
        <v>1</v>
      </c>
      <c r="L607" t="s">
        <v>1922</v>
      </c>
    </row>
    <row r="608" spans="1:40" x14ac:dyDescent="0.35">
      <c r="A608">
        <v>3384135</v>
      </c>
      <c r="B608" t="s">
        <v>1923</v>
      </c>
      <c r="C608" t="str">
        <f>"9781783740284"</f>
        <v>9781783740284</v>
      </c>
      <c r="D608" t="str">
        <f>"9781783740291"</f>
        <v>9781783740291</v>
      </c>
      <c r="E608" t="s">
        <v>1807</v>
      </c>
      <c r="F608" t="s">
        <v>1807</v>
      </c>
      <c r="G608" s="1">
        <v>41699</v>
      </c>
      <c r="H608" s="1">
        <v>41989</v>
      </c>
      <c r="I608" t="s">
        <v>189</v>
      </c>
      <c r="J608">
        <v>1</v>
      </c>
      <c r="L608" t="s">
        <v>1924</v>
      </c>
      <c r="M608" t="s">
        <v>219</v>
      </c>
      <c r="N608" t="s">
        <v>1925</v>
      </c>
      <c r="Q608" t="s">
        <v>260</v>
      </c>
      <c r="R608" t="s">
        <v>261</v>
      </c>
      <c r="S608" t="s">
        <v>261</v>
      </c>
      <c r="T608" t="s">
        <v>261</v>
      </c>
      <c r="U608" t="s">
        <v>261</v>
      </c>
      <c r="V608" t="s">
        <v>262</v>
      </c>
      <c r="W608" t="s">
        <v>261</v>
      </c>
      <c r="X608" t="s">
        <v>261</v>
      </c>
      <c r="Y608" t="s">
        <v>261</v>
      </c>
      <c r="Z608" t="s">
        <v>409</v>
      </c>
      <c r="AA608" t="s">
        <v>409</v>
      </c>
      <c r="AB608" t="s">
        <v>409</v>
      </c>
      <c r="AC608" t="s">
        <v>409</v>
      </c>
      <c r="AD608" t="s">
        <v>262</v>
      </c>
      <c r="AE608">
        <v>10996512</v>
      </c>
      <c r="AH608" t="s">
        <v>262</v>
      </c>
      <c r="AI608" t="s">
        <v>262</v>
      </c>
      <c r="AJ608" t="s">
        <v>261</v>
      </c>
      <c r="AK608" t="s">
        <v>261</v>
      </c>
      <c r="AM608" t="s">
        <v>262</v>
      </c>
      <c r="AN608" t="s">
        <v>1926</v>
      </c>
    </row>
    <row r="609" spans="1:40" x14ac:dyDescent="0.35">
      <c r="A609">
        <v>3398779</v>
      </c>
      <c r="B609" t="s">
        <v>1927</v>
      </c>
      <c r="C609" t="str">
        <f>"9782759208579"</f>
        <v>9782759208579</v>
      </c>
      <c r="D609" t="str">
        <f>"9782759208586"</f>
        <v>9782759208586</v>
      </c>
      <c r="E609" t="s">
        <v>1928</v>
      </c>
      <c r="F609" t="s">
        <v>1928</v>
      </c>
      <c r="G609" s="1">
        <v>40407</v>
      </c>
      <c r="H609" s="1">
        <v>41362</v>
      </c>
      <c r="I609" t="s">
        <v>189</v>
      </c>
      <c r="K609" t="s">
        <v>1929</v>
      </c>
      <c r="L609" t="s">
        <v>1930</v>
      </c>
    </row>
    <row r="610" spans="1:40" x14ac:dyDescent="0.35">
      <c r="A610">
        <v>3398815</v>
      </c>
      <c r="B610" t="s">
        <v>1931</v>
      </c>
      <c r="C610" t="str">
        <f>"9782759210305"</f>
        <v>9782759210305</v>
      </c>
      <c r="D610" t="str">
        <f>"9782759210312"</f>
        <v>9782759210312</v>
      </c>
      <c r="E610" t="s">
        <v>1928</v>
      </c>
      <c r="F610" t="s">
        <v>1928</v>
      </c>
      <c r="G610" s="1">
        <v>40898</v>
      </c>
      <c r="H610" s="1">
        <v>41362</v>
      </c>
      <c r="I610" t="s">
        <v>189</v>
      </c>
      <c r="J610">
        <v>1</v>
      </c>
      <c r="K610" t="s">
        <v>1932</v>
      </c>
      <c r="L610" t="s">
        <v>1933</v>
      </c>
      <c r="M610" t="s">
        <v>329</v>
      </c>
      <c r="Q610" t="s">
        <v>1827</v>
      </c>
      <c r="R610" t="s">
        <v>261</v>
      </c>
      <c r="S610" t="s">
        <v>261</v>
      </c>
      <c r="T610" t="s">
        <v>261</v>
      </c>
      <c r="U610" t="s">
        <v>262</v>
      </c>
      <c r="V610" t="s">
        <v>262</v>
      </c>
      <c r="W610" t="s">
        <v>261</v>
      </c>
      <c r="X610" t="s">
        <v>262</v>
      </c>
      <c r="Y610" t="s">
        <v>261</v>
      </c>
      <c r="Z610" t="s">
        <v>409</v>
      </c>
      <c r="AA610" t="s">
        <v>409</v>
      </c>
      <c r="AB610" t="s">
        <v>409</v>
      </c>
      <c r="AC610" t="s">
        <v>409</v>
      </c>
      <c r="AD610" t="s">
        <v>262</v>
      </c>
      <c r="AE610">
        <v>10678213</v>
      </c>
      <c r="AH610" t="s">
        <v>262</v>
      </c>
      <c r="AI610" t="s">
        <v>262</v>
      </c>
      <c r="AJ610" t="s">
        <v>261</v>
      </c>
      <c r="AK610" t="s">
        <v>261</v>
      </c>
      <c r="AM610" t="s">
        <v>262</v>
      </c>
      <c r="AN610" t="s">
        <v>1934</v>
      </c>
    </row>
    <row r="611" spans="1:40" x14ac:dyDescent="0.35">
      <c r="A611">
        <v>3398850</v>
      </c>
      <c r="B611" t="s">
        <v>1935</v>
      </c>
      <c r="C611" t="str">
        <f>"9782759210398"</f>
        <v>9782759210398</v>
      </c>
      <c r="D611" t="str">
        <f>"9782759210404"</f>
        <v>9782759210404</v>
      </c>
      <c r="E611" t="s">
        <v>1928</v>
      </c>
      <c r="F611" t="s">
        <v>1928</v>
      </c>
      <c r="G611" s="1">
        <v>40709</v>
      </c>
      <c r="H611" s="1">
        <v>41362</v>
      </c>
      <c r="I611" t="s">
        <v>189</v>
      </c>
      <c r="J611">
        <v>1</v>
      </c>
      <c r="K611" t="s">
        <v>1936</v>
      </c>
      <c r="L611" t="s">
        <v>37</v>
      </c>
    </row>
    <row r="612" spans="1:40" x14ac:dyDescent="0.35">
      <c r="A612">
        <v>3398910</v>
      </c>
      <c r="B612" t="s">
        <v>1937</v>
      </c>
      <c r="C612" t="str">
        <f>"9782853624312"</f>
        <v>9782853624312</v>
      </c>
      <c r="D612" t="str">
        <f>"9782759207077"</f>
        <v>9782759207077</v>
      </c>
      <c r="E612" t="s">
        <v>1928</v>
      </c>
      <c r="F612" t="s">
        <v>1928</v>
      </c>
      <c r="G612" s="1">
        <v>34700</v>
      </c>
      <c r="H612" s="1">
        <v>41381</v>
      </c>
      <c r="I612" t="s">
        <v>189</v>
      </c>
      <c r="J612">
        <v>1</v>
      </c>
      <c r="K612" t="s">
        <v>1938</v>
      </c>
      <c r="L612" t="s">
        <v>1939</v>
      </c>
      <c r="M612" t="s">
        <v>329</v>
      </c>
      <c r="Q612" t="s">
        <v>260</v>
      </c>
      <c r="R612" t="s">
        <v>261</v>
      </c>
      <c r="S612" t="s">
        <v>261</v>
      </c>
      <c r="T612" t="s">
        <v>261</v>
      </c>
      <c r="U612" t="s">
        <v>262</v>
      </c>
      <c r="V612" t="s">
        <v>262</v>
      </c>
      <c r="W612" t="s">
        <v>261</v>
      </c>
      <c r="X612" t="s">
        <v>262</v>
      </c>
      <c r="Y612" t="s">
        <v>261</v>
      </c>
      <c r="Z612" t="s">
        <v>409</v>
      </c>
      <c r="AA612" t="s">
        <v>409</v>
      </c>
      <c r="AB612" t="s">
        <v>409</v>
      </c>
      <c r="AC612" t="s">
        <v>409</v>
      </c>
      <c r="AD612" t="s">
        <v>262</v>
      </c>
      <c r="AE612">
        <v>10686427</v>
      </c>
      <c r="AH612" t="s">
        <v>262</v>
      </c>
      <c r="AI612" t="s">
        <v>262</v>
      </c>
      <c r="AJ612" t="s">
        <v>261</v>
      </c>
      <c r="AK612" t="s">
        <v>261</v>
      </c>
      <c r="AM612" t="s">
        <v>262</v>
      </c>
      <c r="AN612" t="s">
        <v>1940</v>
      </c>
    </row>
    <row r="613" spans="1:40" x14ac:dyDescent="0.35">
      <c r="A613">
        <v>3398913</v>
      </c>
      <c r="B613" t="s">
        <v>1941</v>
      </c>
      <c r="C613" t="str">
        <f>"9782853625500"</f>
        <v>9782853625500</v>
      </c>
      <c r="D613" t="str">
        <f>"9782759207244"</f>
        <v>9782759207244</v>
      </c>
      <c r="E613" t="s">
        <v>1928</v>
      </c>
      <c r="F613" t="s">
        <v>1928</v>
      </c>
      <c r="G613" s="1">
        <v>36526</v>
      </c>
      <c r="H613" s="1">
        <v>41381</v>
      </c>
      <c r="I613" t="s">
        <v>189</v>
      </c>
      <c r="K613" t="s">
        <v>1942</v>
      </c>
      <c r="L613" t="s">
        <v>1943</v>
      </c>
      <c r="M613" t="s">
        <v>807</v>
      </c>
      <c r="N613" t="s">
        <v>1944</v>
      </c>
      <c r="P613" t="s">
        <v>1945</v>
      </c>
      <c r="Q613" t="s">
        <v>1827</v>
      </c>
      <c r="R613" t="s">
        <v>261</v>
      </c>
      <c r="S613" t="s">
        <v>261</v>
      </c>
      <c r="T613" t="s">
        <v>261</v>
      </c>
      <c r="U613" t="s">
        <v>262</v>
      </c>
      <c r="V613" t="s">
        <v>262</v>
      </c>
      <c r="W613" t="s">
        <v>261</v>
      </c>
      <c r="X613" t="s">
        <v>262</v>
      </c>
      <c r="Y613" t="s">
        <v>261</v>
      </c>
      <c r="Z613" t="s">
        <v>409</v>
      </c>
      <c r="AA613" t="s">
        <v>409</v>
      </c>
      <c r="AB613" t="s">
        <v>409</v>
      </c>
      <c r="AC613" t="s">
        <v>409</v>
      </c>
      <c r="AD613" t="s">
        <v>262</v>
      </c>
      <c r="AE613">
        <v>10686430</v>
      </c>
      <c r="AH613" t="s">
        <v>262</v>
      </c>
      <c r="AI613" t="s">
        <v>262</v>
      </c>
      <c r="AJ613" t="s">
        <v>261</v>
      </c>
      <c r="AK613" t="s">
        <v>261</v>
      </c>
      <c r="AM613" t="s">
        <v>262</v>
      </c>
      <c r="AN613" t="s">
        <v>1946</v>
      </c>
    </row>
    <row r="614" spans="1:40" x14ac:dyDescent="0.35">
      <c r="A614">
        <v>3398914</v>
      </c>
      <c r="B614" t="s">
        <v>1947</v>
      </c>
      <c r="C614" t="str">
        <f>"9782853624084"</f>
        <v>9782853624084</v>
      </c>
      <c r="D614" t="str">
        <f>"9782759207015"</f>
        <v>9782759207015</v>
      </c>
      <c r="E614" t="s">
        <v>1928</v>
      </c>
      <c r="F614" t="s">
        <v>1928</v>
      </c>
      <c r="G614" s="1">
        <v>34700</v>
      </c>
      <c r="H614" s="1">
        <v>41381</v>
      </c>
      <c r="I614" t="s">
        <v>189</v>
      </c>
      <c r="J614">
        <v>1</v>
      </c>
      <c r="K614" t="s">
        <v>1948</v>
      </c>
      <c r="L614" t="s">
        <v>1949</v>
      </c>
      <c r="M614" t="s">
        <v>964</v>
      </c>
      <c r="Q614" t="s">
        <v>1827</v>
      </c>
      <c r="R614" t="s">
        <v>261</v>
      </c>
      <c r="S614" t="s">
        <v>261</v>
      </c>
      <c r="T614" t="s">
        <v>261</v>
      </c>
      <c r="U614" t="s">
        <v>262</v>
      </c>
      <c r="V614" t="s">
        <v>262</v>
      </c>
      <c r="W614" t="s">
        <v>261</v>
      </c>
      <c r="X614" t="s">
        <v>262</v>
      </c>
      <c r="Y614" t="s">
        <v>261</v>
      </c>
      <c r="Z614" t="s">
        <v>409</v>
      </c>
      <c r="AA614" t="s">
        <v>409</v>
      </c>
      <c r="AB614" t="s">
        <v>409</v>
      </c>
      <c r="AC614" t="s">
        <v>409</v>
      </c>
      <c r="AD614" t="s">
        <v>262</v>
      </c>
      <c r="AE614">
        <v>10686431</v>
      </c>
      <c r="AH614" t="s">
        <v>262</v>
      </c>
      <c r="AI614" t="s">
        <v>262</v>
      </c>
      <c r="AJ614" t="s">
        <v>261</v>
      </c>
      <c r="AK614" t="s">
        <v>261</v>
      </c>
      <c r="AM614" t="s">
        <v>262</v>
      </c>
      <c r="AN614" t="s">
        <v>1950</v>
      </c>
    </row>
    <row r="615" spans="1:40" x14ac:dyDescent="0.35">
      <c r="A615">
        <v>3398921</v>
      </c>
      <c r="B615" t="s">
        <v>1951</v>
      </c>
      <c r="C615" t="str">
        <f>"9782853623674"</f>
        <v>9782853623674</v>
      </c>
      <c r="D615" t="str">
        <f>"9782759206964"</f>
        <v>9782759206964</v>
      </c>
      <c r="E615" t="s">
        <v>1928</v>
      </c>
      <c r="F615" t="s">
        <v>1928</v>
      </c>
      <c r="G615" s="1">
        <v>34335</v>
      </c>
      <c r="H615" s="1">
        <v>41381</v>
      </c>
      <c r="I615" t="s">
        <v>189</v>
      </c>
      <c r="K615" t="s">
        <v>1948</v>
      </c>
      <c r="L615" t="s">
        <v>1952</v>
      </c>
    </row>
    <row r="616" spans="1:40" x14ac:dyDescent="0.35">
      <c r="A616">
        <v>3398926</v>
      </c>
      <c r="B616" t="s">
        <v>1953</v>
      </c>
      <c r="C616" t="str">
        <f>"9782853622639"</f>
        <v>9782853622639</v>
      </c>
      <c r="D616" t="str">
        <f>"9782759206902"</f>
        <v>9782759206902</v>
      </c>
      <c r="E616" t="s">
        <v>1928</v>
      </c>
      <c r="F616" t="s">
        <v>1928</v>
      </c>
      <c r="G616" s="1">
        <v>33695</v>
      </c>
      <c r="H616" s="1">
        <v>41381</v>
      </c>
      <c r="I616" t="s">
        <v>189</v>
      </c>
      <c r="J616">
        <v>1</v>
      </c>
      <c r="K616" t="s">
        <v>1942</v>
      </c>
      <c r="L616" t="s">
        <v>1954</v>
      </c>
      <c r="M616" t="s">
        <v>964</v>
      </c>
      <c r="Q616" t="s">
        <v>1827</v>
      </c>
      <c r="R616" t="s">
        <v>261</v>
      </c>
      <c r="S616" t="s">
        <v>261</v>
      </c>
      <c r="T616" t="s">
        <v>261</v>
      </c>
      <c r="U616" t="s">
        <v>262</v>
      </c>
      <c r="V616" t="s">
        <v>262</v>
      </c>
      <c r="W616" t="s">
        <v>261</v>
      </c>
      <c r="X616" t="s">
        <v>262</v>
      </c>
      <c r="Y616" t="s">
        <v>261</v>
      </c>
      <c r="Z616" t="s">
        <v>409</v>
      </c>
      <c r="AA616" t="s">
        <v>409</v>
      </c>
      <c r="AB616" t="s">
        <v>409</v>
      </c>
      <c r="AC616" t="s">
        <v>409</v>
      </c>
      <c r="AD616" t="s">
        <v>262</v>
      </c>
      <c r="AE616">
        <v>10686443</v>
      </c>
      <c r="AH616" t="s">
        <v>262</v>
      </c>
      <c r="AI616" t="s">
        <v>262</v>
      </c>
      <c r="AJ616" t="s">
        <v>261</v>
      </c>
      <c r="AK616" t="s">
        <v>261</v>
      </c>
      <c r="AM616" t="s">
        <v>262</v>
      </c>
      <c r="AN616" t="s">
        <v>1955</v>
      </c>
    </row>
    <row r="617" spans="1:40" x14ac:dyDescent="0.35">
      <c r="A617">
        <v>3398928</v>
      </c>
      <c r="B617" t="s">
        <v>1956</v>
      </c>
      <c r="C617" t="str">
        <f>"9782857447979"</f>
        <v>9782857447979</v>
      </c>
      <c r="D617" t="str">
        <f>"9782759207329"</f>
        <v>9782759207329</v>
      </c>
      <c r="E617" t="s">
        <v>1928</v>
      </c>
      <c r="F617" t="s">
        <v>1928</v>
      </c>
      <c r="G617" s="1">
        <v>35348</v>
      </c>
      <c r="H617" s="1">
        <v>41381</v>
      </c>
      <c r="I617" t="s">
        <v>189</v>
      </c>
      <c r="J617">
        <v>1</v>
      </c>
      <c r="K617" t="s">
        <v>1948</v>
      </c>
      <c r="L617" t="s">
        <v>1957</v>
      </c>
      <c r="M617" t="s">
        <v>964</v>
      </c>
      <c r="Q617" t="s">
        <v>1827</v>
      </c>
      <c r="R617" t="s">
        <v>261</v>
      </c>
      <c r="S617" t="s">
        <v>261</v>
      </c>
      <c r="T617" t="s">
        <v>261</v>
      </c>
      <c r="U617" t="s">
        <v>262</v>
      </c>
      <c r="V617" t="s">
        <v>262</v>
      </c>
      <c r="W617" t="s">
        <v>261</v>
      </c>
      <c r="X617" t="s">
        <v>262</v>
      </c>
      <c r="Y617" t="s">
        <v>261</v>
      </c>
      <c r="Z617" t="s">
        <v>409</v>
      </c>
      <c r="AA617" t="s">
        <v>409</v>
      </c>
      <c r="AB617" t="s">
        <v>409</v>
      </c>
      <c r="AC617" t="s">
        <v>409</v>
      </c>
      <c r="AD617" t="s">
        <v>262</v>
      </c>
      <c r="AE617">
        <v>10686445</v>
      </c>
      <c r="AH617" t="s">
        <v>262</v>
      </c>
      <c r="AI617" t="s">
        <v>262</v>
      </c>
      <c r="AJ617" t="s">
        <v>261</v>
      </c>
      <c r="AK617" t="s">
        <v>261</v>
      </c>
      <c r="AM617" t="s">
        <v>262</v>
      </c>
      <c r="AN617" t="s">
        <v>1958</v>
      </c>
    </row>
    <row r="618" spans="1:40" x14ac:dyDescent="0.35">
      <c r="A618">
        <v>3398932</v>
      </c>
      <c r="B618" t="s">
        <v>1959</v>
      </c>
      <c r="C618" t="str">
        <f>"9782853624510"</f>
        <v>9782853624510</v>
      </c>
      <c r="D618" t="str">
        <f>"9782759207084"</f>
        <v>9782759207084</v>
      </c>
      <c r="E618" t="s">
        <v>1928</v>
      </c>
      <c r="F618" t="s">
        <v>1928</v>
      </c>
      <c r="G618" s="1">
        <v>35431</v>
      </c>
      <c r="H618" s="1">
        <v>41381</v>
      </c>
      <c r="I618" t="s">
        <v>189</v>
      </c>
      <c r="J618">
        <v>1</v>
      </c>
      <c r="K618" t="s">
        <v>1942</v>
      </c>
      <c r="L618" t="s">
        <v>1960</v>
      </c>
      <c r="M618" t="s">
        <v>807</v>
      </c>
    </row>
    <row r="619" spans="1:40" x14ac:dyDescent="0.35">
      <c r="A619">
        <v>3398933</v>
      </c>
      <c r="B619" t="s">
        <v>1961</v>
      </c>
      <c r="C619" t="str">
        <f>"9782853625531"</f>
        <v>9782853625531</v>
      </c>
      <c r="D619" t="str">
        <f>"9782759207251"</f>
        <v>9782759207251</v>
      </c>
      <c r="E619" t="s">
        <v>1928</v>
      </c>
      <c r="F619" t="s">
        <v>1928</v>
      </c>
      <c r="G619" s="1">
        <v>36526</v>
      </c>
      <c r="H619" s="1">
        <v>41381</v>
      </c>
      <c r="I619" t="s">
        <v>189</v>
      </c>
      <c r="J619">
        <v>1</v>
      </c>
      <c r="K619" t="s">
        <v>1942</v>
      </c>
      <c r="L619" t="s">
        <v>1962</v>
      </c>
    </row>
    <row r="620" spans="1:40" x14ac:dyDescent="0.35">
      <c r="A620">
        <v>3398934</v>
      </c>
      <c r="B620" t="s">
        <v>1963</v>
      </c>
      <c r="C620" t="str">
        <f>"9782853624121"</f>
        <v>9782853624121</v>
      </c>
      <c r="D620" t="str">
        <f>"9782759207022"</f>
        <v>9782759207022</v>
      </c>
      <c r="E620" t="s">
        <v>1928</v>
      </c>
      <c r="F620" t="s">
        <v>1928</v>
      </c>
      <c r="G620" s="1">
        <v>34700</v>
      </c>
      <c r="H620" s="1">
        <v>41381</v>
      </c>
      <c r="I620" t="s">
        <v>189</v>
      </c>
      <c r="J620">
        <v>1</v>
      </c>
      <c r="K620" t="s">
        <v>1942</v>
      </c>
      <c r="L620" t="s">
        <v>1964</v>
      </c>
      <c r="M620" t="s">
        <v>964</v>
      </c>
      <c r="Q620" t="s">
        <v>1827</v>
      </c>
      <c r="R620" t="s">
        <v>261</v>
      </c>
      <c r="S620" t="s">
        <v>261</v>
      </c>
      <c r="T620" t="s">
        <v>261</v>
      </c>
      <c r="U620" t="s">
        <v>262</v>
      </c>
      <c r="V620" t="s">
        <v>262</v>
      </c>
      <c r="W620" t="s">
        <v>261</v>
      </c>
      <c r="X620" t="s">
        <v>262</v>
      </c>
      <c r="Y620" t="s">
        <v>261</v>
      </c>
      <c r="Z620" t="s">
        <v>409</v>
      </c>
      <c r="AA620" t="s">
        <v>409</v>
      </c>
      <c r="AB620" t="s">
        <v>409</v>
      </c>
      <c r="AC620" t="s">
        <v>409</v>
      </c>
      <c r="AD620" t="s">
        <v>262</v>
      </c>
      <c r="AE620">
        <v>10686451</v>
      </c>
      <c r="AH620" t="s">
        <v>262</v>
      </c>
      <c r="AI620" t="s">
        <v>262</v>
      </c>
      <c r="AJ620" t="s">
        <v>261</v>
      </c>
      <c r="AK620" t="s">
        <v>261</v>
      </c>
      <c r="AM620" t="s">
        <v>262</v>
      </c>
      <c r="AN620" t="s">
        <v>1965</v>
      </c>
    </row>
    <row r="621" spans="1:40" x14ac:dyDescent="0.35">
      <c r="A621">
        <v>3398942</v>
      </c>
      <c r="B621" t="s">
        <v>1966</v>
      </c>
      <c r="C621" t="str">
        <f>"9782853623957"</f>
        <v>9782853623957</v>
      </c>
      <c r="D621" t="str">
        <f>"9782759206971"</f>
        <v>9782759206971</v>
      </c>
      <c r="E621" t="s">
        <v>1928</v>
      </c>
      <c r="F621" t="s">
        <v>1928</v>
      </c>
      <c r="G621" s="1">
        <v>34700</v>
      </c>
      <c r="H621" s="1">
        <v>41381</v>
      </c>
      <c r="I621" t="s">
        <v>189</v>
      </c>
      <c r="J621">
        <v>1</v>
      </c>
      <c r="K621" t="s">
        <v>1942</v>
      </c>
      <c r="L621" t="s">
        <v>1967</v>
      </c>
      <c r="M621" t="s">
        <v>964</v>
      </c>
      <c r="Q621" t="s">
        <v>1827</v>
      </c>
      <c r="R621" t="s">
        <v>261</v>
      </c>
      <c r="S621" t="s">
        <v>261</v>
      </c>
      <c r="T621" t="s">
        <v>261</v>
      </c>
      <c r="U621" t="s">
        <v>262</v>
      </c>
      <c r="V621" t="s">
        <v>262</v>
      </c>
      <c r="W621" t="s">
        <v>261</v>
      </c>
      <c r="X621" t="s">
        <v>262</v>
      </c>
      <c r="Y621" t="s">
        <v>261</v>
      </c>
      <c r="Z621" t="s">
        <v>409</v>
      </c>
      <c r="AA621" t="s">
        <v>409</v>
      </c>
      <c r="AB621" t="s">
        <v>409</v>
      </c>
      <c r="AC621" t="s">
        <v>409</v>
      </c>
      <c r="AD621" t="s">
        <v>262</v>
      </c>
      <c r="AE621">
        <v>10686460</v>
      </c>
      <c r="AH621" t="s">
        <v>262</v>
      </c>
      <c r="AI621" t="s">
        <v>262</v>
      </c>
      <c r="AJ621" t="s">
        <v>261</v>
      </c>
      <c r="AK621" t="s">
        <v>261</v>
      </c>
      <c r="AM621" t="s">
        <v>262</v>
      </c>
      <c r="AN621" t="s">
        <v>1968</v>
      </c>
    </row>
    <row r="622" spans="1:40" x14ac:dyDescent="0.35">
      <c r="A622">
        <v>3398944</v>
      </c>
      <c r="B622" t="s">
        <v>1969</v>
      </c>
      <c r="C622" t="str">
        <f>"9782853624732"</f>
        <v>9782853624732</v>
      </c>
      <c r="D622" t="str">
        <f>"9782759207107"</f>
        <v>9782759207107</v>
      </c>
      <c r="E622" t="s">
        <v>1928</v>
      </c>
      <c r="F622" t="s">
        <v>1928</v>
      </c>
      <c r="G622" s="1">
        <v>35431</v>
      </c>
      <c r="H622" s="1">
        <v>41381</v>
      </c>
      <c r="I622" t="s">
        <v>189</v>
      </c>
      <c r="J622">
        <v>1</v>
      </c>
      <c r="K622" t="s">
        <v>1948</v>
      </c>
      <c r="L622" t="s">
        <v>1970</v>
      </c>
    </row>
    <row r="623" spans="1:40" x14ac:dyDescent="0.35">
      <c r="A623">
        <v>3398954</v>
      </c>
      <c r="B623" t="s">
        <v>1971</v>
      </c>
      <c r="C623" t="str">
        <f>"9782853622363"</f>
        <v>9782853622363</v>
      </c>
      <c r="D623" t="str">
        <f>"9782759206896"</f>
        <v>9782759206896</v>
      </c>
      <c r="E623" t="s">
        <v>1928</v>
      </c>
      <c r="F623" t="s">
        <v>1928</v>
      </c>
      <c r="G623" s="1">
        <v>36469</v>
      </c>
      <c r="H623" s="1">
        <v>41381</v>
      </c>
      <c r="I623" t="s">
        <v>189</v>
      </c>
      <c r="J623">
        <v>1</v>
      </c>
      <c r="K623" t="s">
        <v>1942</v>
      </c>
      <c r="L623" t="s">
        <v>1972</v>
      </c>
      <c r="M623" t="s">
        <v>807</v>
      </c>
    </row>
    <row r="624" spans="1:40" x14ac:dyDescent="0.35">
      <c r="A624">
        <v>3398960</v>
      </c>
      <c r="B624" t="s">
        <v>1973</v>
      </c>
      <c r="C624" t="str">
        <f>"9782853625128"</f>
        <v>9782853625128</v>
      </c>
      <c r="D624" t="str">
        <f>"9782759207176"</f>
        <v>9782759207176</v>
      </c>
      <c r="E624" t="s">
        <v>1928</v>
      </c>
      <c r="F624" t="s">
        <v>1928</v>
      </c>
      <c r="G624" s="1">
        <v>36469</v>
      </c>
      <c r="H624" s="1">
        <v>41381</v>
      </c>
      <c r="I624" t="s">
        <v>189</v>
      </c>
      <c r="J624">
        <v>1</v>
      </c>
      <c r="K624" t="s">
        <v>1948</v>
      </c>
      <c r="L624" t="s">
        <v>1974</v>
      </c>
      <c r="M624" t="s">
        <v>964</v>
      </c>
      <c r="Q624" t="s">
        <v>1827</v>
      </c>
      <c r="R624" t="s">
        <v>261</v>
      </c>
      <c r="S624" t="s">
        <v>261</v>
      </c>
      <c r="T624" t="s">
        <v>261</v>
      </c>
      <c r="U624" t="s">
        <v>262</v>
      </c>
      <c r="V624" t="s">
        <v>262</v>
      </c>
      <c r="W624" t="s">
        <v>261</v>
      </c>
      <c r="X624" t="s">
        <v>262</v>
      </c>
      <c r="Y624" t="s">
        <v>261</v>
      </c>
      <c r="Z624" t="s">
        <v>409</v>
      </c>
      <c r="AA624" t="s">
        <v>409</v>
      </c>
      <c r="AB624" t="s">
        <v>409</v>
      </c>
      <c r="AC624" t="s">
        <v>409</v>
      </c>
      <c r="AD624" t="s">
        <v>262</v>
      </c>
      <c r="AE624">
        <v>10686478</v>
      </c>
      <c r="AH624" t="s">
        <v>262</v>
      </c>
      <c r="AI624" t="s">
        <v>262</v>
      </c>
      <c r="AJ624" t="s">
        <v>261</v>
      </c>
      <c r="AK624" t="s">
        <v>261</v>
      </c>
      <c r="AM624" t="s">
        <v>262</v>
      </c>
      <c r="AN624" t="s">
        <v>1975</v>
      </c>
    </row>
    <row r="625" spans="1:40" x14ac:dyDescent="0.35">
      <c r="A625">
        <v>3398963</v>
      </c>
      <c r="B625" t="s">
        <v>1976</v>
      </c>
      <c r="C625" t="str">
        <f>"9782759207565"</f>
        <v>9782759207565</v>
      </c>
      <c r="D625" t="str">
        <f>"9782759207572"</f>
        <v>9782759207572</v>
      </c>
      <c r="E625" t="s">
        <v>1928</v>
      </c>
      <c r="F625" t="s">
        <v>1928</v>
      </c>
      <c r="G625" s="1">
        <v>40360</v>
      </c>
      <c r="H625" s="1">
        <v>41381</v>
      </c>
      <c r="I625" t="s">
        <v>189</v>
      </c>
      <c r="J625">
        <v>1</v>
      </c>
      <c r="K625" t="s">
        <v>1929</v>
      </c>
      <c r="L625" t="s">
        <v>1977</v>
      </c>
    </row>
    <row r="626" spans="1:40" x14ac:dyDescent="0.35">
      <c r="A626">
        <v>3398968</v>
      </c>
      <c r="B626" t="s">
        <v>1978</v>
      </c>
      <c r="C626" t="str">
        <f>"9782853622646"</f>
        <v>9782853622646</v>
      </c>
      <c r="D626" t="str">
        <f>"9782759206919"</f>
        <v>9782759206919</v>
      </c>
      <c r="E626" t="s">
        <v>1928</v>
      </c>
      <c r="F626" t="s">
        <v>1928</v>
      </c>
      <c r="G626" s="1">
        <v>33604</v>
      </c>
      <c r="H626" s="1">
        <v>41381</v>
      </c>
      <c r="I626" t="s">
        <v>189</v>
      </c>
      <c r="J626">
        <v>1</v>
      </c>
      <c r="K626" t="s">
        <v>1979</v>
      </c>
      <c r="L626" t="s">
        <v>1980</v>
      </c>
      <c r="M626" t="s">
        <v>807</v>
      </c>
      <c r="Q626" t="s">
        <v>1827</v>
      </c>
      <c r="R626" t="s">
        <v>261</v>
      </c>
      <c r="S626" t="s">
        <v>261</v>
      </c>
      <c r="T626" t="s">
        <v>261</v>
      </c>
      <c r="U626" t="s">
        <v>262</v>
      </c>
      <c r="V626" t="s">
        <v>262</v>
      </c>
      <c r="W626" t="s">
        <v>261</v>
      </c>
      <c r="X626" t="s">
        <v>262</v>
      </c>
      <c r="Y626" t="s">
        <v>261</v>
      </c>
      <c r="Z626" t="s">
        <v>409</v>
      </c>
      <c r="AA626" t="s">
        <v>409</v>
      </c>
      <c r="AB626" t="s">
        <v>409</v>
      </c>
      <c r="AC626" t="s">
        <v>409</v>
      </c>
      <c r="AD626" t="s">
        <v>262</v>
      </c>
      <c r="AE626">
        <v>10686487</v>
      </c>
      <c r="AH626" t="s">
        <v>262</v>
      </c>
      <c r="AI626" t="s">
        <v>262</v>
      </c>
      <c r="AJ626" t="s">
        <v>261</v>
      </c>
      <c r="AK626" t="s">
        <v>261</v>
      </c>
      <c r="AM626" t="s">
        <v>262</v>
      </c>
      <c r="AN626" t="s">
        <v>1981</v>
      </c>
    </row>
    <row r="627" spans="1:40" x14ac:dyDescent="0.35">
      <c r="A627">
        <v>3398977</v>
      </c>
      <c r="B627" t="s">
        <v>1982</v>
      </c>
      <c r="C627" t="str">
        <f>"9782853625616"</f>
        <v>9782853625616</v>
      </c>
      <c r="D627" t="str">
        <f>"9782759207268"</f>
        <v>9782759207268</v>
      </c>
      <c r="E627" t="s">
        <v>1928</v>
      </c>
      <c r="F627" t="s">
        <v>1928</v>
      </c>
      <c r="G627" s="1">
        <v>37068</v>
      </c>
      <c r="H627" s="1">
        <v>41381</v>
      </c>
      <c r="I627" t="s">
        <v>189</v>
      </c>
      <c r="J627">
        <v>1</v>
      </c>
      <c r="K627" t="s">
        <v>1948</v>
      </c>
      <c r="L627" t="s">
        <v>1983</v>
      </c>
      <c r="M627" t="s">
        <v>807</v>
      </c>
      <c r="Q627" t="s">
        <v>1827</v>
      </c>
      <c r="R627" t="s">
        <v>261</v>
      </c>
      <c r="S627" t="s">
        <v>261</v>
      </c>
      <c r="T627" t="s">
        <v>261</v>
      </c>
      <c r="U627" t="s">
        <v>262</v>
      </c>
      <c r="V627" t="s">
        <v>262</v>
      </c>
      <c r="W627" t="s">
        <v>261</v>
      </c>
      <c r="X627" t="s">
        <v>262</v>
      </c>
      <c r="Y627" t="s">
        <v>261</v>
      </c>
      <c r="Z627" t="s">
        <v>409</v>
      </c>
      <c r="AA627" t="s">
        <v>409</v>
      </c>
      <c r="AB627" t="s">
        <v>409</v>
      </c>
      <c r="AC627" t="s">
        <v>409</v>
      </c>
      <c r="AD627" t="s">
        <v>262</v>
      </c>
      <c r="AE627">
        <v>10686496</v>
      </c>
      <c r="AH627" t="s">
        <v>262</v>
      </c>
      <c r="AI627" t="s">
        <v>262</v>
      </c>
      <c r="AJ627" t="s">
        <v>261</v>
      </c>
      <c r="AK627" t="s">
        <v>261</v>
      </c>
      <c r="AM627" t="s">
        <v>262</v>
      </c>
      <c r="AN627" t="s">
        <v>1984</v>
      </c>
    </row>
    <row r="628" spans="1:40" x14ac:dyDescent="0.35">
      <c r="A628">
        <v>3398978</v>
      </c>
      <c r="B628" t="s">
        <v>1985</v>
      </c>
      <c r="C628" t="str">
        <f>"9782853625142"</f>
        <v>9782853625142</v>
      </c>
      <c r="D628" t="str">
        <f>"9782759207183"</f>
        <v>9782759207183</v>
      </c>
      <c r="E628" t="s">
        <v>1928</v>
      </c>
      <c r="F628" t="s">
        <v>1928</v>
      </c>
      <c r="G628" s="1">
        <v>36161</v>
      </c>
      <c r="H628" s="1">
        <v>41381</v>
      </c>
      <c r="I628" t="s">
        <v>189</v>
      </c>
      <c r="J628">
        <v>1</v>
      </c>
      <c r="K628" t="s">
        <v>1938</v>
      </c>
      <c r="L628" t="s">
        <v>1986</v>
      </c>
      <c r="M628" t="s">
        <v>964</v>
      </c>
      <c r="Q628" t="s">
        <v>1827</v>
      </c>
      <c r="R628" t="s">
        <v>261</v>
      </c>
      <c r="S628" t="s">
        <v>261</v>
      </c>
      <c r="T628" t="s">
        <v>261</v>
      </c>
      <c r="U628" t="s">
        <v>262</v>
      </c>
      <c r="V628" t="s">
        <v>262</v>
      </c>
      <c r="W628" t="s">
        <v>261</v>
      </c>
      <c r="X628" t="s">
        <v>262</v>
      </c>
      <c r="Y628" t="s">
        <v>261</v>
      </c>
      <c r="Z628" t="s">
        <v>409</v>
      </c>
      <c r="AA628" t="s">
        <v>409</v>
      </c>
      <c r="AB628" t="s">
        <v>409</v>
      </c>
      <c r="AC628" t="s">
        <v>409</v>
      </c>
      <c r="AD628" t="s">
        <v>262</v>
      </c>
      <c r="AE628">
        <v>10686497</v>
      </c>
      <c r="AH628" t="s">
        <v>262</v>
      </c>
      <c r="AI628" t="s">
        <v>262</v>
      </c>
      <c r="AJ628" t="s">
        <v>261</v>
      </c>
      <c r="AK628" t="s">
        <v>261</v>
      </c>
      <c r="AM628" t="s">
        <v>262</v>
      </c>
      <c r="AN628" t="s">
        <v>1987</v>
      </c>
    </row>
    <row r="629" spans="1:40" x14ac:dyDescent="0.35">
      <c r="A629">
        <v>3398979</v>
      </c>
      <c r="B629" t="s">
        <v>1988</v>
      </c>
      <c r="C629" t="str">
        <f>"9782853624138"</f>
        <v>9782853624138</v>
      </c>
      <c r="D629" t="str">
        <f>"9782759207039"</f>
        <v>9782759207039</v>
      </c>
      <c r="E629" t="s">
        <v>1928</v>
      </c>
      <c r="F629" t="s">
        <v>1928</v>
      </c>
      <c r="G629" s="1">
        <v>34700</v>
      </c>
      <c r="H629" s="1">
        <v>41381</v>
      </c>
      <c r="I629" t="s">
        <v>189</v>
      </c>
      <c r="J629">
        <v>1</v>
      </c>
      <c r="K629" t="s">
        <v>1948</v>
      </c>
      <c r="L629" t="s">
        <v>1989</v>
      </c>
    </row>
    <row r="630" spans="1:40" x14ac:dyDescent="0.35">
      <c r="A630">
        <v>3398981</v>
      </c>
      <c r="B630" t="s">
        <v>1990</v>
      </c>
      <c r="C630" t="str">
        <f>"9782853624879"</f>
        <v>9782853624879</v>
      </c>
      <c r="D630" t="str">
        <f>"9782759207121"</f>
        <v>9782759207121</v>
      </c>
      <c r="E630" t="s">
        <v>1928</v>
      </c>
      <c r="F630" t="s">
        <v>1928</v>
      </c>
      <c r="G630" s="1">
        <v>35431</v>
      </c>
      <c r="H630" s="1">
        <v>41381</v>
      </c>
      <c r="I630" t="s">
        <v>189</v>
      </c>
      <c r="J630">
        <v>1</v>
      </c>
      <c r="K630" t="s">
        <v>1948</v>
      </c>
      <c r="L630" t="s">
        <v>1991</v>
      </c>
      <c r="M630" t="s">
        <v>964</v>
      </c>
      <c r="Q630" t="s">
        <v>1827</v>
      </c>
      <c r="R630" t="s">
        <v>261</v>
      </c>
      <c r="S630" t="s">
        <v>261</v>
      </c>
      <c r="T630" t="s">
        <v>261</v>
      </c>
      <c r="U630" t="s">
        <v>262</v>
      </c>
      <c r="V630" t="s">
        <v>262</v>
      </c>
      <c r="W630" t="s">
        <v>261</v>
      </c>
      <c r="X630" t="s">
        <v>262</v>
      </c>
      <c r="Y630" t="s">
        <v>261</v>
      </c>
      <c r="Z630" t="s">
        <v>409</v>
      </c>
      <c r="AA630" t="s">
        <v>409</v>
      </c>
      <c r="AB630" t="s">
        <v>409</v>
      </c>
      <c r="AC630" t="s">
        <v>409</v>
      </c>
      <c r="AD630" t="s">
        <v>262</v>
      </c>
      <c r="AE630">
        <v>10686500</v>
      </c>
      <c r="AH630" t="s">
        <v>262</v>
      </c>
      <c r="AI630" t="s">
        <v>262</v>
      </c>
      <c r="AJ630" t="s">
        <v>261</v>
      </c>
      <c r="AK630" t="s">
        <v>261</v>
      </c>
      <c r="AM630" t="s">
        <v>262</v>
      </c>
      <c r="AN630" t="s">
        <v>1992</v>
      </c>
    </row>
    <row r="631" spans="1:40" x14ac:dyDescent="0.35">
      <c r="A631">
        <v>3398986</v>
      </c>
      <c r="B631" t="s">
        <v>1993</v>
      </c>
      <c r="C631" t="str">
        <f>"9782853623988"</f>
        <v>9782853623988</v>
      </c>
      <c r="D631" t="str">
        <f>"9782759206988"</f>
        <v>9782759206988</v>
      </c>
      <c r="E631" t="s">
        <v>1928</v>
      </c>
      <c r="F631" t="s">
        <v>1928</v>
      </c>
      <c r="G631" s="1">
        <v>34335</v>
      </c>
      <c r="H631" s="1">
        <v>41381</v>
      </c>
      <c r="I631" t="s">
        <v>189</v>
      </c>
      <c r="K631" t="s">
        <v>1942</v>
      </c>
      <c r="L631" t="s">
        <v>1994</v>
      </c>
      <c r="M631" t="s">
        <v>1995</v>
      </c>
    </row>
    <row r="632" spans="1:40" x14ac:dyDescent="0.35">
      <c r="A632">
        <v>3398990</v>
      </c>
      <c r="B632" t="s">
        <v>1996</v>
      </c>
      <c r="C632" t="str">
        <f>"9782853622981"</f>
        <v>9782853622981</v>
      </c>
      <c r="D632" t="str">
        <f>"9782759206926"</f>
        <v>9782759206926</v>
      </c>
      <c r="E632" t="s">
        <v>1928</v>
      </c>
      <c r="F632" t="s">
        <v>1928</v>
      </c>
      <c r="G632" s="1">
        <v>33604</v>
      </c>
      <c r="H632" s="1">
        <v>41381</v>
      </c>
      <c r="I632" t="s">
        <v>189</v>
      </c>
      <c r="J632">
        <v>1</v>
      </c>
      <c r="K632" t="s">
        <v>1979</v>
      </c>
      <c r="L632" t="s">
        <v>1997</v>
      </c>
    </row>
    <row r="633" spans="1:40" x14ac:dyDescent="0.35">
      <c r="A633">
        <v>3398997</v>
      </c>
      <c r="B633" t="s">
        <v>1998</v>
      </c>
      <c r="C633" t="str">
        <f>"9782853625166"</f>
        <v>9782853625166</v>
      </c>
      <c r="D633" t="str">
        <f>"9782759207190"</f>
        <v>9782759207190</v>
      </c>
      <c r="E633" t="s">
        <v>1928</v>
      </c>
      <c r="F633" t="s">
        <v>1928</v>
      </c>
      <c r="G633" s="1">
        <v>36161</v>
      </c>
      <c r="H633" s="1">
        <v>41381</v>
      </c>
      <c r="I633" t="s">
        <v>189</v>
      </c>
      <c r="K633" t="s">
        <v>1938</v>
      </c>
      <c r="L633" t="s">
        <v>1999</v>
      </c>
    </row>
    <row r="634" spans="1:40" x14ac:dyDescent="0.35">
      <c r="A634">
        <v>3398998</v>
      </c>
      <c r="B634" t="s">
        <v>2000</v>
      </c>
      <c r="C634" t="str">
        <f>"9782853624145"</f>
        <v>9782853624145</v>
      </c>
      <c r="D634" t="str">
        <f>"9782759207046"</f>
        <v>9782759207046</v>
      </c>
      <c r="E634" t="s">
        <v>1928</v>
      </c>
      <c r="F634" t="s">
        <v>1928</v>
      </c>
      <c r="G634" s="1">
        <v>34700</v>
      </c>
      <c r="H634" s="1">
        <v>41381</v>
      </c>
      <c r="I634" t="s">
        <v>189</v>
      </c>
      <c r="K634" t="s">
        <v>1938</v>
      </c>
      <c r="L634" t="s">
        <v>1939</v>
      </c>
    </row>
    <row r="635" spans="1:40" x14ac:dyDescent="0.35">
      <c r="A635">
        <v>3399006</v>
      </c>
      <c r="B635" t="s">
        <v>2001</v>
      </c>
      <c r="C635" t="str">
        <f>"9782853624008"</f>
        <v>9782853624008</v>
      </c>
      <c r="D635" t="str">
        <f>"9782759206995"</f>
        <v>9782759206995</v>
      </c>
      <c r="E635" t="s">
        <v>1928</v>
      </c>
      <c r="F635" t="s">
        <v>1928</v>
      </c>
      <c r="G635" s="1">
        <v>36469</v>
      </c>
      <c r="H635" s="1">
        <v>41381</v>
      </c>
      <c r="I635" t="s">
        <v>189</v>
      </c>
      <c r="J635">
        <v>1</v>
      </c>
      <c r="K635" t="s">
        <v>1948</v>
      </c>
      <c r="L635" t="s">
        <v>2002</v>
      </c>
    </row>
    <row r="636" spans="1:40" x14ac:dyDescent="0.35">
      <c r="A636">
        <v>3399008</v>
      </c>
      <c r="B636" t="s">
        <v>2003</v>
      </c>
      <c r="C636" t="str">
        <f>"9782853623025"</f>
        <v>9782853623025</v>
      </c>
      <c r="D636" t="str">
        <f>"9782759206933"</f>
        <v>9782759206933</v>
      </c>
      <c r="E636" t="s">
        <v>1928</v>
      </c>
      <c r="F636" t="s">
        <v>1928</v>
      </c>
      <c r="G636" s="1">
        <v>36469</v>
      </c>
      <c r="H636" s="1">
        <v>41381</v>
      </c>
      <c r="I636" t="s">
        <v>189</v>
      </c>
      <c r="J636">
        <v>1</v>
      </c>
      <c r="K636" t="s">
        <v>1942</v>
      </c>
      <c r="L636" t="s">
        <v>2004</v>
      </c>
      <c r="M636" t="s">
        <v>964</v>
      </c>
      <c r="Q636" t="s">
        <v>1827</v>
      </c>
      <c r="R636" t="s">
        <v>261</v>
      </c>
      <c r="S636" t="s">
        <v>261</v>
      </c>
      <c r="T636" t="s">
        <v>261</v>
      </c>
      <c r="U636" t="s">
        <v>262</v>
      </c>
      <c r="V636" t="s">
        <v>262</v>
      </c>
      <c r="W636" t="s">
        <v>261</v>
      </c>
      <c r="X636" t="s">
        <v>262</v>
      </c>
      <c r="Y636" t="s">
        <v>261</v>
      </c>
      <c r="Z636" t="s">
        <v>409</v>
      </c>
      <c r="AA636" t="s">
        <v>409</v>
      </c>
      <c r="AB636" t="s">
        <v>409</v>
      </c>
      <c r="AC636" t="s">
        <v>409</v>
      </c>
      <c r="AD636" t="s">
        <v>262</v>
      </c>
      <c r="AE636">
        <v>10686527</v>
      </c>
      <c r="AH636" t="s">
        <v>262</v>
      </c>
      <c r="AI636" t="s">
        <v>262</v>
      </c>
      <c r="AJ636" t="s">
        <v>261</v>
      </c>
      <c r="AK636" t="s">
        <v>261</v>
      </c>
      <c r="AM636" t="s">
        <v>262</v>
      </c>
      <c r="AN636" t="s">
        <v>2005</v>
      </c>
    </row>
    <row r="637" spans="1:40" x14ac:dyDescent="0.35">
      <c r="A637">
        <v>3399017</v>
      </c>
      <c r="B637" t="s">
        <v>2006</v>
      </c>
      <c r="C637" t="str">
        <f>"9782853624176"</f>
        <v>9782853624176</v>
      </c>
      <c r="D637" t="str">
        <f>"9782759207053"</f>
        <v>9782759207053</v>
      </c>
      <c r="E637" t="s">
        <v>1928</v>
      </c>
      <c r="F637" t="s">
        <v>1928</v>
      </c>
      <c r="G637" s="1">
        <v>34700</v>
      </c>
      <c r="H637" s="1">
        <v>41381</v>
      </c>
      <c r="I637" t="s">
        <v>189</v>
      </c>
      <c r="J637">
        <v>1</v>
      </c>
      <c r="K637" t="s">
        <v>1942</v>
      </c>
      <c r="L637" t="s">
        <v>1954</v>
      </c>
      <c r="M637" t="s">
        <v>964</v>
      </c>
      <c r="Q637" t="s">
        <v>1827</v>
      </c>
      <c r="R637" t="s">
        <v>261</v>
      </c>
      <c r="S637" t="s">
        <v>261</v>
      </c>
      <c r="T637" t="s">
        <v>261</v>
      </c>
      <c r="U637" t="s">
        <v>262</v>
      </c>
      <c r="V637" t="s">
        <v>262</v>
      </c>
      <c r="W637" t="s">
        <v>261</v>
      </c>
      <c r="X637" t="s">
        <v>262</v>
      </c>
      <c r="Y637" t="s">
        <v>261</v>
      </c>
      <c r="Z637" t="s">
        <v>409</v>
      </c>
      <c r="AA637" t="s">
        <v>409</v>
      </c>
      <c r="AB637" t="s">
        <v>409</v>
      </c>
      <c r="AC637" t="s">
        <v>409</v>
      </c>
      <c r="AD637" t="s">
        <v>262</v>
      </c>
      <c r="AE637">
        <v>10686536</v>
      </c>
      <c r="AH637" t="s">
        <v>262</v>
      </c>
      <c r="AI637" t="s">
        <v>262</v>
      </c>
      <c r="AJ637" t="s">
        <v>261</v>
      </c>
      <c r="AK637" t="s">
        <v>261</v>
      </c>
      <c r="AM637" t="s">
        <v>262</v>
      </c>
      <c r="AN637" t="s">
        <v>2007</v>
      </c>
    </row>
    <row r="638" spans="1:40" x14ac:dyDescent="0.35">
      <c r="A638">
        <v>3399025</v>
      </c>
      <c r="B638" t="s">
        <v>2008</v>
      </c>
      <c r="C638" t="str">
        <f>"9782853623216"</f>
        <v>9782853623216</v>
      </c>
      <c r="D638" t="str">
        <f>"9782759206940"</f>
        <v>9782759206940</v>
      </c>
      <c r="E638" t="s">
        <v>1928</v>
      </c>
      <c r="F638" t="s">
        <v>1928</v>
      </c>
      <c r="G638" s="1">
        <v>33970</v>
      </c>
      <c r="H638" s="1">
        <v>41381</v>
      </c>
      <c r="I638" t="s">
        <v>189</v>
      </c>
      <c r="K638" t="s">
        <v>1942</v>
      </c>
      <c r="L638" t="s">
        <v>2009</v>
      </c>
      <c r="M638" t="s">
        <v>1995</v>
      </c>
    </row>
    <row r="639" spans="1:40" x14ac:dyDescent="0.35">
      <c r="A639">
        <v>3399029</v>
      </c>
      <c r="B639" t="s">
        <v>2010</v>
      </c>
      <c r="C639" t="str">
        <f>"9782853624930"</f>
        <v>9782853624930</v>
      </c>
      <c r="D639" t="str">
        <f>"9782759207138"</f>
        <v>9782759207138</v>
      </c>
      <c r="E639" t="s">
        <v>1928</v>
      </c>
      <c r="F639" t="s">
        <v>1928</v>
      </c>
      <c r="G639" s="1">
        <v>35796</v>
      </c>
      <c r="H639" s="1">
        <v>41381</v>
      </c>
      <c r="I639" t="s">
        <v>189</v>
      </c>
      <c r="J639">
        <v>1</v>
      </c>
      <c r="K639" t="s">
        <v>1948</v>
      </c>
      <c r="L639" t="s">
        <v>1939</v>
      </c>
      <c r="M639" t="s">
        <v>964</v>
      </c>
      <c r="Q639" t="s">
        <v>260</v>
      </c>
      <c r="R639" t="s">
        <v>261</v>
      </c>
      <c r="S639" t="s">
        <v>261</v>
      </c>
      <c r="T639" t="s">
        <v>261</v>
      </c>
      <c r="U639" t="s">
        <v>262</v>
      </c>
      <c r="V639" t="s">
        <v>262</v>
      </c>
      <c r="W639" t="s">
        <v>261</v>
      </c>
      <c r="X639" t="s">
        <v>262</v>
      </c>
      <c r="Y639" t="s">
        <v>261</v>
      </c>
      <c r="Z639" t="s">
        <v>409</v>
      </c>
      <c r="AA639" t="s">
        <v>409</v>
      </c>
      <c r="AB639" t="s">
        <v>409</v>
      </c>
      <c r="AC639" t="s">
        <v>409</v>
      </c>
      <c r="AD639" t="s">
        <v>262</v>
      </c>
      <c r="AE639">
        <v>10686548</v>
      </c>
      <c r="AH639" t="s">
        <v>262</v>
      </c>
      <c r="AI639" t="s">
        <v>262</v>
      </c>
      <c r="AJ639" t="s">
        <v>261</v>
      </c>
      <c r="AK639" t="s">
        <v>261</v>
      </c>
      <c r="AM639" t="s">
        <v>262</v>
      </c>
      <c r="AN639" t="s">
        <v>2011</v>
      </c>
    </row>
    <row r="640" spans="1:40" x14ac:dyDescent="0.35">
      <c r="A640">
        <v>3399032</v>
      </c>
      <c r="B640" t="s">
        <v>2012</v>
      </c>
      <c r="C640" t="str">
        <f>"9782853625937"</f>
        <v>9782853625937</v>
      </c>
      <c r="D640" t="str">
        <f>"9782759207305"</f>
        <v>9782759207305</v>
      </c>
      <c r="E640" t="s">
        <v>1928</v>
      </c>
      <c r="F640" t="s">
        <v>1928</v>
      </c>
      <c r="G640" s="1">
        <v>37418</v>
      </c>
      <c r="H640" s="1">
        <v>41381</v>
      </c>
      <c r="I640" t="s">
        <v>189</v>
      </c>
      <c r="J640">
        <v>1</v>
      </c>
      <c r="K640" t="s">
        <v>2013</v>
      </c>
      <c r="L640" t="s">
        <v>2014</v>
      </c>
    </row>
    <row r="641" spans="1:40" x14ac:dyDescent="0.35">
      <c r="A641">
        <v>3399040</v>
      </c>
      <c r="B641" t="s">
        <v>2015</v>
      </c>
      <c r="C641" t="str">
        <f>"9782853622066"</f>
        <v>9782853622066</v>
      </c>
      <c r="D641" t="str">
        <f>"9782759206858"</f>
        <v>9782759206858</v>
      </c>
      <c r="E641" t="s">
        <v>1928</v>
      </c>
      <c r="F641" t="s">
        <v>1928</v>
      </c>
      <c r="G641" s="1">
        <v>34177</v>
      </c>
      <c r="H641" s="1">
        <v>41381</v>
      </c>
      <c r="I641" t="s">
        <v>189</v>
      </c>
      <c r="K641" t="s">
        <v>1942</v>
      </c>
      <c r="L641" t="s">
        <v>2016</v>
      </c>
      <c r="M641" t="s">
        <v>535</v>
      </c>
    </row>
    <row r="642" spans="1:40" x14ac:dyDescent="0.35">
      <c r="A642">
        <v>3399042</v>
      </c>
      <c r="B642" t="s">
        <v>2017</v>
      </c>
      <c r="C642" t="str">
        <f>"9782759200795"</f>
        <v>9782759200795</v>
      </c>
      <c r="D642" t="str">
        <f>"9782759206780"</f>
        <v>9782759206780</v>
      </c>
      <c r="E642" t="s">
        <v>1928</v>
      </c>
      <c r="F642" t="s">
        <v>1928</v>
      </c>
      <c r="G642" s="1">
        <v>39463</v>
      </c>
      <c r="H642" s="1">
        <v>41381</v>
      </c>
      <c r="I642" t="s">
        <v>189</v>
      </c>
      <c r="J642">
        <v>1</v>
      </c>
      <c r="K642" t="s">
        <v>1936</v>
      </c>
      <c r="L642" t="s">
        <v>2018</v>
      </c>
    </row>
    <row r="643" spans="1:40" x14ac:dyDescent="0.35">
      <c r="A643">
        <v>3399052</v>
      </c>
      <c r="B643" t="s">
        <v>2019</v>
      </c>
      <c r="C643" t="str">
        <f>"9782853622318"</f>
        <v>9782853622318</v>
      </c>
      <c r="D643" t="str">
        <f>"9782759206872"</f>
        <v>9782759206872</v>
      </c>
      <c r="E643" t="s">
        <v>1928</v>
      </c>
      <c r="F643" t="s">
        <v>1928</v>
      </c>
      <c r="G643" s="1">
        <v>33239</v>
      </c>
      <c r="H643" s="1">
        <v>41381</v>
      </c>
      <c r="I643" t="s">
        <v>189</v>
      </c>
      <c r="J643">
        <v>1</v>
      </c>
      <c r="K643" t="s">
        <v>1979</v>
      </c>
      <c r="L643" t="s">
        <v>2020</v>
      </c>
    </row>
    <row r="644" spans="1:40" x14ac:dyDescent="0.35">
      <c r="A644">
        <v>3399058</v>
      </c>
      <c r="B644" t="s">
        <v>2021</v>
      </c>
      <c r="C644" t="str">
        <f>"9782853625456"</f>
        <v>9782853625456</v>
      </c>
      <c r="D644" t="str">
        <f>"9782759207237"</f>
        <v>9782759207237</v>
      </c>
      <c r="E644" t="s">
        <v>1928</v>
      </c>
      <c r="F644" t="s">
        <v>1928</v>
      </c>
      <c r="G644" s="1">
        <v>36526</v>
      </c>
      <c r="H644" s="1">
        <v>41381</v>
      </c>
      <c r="I644" t="s">
        <v>189</v>
      </c>
      <c r="K644" t="s">
        <v>1948</v>
      </c>
      <c r="L644" t="s">
        <v>2022</v>
      </c>
    </row>
    <row r="645" spans="1:40" x14ac:dyDescent="0.35">
      <c r="A645">
        <v>3399059</v>
      </c>
      <c r="B645" t="s">
        <v>2023</v>
      </c>
      <c r="C645" t="str">
        <f>"9782853625043"</f>
        <v>9782853625043</v>
      </c>
      <c r="D645" t="str">
        <f>"9782759207152"</f>
        <v>9782759207152</v>
      </c>
      <c r="E645" t="s">
        <v>1928</v>
      </c>
      <c r="F645" t="s">
        <v>1928</v>
      </c>
      <c r="G645" s="1">
        <v>35796</v>
      </c>
      <c r="H645" s="1">
        <v>41381</v>
      </c>
      <c r="I645" t="s">
        <v>189</v>
      </c>
      <c r="K645" t="s">
        <v>1948</v>
      </c>
      <c r="L645" t="s">
        <v>1957</v>
      </c>
      <c r="M645" t="s">
        <v>944</v>
      </c>
    </row>
    <row r="646" spans="1:40" x14ac:dyDescent="0.35">
      <c r="A646">
        <v>3399066</v>
      </c>
      <c r="B646" t="s">
        <v>2024</v>
      </c>
      <c r="C646" t="str">
        <f>"9782853623520"</f>
        <v>9782853623520</v>
      </c>
      <c r="D646" t="str">
        <f>"9782759206957"</f>
        <v>9782759206957</v>
      </c>
      <c r="E646" t="s">
        <v>1928</v>
      </c>
      <c r="F646" t="s">
        <v>1928</v>
      </c>
      <c r="G646" s="1">
        <v>34335</v>
      </c>
      <c r="H646" s="1">
        <v>41381</v>
      </c>
      <c r="I646" t="s">
        <v>189</v>
      </c>
      <c r="J646">
        <v>1</v>
      </c>
      <c r="K646" t="s">
        <v>1942</v>
      </c>
      <c r="L646" t="s">
        <v>2025</v>
      </c>
    </row>
    <row r="647" spans="1:40" x14ac:dyDescent="0.35">
      <c r="A647">
        <v>3399071</v>
      </c>
      <c r="B647" t="s">
        <v>2026</v>
      </c>
      <c r="C647" t="str">
        <f>"9782759203116"</f>
        <v>9782759203116</v>
      </c>
      <c r="D647" t="str">
        <f>"9782759203123"</f>
        <v>9782759203123</v>
      </c>
      <c r="E647" t="s">
        <v>1928</v>
      </c>
      <c r="F647" t="s">
        <v>1928</v>
      </c>
      <c r="G647" s="1">
        <v>39969</v>
      </c>
      <c r="H647" s="1">
        <v>41386</v>
      </c>
      <c r="I647" t="s">
        <v>189</v>
      </c>
      <c r="K647" t="s">
        <v>1929</v>
      </c>
      <c r="L647" t="s">
        <v>2027</v>
      </c>
    </row>
    <row r="648" spans="1:40" x14ac:dyDescent="0.35">
      <c r="A648">
        <v>3399118</v>
      </c>
      <c r="B648" t="s">
        <v>2028</v>
      </c>
      <c r="C648" t="str">
        <f>"9782759205103"</f>
        <v>9782759205103</v>
      </c>
      <c r="D648" t="str">
        <f>"9782759205110"</f>
        <v>9782759205110</v>
      </c>
      <c r="E648" t="s">
        <v>1928</v>
      </c>
      <c r="F648" t="s">
        <v>1928</v>
      </c>
      <c r="G648" s="1">
        <v>40520</v>
      </c>
      <c r="H648" s="1">
        <v>41386</v>
      </c>
      <c r="I648" t="s">
        <v>189</v>
      </c>
      <c r="K648" t="s">
        <v>2029</v>
      </c>
      <c r="L648" t="s">
        <v>2030</v>
      </c>
    </row>
    <row r="649" spans="1:40" x14ac:dyDescent="0.35">
      <c r="A649">
        <v>3399154</v>
      </c>
      <c r="B649" t="s">
        <v>2031</v>
      </c>
      <c r="C649" t="str">
        <f>"9782759203840"</f>
        <v>9782759203840</v>
      </c>
      <c r="D649" t="str">
        <f>"9782759203857"</f>
        <v>9782759203857</v>
      </c>
      <c r="E649" t="s">
        <v>1928</v>
      </c>
      <c r="F649" t="s">
        <v>1928</v>
      </c>
      <c r="G649" s="1">
        <v>40197</v>
      </c>
      <c r="H649" s="1">
        <v>41386</v>
      </c>
      <c r="I649" t="s">
        <v>189</v>
      </c>
      <c r="K649" t="s">
        <v>1929</v>
      </c>
      <c r="L649" t="s">
        <v>2032</v>
      </c>
      <c r="M649" t="s">
        <v>535</v>
      </c>
    </row>
    <row r="650" spans="1:40" x14ac:dyDescent="0.35">
      <c r="A650">
        <v>3399169</v>
      </c>
      <c r="B650" t="s">
        <v>2033</v>
      </c>
      <c r="C650" t="str">
        <f>"9782759203451"</f>
        <v>9782759203451</v>
      </c>
      <c r="D650" t="str">
        <f>"9782759203468"</f>
        <v>9782759203468</v>
      </c>
      <c r="E650" t="s">
        <v>1928</v>
      </c>
      <c r="F650" t="s">
        <v>1928</v>
      </c>
      <c r="G650" s="1">
        <v>40245</v>
      </c>
      <c r="H650" s="1">
        <v>41386</v>
      </c>
      <c r="I650" t="s">
        <v>189</v>
      </c>
      <c r="K650" t="s">
        <v>1929</v>
      </c>
      <c r="L650" t="s">
        <v>2034</v>
      </c>
    </row>
    <row r="651" spans="1:40" x14ac:dyDescent="0.35">
      <c r="A651">
        <v>3399170</v>
      </c>
      <c r="B651" t="s">
        <v>2035</v>
      </c>
      <c r="C651" t="str">
        <f>"9782759203222"</f>
        <v>9782759203222</v>
      </c>
      <c r="D651" t="str">
        <f>"9782759203239"</f>
        <v>9782759203239</v>
      </c>
      <c r="E651" t="s">
        <v>1928</v>
      </c>
      <c r="F651" t="s">
        <v>1928</v>
      </c>
      <c r="G651" s="1">
        <v>40004</v>
      </c>
      <c r="H651" s="1">
        <v>41386</v>
      </c>
      <c r="I651" t="s">
        <v>189</v>
      </c>
      <c r="K651" t="s">
        <v>1929</v>
      </c>
      <c r="L651" t="s">
        <v>2036</v>
      </c>
    </row>
    <row r="652" spans="1:40" x14ac:dyDescent="0.35">
      <c r="A652">
        <v>3399254</v>
      </c>
      <c r="B652" t="s">
        <v>2037</v>
      </c>
      <c r="C652" t="str">
        <f>"9782759200153"</f>
        <v>9782759200153</v>
      </c>
      <c r="D652" t="str">
        <f>"9782759200986"</f>
        <v>9782759200986</v>
      </c>
      <c r="E652" t="s">
        <v>1928</v>
      </c>
      <c r="F652" t="s">
        <v>1928</v>
      </c>
      <c r="G652" s="1">
        <v>39097</v>
      </c>
      <c r="H652" s="1">
        <v>41400</v>
      </c>
      <c r="I652" t="s">
        <v>189</v>
      </c>
      <c r="J652">
        <v>1</v>
      </c>
      <c r="K652" t="s">
        <v>1929</v>
      </c>
      <c r="L652" t="s">
        <v>2038</v>
      </c>
      <c r="M652" t="s">
        <v>329</v>
      </c>
      <c r="Q652" t="s">
        <v>1827</v>
      </c>
      <c r="R652" t="s">
        <v>261</v>
      </c>
      <c r="S652" t="s">
        <v>261</v>
      </c>
      <c r="T652" t="s">
        <v>261</v>
      </c>
      <c r="U652" t="s">
        <v>262</v>
      </c>
      <c r="V652" t="s">
        <v>262</v>
      </c>
      <c r="W652" t="s">
        <v>261</v>
      </c>
      <c r="X652" t="s">
        <v>262</v>
      </c>
      <c r="Y652" t="s">
        <v>261</v>
      </c>
      <c r="Z652" t="s">
        <v>409</v>
      </c>
      <c r="AA652" t="s">
        <v>409</v>
      </c>
      <c r="AB652" t="s">
        <v>409</v>
      </c>
      <c r="AC652" t="s">
        <v>409</v>
      </c>
      <c r="AD652" t="s">
        <v>262</v>
      </c>
      <c r="AE652">
        <v>10694169</v>
      </c>
      <c r="AH652" t="s">
        <v>262</v>
      </c>
      <c r="AI652" t="s">
        <v>262</v>
      </c>
      <c r="AJ652" t="s">
        <v>261</v>
      </c>
      <c r="AK652" t="s">
        <v>261</v>
      </c>
      <c r="AM652" t="s">
        <v>262</v>
      </c>
      <c r="AN652" t="s">
        <v>2039</v>
      </c>
    </row>
    <row r="653" spans="1:40" x14ac:dyDescent="0.35">
      <c r="A653">
        <v>3399276</v>
      </c>
      <c r="B653" t="s">
        <v>2040</v>
      </c>
      <c r="C653" t="str">
        <f>""</f>
        <v/>
      </c>
      <c r="D653" t="str">
        <f>"9782759215386"</f>
        <v>9782759215386</v>
      </c>
      <c r="E653" t="s">
        <v>1928</v>
      </c>
      <c r="F653" t="s">
        <v>1928</v>
      </c>
      <c r="G653" s="1">
        <v>39365</v>
      </c>
      <c r="H653" s="1">
        <v>41400</v>
      </c>
      <c r="I653" t="s">
        <v>189</v>
      </c>
      <c r="K653" t="s">
        <v>1948</v>
      </c>
      <c r="L653" t="s">
        <v>2041</v>
      </c>
    </row>
    <row r="654" spans="1:40" x14ac:dyDescent="0.35">
      <c r="A654">
        <v>3399297</v>
      </c>
      <c r="B654" t="s">
        <v>2042</v>
      </c>
      <c r="C654" t="str">
        <f>"9782759201839"</f>
        <v>9782759201839</v>
      </c>
      <c r="D654" t="str">
        <f>"9782759201846"</f>
        <v>9782759201846</v>
      </c>
      <c r="E654" t="s">
        <v>1928</v>
      </c>
      <c r="F654" t="s">
        <v>1928</v>
      </c>
      <c r="G654" s="1">
        <v>39856</v>
      </c>
      <c r="H654" s="1">
        <v>41400</v>
      </c>
      <c r="I654" t="s">
        <v>189</v>
      </c>
      <c r="K654" t="s">
        <v>1948</v>
      </c>
      <c r="L654" t="s">
        <v>2043</v>
      </c>
    </row>
    <row r="655" spans="1:40" x14ac:dyDescent="0.35">
      <c r="A655">
        <v>3399348</v>
      </c>
      <c r="B655" t="s">
        <v>2044</v>
      </c>
      <c r="C655" t="str">
        <f>"9782759200054"</f>
        <v>9782759200054</v>
      </c>
      <c r="D655" t="str">
        <f>"9782759200962"</f>
        <v>9782759200962</v>
      </c>
      <c r="E655" t="s">
        <v>1928</v>
      </c>
      <c r="F655" t="s">
        <v>1928</v>
      </c>
      <c r="G655" s="1">
        <v>39069</v>
      </c>
      <c r="H655" s="1">
        <v>41400</v>
      </c>
      <c r="I655" t="s">
        <v>189</v>
      </c>
      <c r="K655" t="s">
        <v>1936</v>
      </c>
      <c r="L655" t="s">
        <v>2045</v>
      </c>
    </row>
    <row r="656" spans="1:40" x14ac:dyDescent="0.35">
      <c r="A656">
        <v>3399385</v>
      </c>
      <c r="B656" t="s">
        <v>2046</v>
      </c>
      <c r="C656" t="str">
        <f>"9782876146228"</f>
        <v>9782876146228</v>
      </c>
      <c r="D656" t="str">
        <f>"9782759201426"</f>
        <v>9782759201426</v>
      </c>
      <c r="E656" t="s">
        <v>1928</v>
      </c>
      <c r="F656" t="s">
        <v>1928</v>
      </c>
      <c r="G656" s="1">
        <v>38353</v>
      </c>
      <c r="H656" s="1">
        <v>41400</v>
      </c>
      <c r="I656" t="s">
        <v>189</v>
      </c>
      <c r="J656">
        <v>1</v>
      </c>
      <c r="K656" t="s">
        <v>1936</v>
      </c>
      <c r="L656" t="s">
        <v>2045</v>
      </c>
    </row>
    <row r="657" spans="1:40" x14ac:dyDescent="0.35">
      <c r="A657">
        <v>3399409</v>
      </c>
      <c r="B657" t="s">
        <v>2047</v>
      </c>
      <c r="C657" t="str">
        <f>"9782759218929"</f>
        <v>9782759218929</v>
      </c>
      <c r="D657" t="str">
        <f>"9782759218936"</f>
        <v>9782759218936</v>
      </c>
      <c r="E657" t="s">
        <v>1928</v>
      </c>
      <c r="F657" t="s">
        <v>1928</v>
      </c>
      <c r="G657" s="1">
        <v>41282</v>
      </c>
      <c r="H657" s="1">
        <v>41416</v>
      </c>
      <c r="I657" t="s">
        <v>189</v>
      </c>
      <c r="K657" t="s">
        <v>1936</v>
      </c>
      <c r="L657" t="s">
        <v>2048</v>
      </c>
    </row>
    <row r="658" spans="1:40" x14ac:dyDescent="0.35">
      <c r="A658">
        <v>3399437</v>
      </c>
      <c r="B658" t="s">
        <v>2049</v>
      </c>
      <c r="C658" t="str">
        <f>"9782759216840"</f>
        <v>9782759216840</v>
      </c>
      <c r="D658" t="str">
        <f>"9782759216857"</f>
        <v>9782759216857</v>
      </c>
      <c r="E658" t="s">
        <v>1928</v>
      </c>
      <c r="F658" t="s">
        <v>1928</v>
      </c>
      <c r="G658" s="1">
        <v>40875</v>
      </c>
      <c r="H658" s="1">
        <v>41521</v>
      </c>
      <c r="I658" t="s">
        <v>189</v>
      </c>
      <c r="K658" t="s">
        <v>1948</v>
      </c>
      <c r="L658" t="s">
        <v>2050</v>
      </c>
      <c r="M658" t="s">
        <v>807</v>
      </c>
      <c r="N658" t="s">
        <v>2051</v>
      </c>
      <c r="P658" t="s">
        <v>2052</v>
      </c>
      <c r="Q658" t="s">
        <v>1827</v>
      </c>
      <c r="R658" t="s">
        <v>261</v>
      </c>
      <c r="S658" t="s">
        <v>261</v>
      </c>
      <c r="T658" t="s">
        <v>261</v>
      </c>
      <c r="U658" t="s">
        <v>262</v>
      </c>
      <c r="V658" t="s">
        <v>262</v>
      </c>
      <c r="W658" t="s">
        <v>261</v>
      </c>
      <c r="X658" t="s">
        <v>262</v>
      </c>
      <c r="Y658" t="s">
        <v>261</v>
      </c>
      <c r="Z658" t="s">
        <v>409</v>
      </c>
      <c r="AA658" t="s">
        <v>409</v>
      </c>
      <c r="AB658" t="s">
        <v>409</v>
      </c>
      <c r="AC658" t="s">
        <v>409</v>
      </c>
      <c r="AD658" t="s">
        <v>262</v>
      </c>
      <c r="AE658">
        <v>10752854</v>
      </c>
      <c r="AH658" t="s">
        <v>262</v>
      </c>
      <c r="AI658" t="s">
        <v>262</v>
      </c>
      <c r="AJ658" t="s">
        <v>261</v>
      </c>
      <c r="AK658" t="s">
        <v>261</v>
      </c>
      <c r="AM658" t="s">
        <v>262</v>
      </c>
      <c r="AN658" t="s">
        <v>2053</v>
      </c>
    </row>
    <row r="659" spans="1:40" x14ac:dyDescent="0.35">
      <c r="A659">
        <v>3399473</v>
      </c>
      <c r="B659" t="s">
        <v>2054</v>
      </c>
      <c r="C659" t="str">
        <f>"9782759219681"</f>
        <v>9782759219681</v>
      </c>
      <c r="D659" t="str">
        <f>"9782759219698"</f>
        <v>9782759219698</v>
      </c>
      <c r="E659" t="s">
        <v>1928</v>
      </c>
      <c r="F659" t="s">
        <v>1928</v>
      </c>
      <c r="G659" s="1">
        <v>41425</v>
      </c>
      <c r="H659" s="1">
        <v>41649</v>
      </c>
      <c r="I659" t="s">
        <v>189</v>
      </c>
      <c r="K659" t="s">
        <v>2029</v>
      </c>
      <c r="L659" t="s">
        <v>2055</v>
      </c>
      <c r="M659" t="s">
        <v>329</v>
      </c>
    </row>
    <row r="660" spans="1:40" x14ac:dyDescent="0.35">
      <c r="A660">
        <v>3399483</v>
      </c>
      <c r="B660" t="s">
        <v>2056</v>
      </c>
      <c r="C660" t="str">
        <f>"9782759219865"</f>
        <v>9782759219865</v>
      </c>
      <c r="D660" t="str">
        <f>"9782759219872"</f>
        <v>9782759219872</v>
      </c>
      <c r="E660" t="s">
        <v>1928</v>
      </c>
      <c r="F660" t="s">
        <v>1928</v>
      </c>
      <c r="G660" s="1">
        <v>41425</v>
      </c>
      <c r="H660" s="1">
        <v>41649</v>
      </c>
      <c r="I660" t="s">
        <v>189</v>
      </c>
      <c r="K660" t="s">
        <v>1936</v>
      </c>
      <c r="L660" t="s">
        <v>2057</v>
      </c>
      <c r="M660" t="s">
        <v>2058</v>
      </c>
    </row>
    <row r="661" spans="1:40" x14ac:dyDescent="0.35">
      <c r="A661">
        <v>3399495</v>
      </c>
      <c r="B661" t="s">
        <v>2059</v>
      </c>
      <c r="C661" t="str">
        <f>"9782759220618"</f>
        <v>9782759220618</v>
      </c>
      <c r="D661" t="str">
        <f>"9782759220625"</f>
        <v>9782759220625</v>
      </c>
      <c r="E661" t="s">
        <v>1928</v>
      </c>
      <c r="F661" t="s">
        <v>1928</v>
      </c>
      <c r="G661" s="1">
        <v>41613</v>
      </c>
      <c r="H661" s="1">
        <v>41745</v>
      </c>
      <c r="I661" t="s">
        <v>189</v>
      </c>
      <c r="K661" t="s">
        <v>1936</v>
      </c>
      <c r="L661" t="s">
        <v>2060</v>
      </c>
    </row>
    <row r="662" spans="1:40" x14ac:dyDescent="0.35">
      <c r="A662">
        <v>3399504</v>
      </c>
      <c r="B662" t="s">
        <v>2061</v>
      </c>
      <c r="C662" t="str">
        <f>"9782759221622"</f>
        <v>9782759221622</v>
      </c>
      <c r="D662" t="str">
        <f>"9782759221639"</f>
        <v>9782759221639</v>
      </c>
      <c r="E662" t="s">
        <v>1928</v>
      </c>
      <c r="F662" t="s">
        <v>1928</v>
      </c>
      <c r="G662" s="1">
        <v>41778</v>
      </c>
      <c r="H662" s="1">
        <v>41799</v>
      </c>
      <c r="I662" t="s">
        <v>189</v>
      </c>
      <c r="K662" t="s">
        <v>2062</v>
      </c>
      <c r="L662" t="s">
        <v>2063</v>
      </c>
      <c r="M662" t="s">
        <v>329</v>
      </c>
      <c r="N662" t="s">
        <v>2064</v>
      </c>
      <c r="O662" s="2">
        <v>3052309409031</v>
      </c>
      <c r="P662" t="s">
        <v>2065</v>
      </c>
    </row>
    <row r="663" spans="1:40" x14ac:dyDescent="0.35">
      <c r="A663">
        <v>3399530</v>
      </c>
      <c r="B663" t="s">
        <v>2066</v>
      </c>
      <c r="C663" t="str">
        <f>"9782759221684"</f>
        <v>9782759221684</v>
      </c>
      <c r="D663" t="str">
        <f>"9782759221691"</f>
        <v>9782759221691</v>
      </c>
      <c r="E663" t="s">
        <v>1928</v>
      </c>
      <c r="F663" t="s">
        <v>1928</v>
      </c>
      <c r="G663" s="1">
        <v>41925</v>
      </c>
      <c r="H663" s="1">
        <v>41989</v>
      </c>
      <c r="I663" t="s">
        <v>189</v>
      </c>
      <c r="K663" t="s">
        <v>1936</v>
      </c>
      <c r="L663" t="s">
        <v>2067</v>
      </c>
    </row>
    <row r="664" spans="1:40" x14ac:dyDescent="0.35">
      <c r="A664">
        <v>3399545</v>
      </c>
      <c r="B664" t="s">
        <v>2068</v>
      </c>
      <c r="C664" t="str">
        <f>"9782759222421"</f>
        <v>9782759222421</v>
      </c>
      <c r="D664" t="str">
        <f>"9782759222438"</f>
        <v>9782759222438</v>
      </c>
      <c r="E664" t="s">
        <v>1928</v>
      </c>
      <c r="F664" t="s">
        <v>1928</v>
      </c>
      <c r="G664" s="1">
        <v>41975</v>
      </c>
      <c r="H664" s="1">
        <v>41989</v>
      </c>
      <c r="I664" t="s">
        <v>189</v>
      </c>
      <c r="K664" t="s">
        <v>1936</v>
      </c>
      <c r="L664" t="s">
        <v>2069</v>
      </c>
    </row>
    <row r="665" spans="1:40" x14ac:dyDescent="0.35">
      <c r="A665">
        <v>3399546</v>
      </c>
      <c r="B665" t="s">
        <v>2070</v>
      </c>
      <c r="C665" t="str">
        <f>"9782759222667"</f>
        <v>9782759222667</v>
      </c>
      <c r="D665" t="str">
        <f>"9782759222674"</f>
        <v>9782759222674</v>
      </c>
      <c r="E665" t="s">
        <v>1928</v>
      </c>
      <c r="F665" t="s">
        <v>1928</v>
      </c>
      <c r="G665" s="1">
        <v>41990</v>
      </c>
      <c r="H665" s="1">
        <v>42112</v>
      </c>
      <c r="I665" t="s">
        <v>189</v>
      </c>
      <c r="K665" t="s">
        <v>2062</v>
      </c>
      <c r="L665" t="s">
        <v>2071</v>
      </c>
    </row>
    <row r="666" spans="1:40" x14ac:dyDescent="0.35">
      <c r="A666">
        <v>3408846</v>
      </c>
      <c r="B666" t="s">
        <v>2072</v>
      </c>
      <c r="C666" t="str">
        <f>"9781438450216"</f>
        <v>9781438450216</v>
      </c>
      <c r="D666" t="str">
        <f>"9781438450230"</f>
        <v>9781438450230</v>
      </c>
      <c r="E666" t="s">
        <v>2073</v>
      </c>
      <c r="F666" t="s">
        <v>2074</v>
      </c>
      <c r="G666" s="1">
        <v>41730</v>
      </c>
      <c r="H666" s="1">
        <v>41694</v>
      </c>
      <c r="I666" t="s">
        <v>189</v>
      </c>
      <c r="J666">
        <v>1</v>
      </c>
      <c r="K666" t="s">
        <v>2075</v>
      </c>
      <c r="L666" t="s">
        <v>2076</v>
      </c>
      <c r="M666" t="s">
        <v>329</v>
      </c>
    </row>
    <row r="667" spans="1:40" x14ac:dyDescent="0.35">
      <c r="A667">
        <v>3408947</v>
      </c>
      <c r="B667" t="s">
        <v>2077</v>
      </c>
      <c r="C667" t="str">
        <f>"9781438453118"</f>
        <v>9781438453118</v>
      </c>
      <c r="D667" t="str">
        <f>"9781438453125"</f>
        <v>9781438453125</v>
      </c>
      <c r="E667" t="s">
        <v>2073</v>
      </c>
      <c r="F667" t="s">
        <v>2074</v>
      </c>
      <c r="G667" s="1">
        <v>41944</v>
      </c>
      <c r="H667" s="1">
        <v>41935</v>
      </c>
      <c r="I667" t="s">
        <v>189</v>
      </c>
      <c r="J667">
        <v>1</v>
      </c>
      <c r="K667" t="s">
        <v>2078</v>
      </c>
      <c r="L667" t="s">
        <v>2079</v>
      </c>
    </row>
    <row r="668" spans="1:40" x14ac:dyDescent="0.35">
      <c r="A668">
        <v>3409028</v>
      </c>
      <c r="B668" t="s">
        <v>2080</v>
      </c>
      <c r="C668" t="str">
        <f>"9781438455914"</f>
        <v>9781438455914</v>
      </c>
      <c r="D668" t="str">
        <f>"9781438455938"</f>
        <v>9781438455938</v>
      </c>
      <c r="E668" t="s">
        <v>2073</v>
      </c>
      <c r="F668" t="s">
        <v>2074</v>
      </c>
      <c r="G668" s="1">
        <v>42125</v>
      </c>
      <c r="H668" s="1">
        <v>42115</v>
      </c>
      <c r="I668" t="s">
        <v>189</v>
      </c>
      <c r="J668">
        <v>1</v>
      </c>
      <c r="K668" t="s">
        <v>2075</v>
      </c>
      <c r="L668" t="s">
        <v>2081</v>
      </c>
      <c r="M668" t="s">
        <v>329</v>
      </c>
      <c r="N668" t="s">
        <v>2082</v>
      </c>
      <c r="O668" s="2">
        <v>30542094</v>
      </c>
      <c r="P668" t="s">
        <v>2083</v>
      </c>
    </row>
    <row r="669" spans="1:40" x14ac:dyDescent="0.35">
      <c r="A669">
        <v>3409029</v>
      </c>
      <c r="B669" t="s">
        <v>2084</v>
      </c>
      <c r="C669" t="str">
        <f>"9781438456072"</f>
        <v>9781438456072</v>
      </c>
      <c r="D669" t="str">
        <f>"9781438456096"</f>
        <v>9781438456096</v>
      </c>
      <c r="E669" t="s">
        <v>2073</v>
      </c>
      <c r="F669" t="s">
        <v>2074</v>
      </c>
      <c r="G669" s="1">
        <v>42156</v>
      </c>
      <c r="H669" s="1">
        <v>42115</v>
      </c>
      <c r="I669" t="s">
        <v>189</v>
      </c>
      <c r="J669">
        <v>1</v>
      </c>
      <c r="K669" t="s">
        <v>2085</v>
      </c>
      <c r="L669" t="s">
        <v>2086</v>
      </c>
      <c r="M669" t="s">
        <v>210</v>
      </c>
      <c r="N669" t="s">
        <v>2087</v>
      </c>
      <c r="O669">
        <v>327</v>
      </c>
      <c r="P669" t="s">
        <v>2088</v>
      </c>
    </row>
    <row r="670" spans="1:40" x14ac:dyDescent="0.35">
      <c r="A670">
        <v>3414977</v>
      </c>
      <c r="B670" t="s">
        <v>2089</v>
      </c>
      <c r="C670" t="str">
        <f>"9780472117482"</f>
        <v>9780472117482</v>
      </c>
      <c r="D670" t="str">
        <f>"9780472026371"</f>
        <v>9780472026371</v>
      </c>
      <c r="E670" t="s">
        <v>2090</v>
      </c>
      <c r="F670" t="s">
        <v>2090</v>
      </c>
      <c r="G670" s="1">
        <v>40561</v>
      </c>
      <c r="H670" s="1">
        <v>40605</v>
      </c>
      <c r="I670" t="s">
        <v>189</v>
      </c>
      <c r="K670" t="s">
        <v>2091</v>
      </c>
      <c r="L670" t="s">
        <v>2092</v>
      </c>
      <c r="M670" t="s">
        <v>329</v>
      </c>
      <c r="N670" t="s">
        <v>2093</v>
      </c>
      <c r="O670" t="s">
        <v>2094</v>
      </c>
      <c r="P670" t="s">
        <v>2095</v>
      </c>
      <c r="Q670" t="s">
        <v>260</v>
      </c>
      <c r="R670" t="s">
        <v>261</v>
      </c>
      <c r="S670" t="s">
        <v>261</v>
      </c>
      <c r="T670" t="s">
        <v>261</v>
      </c>
      <c r="U670" t="s">
        <v>261</v>
      </c>
      <c r="V670" t="s">
        <v>262</v>
      </c>
      <c r="W670" t="s">
        <v>261</v>
      </c>
      <c r="X670" t="s">
        <v>261</v>
      </c>
      <c r="Y670" t="s">
        <v>261</v>
      </c>
      <c r="AA670" t="s">
        <v>409</v>
      </c>
      <c r="AB670" t="s">
        <v>409</v>
      </c>
      <c r="AC670" t="s">
        <v>409</v>
      </c>
      <c r="AD670" t="s">
        <v>262</v>
      </c>
      <c r="AE670">
        <v>10451078</v>
      </c>
      <c r="AF670">
        <v>301161</v>
      </c>
      <c r="AH670" t="s">
        <v>262</v>
      </c>
      <c r="AI670" t="s">
        <v>262</v>
      </c>
      <c r="AJ670" t="s">
        <v>261</v>
      </c>
      <c r="AK670" t="s">
        <v>261</v>
      </c>
      <c r="AM670" t="s">
        <v>262</v>
      </c>
      <c r="AN670" t="s">
        <v>2096</v>
      </c>
    </row>
    <row r="671" spans="1:40" x14ac:dyDescent="0.35">
      <c r="A671">
        <v>3425618</v>
      </c>
      <c r="B671" t="s">
        <v>2097</v>
      </c>
      <c r="C671" t="str">
        <f>"9781618114587"</f>
        <v>9781618114587</v>
      </c>
      <c r="D671" t="str">
        <f>"9781618117090"</f>
        <v>9781618117090</v>
      </c>
      <c r="E671" t="s">
        <v>1592</v>
      </c>
      <c r="F671" t="s">
        <v>1592</v>
      </c>
      <c r="G671" s="1">
        <v>42200</v>
      </c>
      <c r="H671" s="1">
        <v>42216</v>
      </c>
      <c r="I671" t="s">
        <v>189</v>
      </c>
      <c r="J671">
        <v>1</v>
      </c>
      <c r="L671" t="s">
        <v>2098</v>
      </c>
    </row>
    <row r="672" spans="1:40" x14ac:dyDescent="0.35">
      <c r="A672">
        <v>3425620</v>
      </c>
      <c r="B672" t="s">
        <v>2099</v>
      </c>
      <c r="C672" t="str">
        <f>"9781618112842"</f>
        <v>9781618112842</v>
      </c>
      <c r="D672" t="str">
        <f>"9781618112859"</f>
        <v>9781618112859</v>
      </c>
      <c r="E672" t="s">
        <v>1592</v>
      </c>
      <c r="F672" t="s">
        <v>1592</v>
      </c>
      <c r="G672" s="1">
        <v>42210</v>
      </c>
      <c r="H672" s="1">
        <v>42216</v>
      </c>
      <c r="I672" t="s">
        <v>189</v>
      </c>
      <c r="J672">
        <v>1</v>
      </c>
      <c r="K672" t="s">
        <v>1671</v>
      </c>
      <c r="L672" t="s">
        <v>2100</v>
      </c>
    </row>
    <row r="673" spans="1:40" x14ac:dyDescent="0.35">
      <c r="A673">
        <v>3425842</v>
      </c>
      <c r="B673" t="s">
        <v>2101</v>
      </c>
      <c r="C673" t="str">
        <f>"9781780407210"</f>
        <v>9781780407210</v>
      </c>
      <c r="D673" t="str">
        <f>"9781780407227"</f>
        <v>9781780407227</v>
      </c>
      <c r="E673" t="s">
        <v>1784</v>
      </c>
      <c r="F673" t="s">
        <v>1784</v>
      </c>
      <c r="G673" s="1">
        <v>42231</v>
      </c>
      <c r="H673" s="1">
        <v>42209</v>
      </c>
      <c r="I673" t="s">
        <v>189</v>
      </c>
      <c r="J673">
        <v>1</v>
      </c>
      <c r="L673" t="s">
        <v>2102</v>
      </c>
    </row>
    <row r="674" spans="1:40" x14ac:dyDescent="0.35">
      <c r="A674">
        <v>3440246</v>
      </c>
      <c r="B674" t="s">
        <v>2103</v>
      </c>
      <c r="C674" t="str">
        <f>"9781783741281"</f>
        <v>9781783741281</v>
      </c>
      <c r="D674" t="str">
        <f>"9781783741298"</f>
        <v>9781783741298</v>
      </c>
      <c r="E674" t="s">
        <v>1807</v>
      </c>
      <c r="F674" t="s">
        <v>1807</v>
      </c>
      <c r="G674" s="1">
        <v>42149</v>
      </c>
      <c r="H674" s="1">
        <v>42173</v>
      </c>
      <c r="I674" t="s">
        <v>189</v>
      </c>
      <c r="J674">
        <v>1</v>
      </c>
      <c r="L674" t="s">
        <v>35</v>
      </c>
      <c r="M674" t="s">
        <v>578</v>
      </c>
      <c r="Q674" t="s">
        <v>260</v>
      </c>
      <c r="R674" t="s">
        <v>261</v>
      </c>
      <c r="S674" t="s">
        <v>261</v>
      </c>
      <c r="T674" t="s">
        <v>261</v>
      </c>
      <c r="U674" t="s">
        <v>261</v>
      </c>
      <c r="V674" t="s">
        <v>262</v>
      </c>
      <c r="W674" t="s">
        <v>261</v>
      </c>
      <c r="X674" t="s">
        <v>261</v>
      </c>
      <c r="Y674" t="s">
        <v>261</v>
      </c>
      <c r="Z674" t="s">
        <v>409</v>
      </c>
      <c r="AA674" t="s">
        <v>409</v>
      </c>
      <c r="AB674" t="s">
        <v>409</v>
      </c>
      <c r="AC674" t="s">
        <v>409</v>
      </c>
      <c r="AD674" t="s">
        <v>262</v>
      </c>
      <c r="AE674">
        <v>11065686</v>
      </c>
      <c r="AH674" t="s">
        <v>262</v>
      </c>
      <c r="AI674" t="s">
        <v>262</v>
      </c>
      <c r="AJ674" t="s">
        <v>261</v>
      </c>
      <c r="AK674" t="s">
        <v>261</v>
      </c>
      <c r="AM674" t="s">
        <v>262</v>
      </c>
      <c r="AN674" t="s">
        <v>2104</v>
      </c>
    </row>
    <row r="675" spans="1:40" x14ac:dyDescent="0.35">
      <c r="A675">
        <v>3440247</v>
      </c>
      <c r="B675" t="s">
        <v>2105</v>
      </c>
      <c r="C675" t="str">
        <f>"9781783740635"</f>
        <v>9781783740635</v>
      </c>
      <c r="D675" t="str">
        <f>"9781783740642"</f>
        <v>9781783740642</v>
      </c>
      <c r="E675" t="s">
        <v>1807</v>
      </c>
      <c r="F675" t="s">
        <v>1807</v>
      </c>
      <c r="G675" s="1">
        <v>42051</v>
      </c>
      <c r="H675" s="1">
        <v>42173</v>
      </c>
      <c r="I675" t="s">
        <v>189</v>
      </c>
      <c r="J675">
        <v>1</v>
      </c>
      <c r="L675" t="s">
        <v>2106</v>
      </c>
      <c r="M675" t="s">
        <v>578</v>
      </c>
    </row>
    <row r="676" spans="1:40" x14ac:dyDescent="0.35">
      <c r="A676">
        <v>3440248</v>
      </c>
      <c r="B676" t="s">
        <v>2107</v>
      </c>
      <c r="C676" t="str">
        <f>"9781909254558"</f>
        <v>9781909254558</v>
      </c>
      <c r="D676" t="str">
        <f>"9781909254565"</f>
        <v>9781909254565</v>
      </c>
      <c r="E676" t="s">
        <v>1807</v>
      </c>
      <c r="F676" t="s">
        <v>1807</v>
      </c>
      <c r="G676" s="1">
        <v>41995</v>
      </c>
      <c r="H676" s="1">
        <v>42173</v>
      </c>
      <c r="I676" t="s">
        <v>189</v>
      </c>
      <c r="J676">
        <v>1</v>
      </c>
      <c r="L676" t="s">
        <v>2108</v>
      </c>
      <c r="M676" t="s">
        <v>239</v>
      </c>
    </row>
    <row r="677" spans="1:40" x14ac:dyDescent="0.35">
      <c r="A677">
        <v>3440249</v>
      </c>
      <c r="B677" t="s">
        <v>2109</v>
      </c>
      <c r="C677" t="str">
        <f>"9781783741182"</f>
        <v>9781783741182</v>
      </c>
      <c r="D677" t="str">
        <f>"9781783741199"</f>
        <v>9781783741199</v>
      </c>
      <c r="E677" t="s">
        <v>1807</v>
      </c>
      <c r="F677" t="s">
        <v>1807</v>
      </c>
      <c r="G677" s="1">
        <v>42128</v>
      </c>
      <c r="H677" s="1">
        <v>42173</v>
      </c>
      <c r="I677" t="s">
        <v>189</v>
      </c>
      <c r="J677">
        <v>1</v>
      </c>
      <c r="L677" t="s">
        <v>2110</v>
      </c>
    </row>
    <row r="678" spans="1:40" x14ac:dyDescent="0.35">
      <c r="A678">
        <v>3440250</v>
      </c>
      <c r="B678" t="s">
        <v>2111</v>
      </c>
      <c r="C678" t="str">
        <f>"9781783741236"</f>
        <v>9781783741236</v>
      </c>
      <c r="D678" t="str">
        <f>"9781783741243"</f>
        <v>9781783741243</v>
      </c>
      <c r="E678" t="s">
        <v>1807</v>
      </c>
      <c r="F678" t="s">
        <v>1807</v>
      </c>
      <c r="G678" s="1">
        <v>42114</v>
      </c>
      <c r="H678" s="1">
        <v>42173</v>
      </c>
      <c r="I678" t="s">
        <v>189</v>
      </c>
      <c r="J678">
        <v>1</v>
      </c>
      <c r="L678" t="s">
        <v>2112</v>
      </c>
      <c r="M678" t="s">
        <v>1728</v>
      </c>
    </row>
    <row r="679" spans="1:40" x14ac:dyDescent="0.35">
      <c r="A679">
        <v>3440251</v>
      </c>
      <c r="B679" t="s">
        <v>2113</v>
      </c>
      <c r="C679" t="str">
        <f>"9781783740437"</f>
        <v>9781783740437</v>
      </c>
      <c r="D679" t="str">
        <f>"9781783740444"</f>
        <v>9781783740444</v>
      </c>
      <c r="E679" t="s">
        <v>1807</v>
      </c>
      <c r="F679" t="s">
        <v>1807</v>
      </c>
      <c r="G679" s="1">
        <v>42151</v>
      </c>
      <c r="H679" s="1">
        <v>42173</v>
      </c>
      <c r="I679" t="s">
        <v>189</v>
      </c>
      <c r="J679">
        <v>1</v>
      </c>
      <c r="K679" t="s">
        <v>2114</v>
      </c>
      <c r="L679" t="s">
        <v>2115</v>
      </c>
    </row>
    <row r="680" spans="1:40" x14ac:dyDescent="0.35">
      <c r="A680">
        <v>3440252</v>
      </c>
      <c r="B680" t="s">
        <v>2116</v>
      </c>
      <c r="C680" t="str">
        <f>"9781783741083"</f>
        <v>9781783741083</v>
      </c>
      <c r="D680" t="str">
        <f>"9781783741090"</f>
        <v>9781783741090</v>
      </c>
      <c r="E680" t="s">
        <v>1807</v>
      </c>
      <c r="F680" t="s">
        <v>1807</v>
      </c>
      <c r="G680" s="1">
        <v>42093</v>
      </c>
      <c r="H680" s="1">
        <v>42173</v>
      </c>
      <c r="I680" t="s">
        <v>189</v>
      </c>
      <c r="J680">
        <v>1</v>
      </c>
      <c r="L680" t="s">
        <v>2117</v>
      </c>
      <c r="M680" t="s">
        <v>676</v>
      </c>
      <c r="Q680" t="s">
        <v>260</v>
      </c>
      <c r="R680" t="s">
        <v>261</v>
      </c>
      <c r="S680" t="s">
        <v>261</v>
      </c>
      <c r="T680" t="s">
        <v>261</v>
      </c>
      <c r="U680" t="s">
        <v>261</v>
      </c>
      <c r="V680" t="s">
        <v>262</v>
      </c>
      <c r="W680" t="s">
        <v>261</v>
      </c>
      <c r="X680" t="s">
        <v>261</v>
      </c>
      <c r="Y680" t="s">
        <v>261</v>
      </c>
      <c r="Z680" t="s">
        <v>409</v>
      </c>
      <c r="AA680" t="s">
        <v>409</v>
      </c>
      <c r="AB680" t="s">
        <v>409</v>
      </c>
      <c r="AC680" t="s">
        <v>409</v>
      </c>
      <c r="AD680" t="s">
        <v>262</v>
      </c>
      <c r="AE680">
        <v>11065692</v>
      </c>
      <c r="AH680" t="s">
        <v>262</v>
      </c>
      <c r="AI680" t="s">
        <v>262</v>
      </c>
      <c r="AJ680" t="s">
        <v>261</v>
      </c>
      <c r="AK680" t="s">
        <v>261</v>
      </c>
      <c r="AM680" t="s">
        <v>262</v>
      </c>
      <c r="AN680" t="s">
        <v>2118</v>
      </c>
    </row>
    <row r="681" spans="1:40" x14ac:dyDescent="0.35">
      <c r="A681">
        <v>3440253</v>
      </c>
      <c r="B681" t="s">
        <v>2119</v>
      </c>
      <c r="C681" t="str">
        <f>"9781783741489"</f>
        <v>9781783741489</v>
      </c>
      <c r="D681" t="str">
        <f>"9781783741496"</f>
        <v>9781783741496</v>
      </c>
      <c r="E681" t="s">
        <v>1807</v>
      </c>
      <c r="F681" t="s">
        <v>1807</v>
      </c>
      <c r="G681" s="1">
        <v>42135</v>
      </c>
      <c r="H681" s="1">
        <v>42173</v>
      </c>
      <c r="I681" t="s">
        <v>189</v>
      </c>
      <c r="J681">
        <v>1</v>
      </c>
      <c r="L681" t="s">
        <v>2120</v>
      </c>
    </row>
    <row r="682" spans="1:40" x14ac:dyDescent="0.35">
      <c r="A682">
        <v>3440254</v>
      </c>
      <c r="B682" t="s">
        <v>2121</v>
      </c>
      <c r="C682" t="str">
        <f>"9781783741137"</f>
        <v>9781783741137</v>
      </c>
      <c r="D682" t="str">
        <f>"9781783741144"</f>
        <v>9781783741144</v>
      </c>
      <c r="E682" t="s">
        <v>1807</v>
      </c>
      <c r="F682" t="s">
        <v>1807</v>
      </c>
      <c r="G682" s="1">
        <v>42177</v>
      </c>
      <c r="H682" s="1">
        <v>42220</v>
      </c>
      <c r="I682" t="s">
        <v>189</v>
      </c>
      <c r="J682">
        <v>1</v>
      </c>
      <c r="L682" t="s">
        <v>2122</v>
      </c>
    </row>
    <row r="683" spans="1:40" x14ac:dyDescent="0.35">
      <c r="A683">
        <v>3440255</v>
      </c>
      <c r="B683" t="s">
        <v>2123</v>
      </c>
      <c r="C683" t="str">
        <f>"9781783741588"</f>
        <v>9781783741588</v>
      </c>
      <c r="D683" t="str">
        <f>"9781783741595"</f>
        <v>9781783741595</v>
      </c>
      <c r="E683" t="s">
        <v>1807</v>
      </c>
      <c r="F683" t="s">
        <v>1807</v>
      </c>
      <c r="G683" s="1">
        <v>42186</v>
      </c>
      <c r="H683" s="1">
        <v>42220</v>
      </c>
      <c r="I683" t="s">
        <v>189</v>
      </c>
      <c r="J683">
        <v>1</v>
      </c>
      <c r="K683" t="s">
        <v>2124</v>
      </c>
      <c r="L683" t="s">
        <v>2125</v>
      </c>
    </row>
    <row r="684" spans="1:40" x14ac:dyDescent="0.35">
      <c r="A684">
        <v>3442877</v>
      </c>
      <c r="B684" t="s">
        <v>2126</v>
      </c>
      <c r="C684" t="str">
        <f>"9780874218589"</f>
        <v>9780874218589</v>
      </c>
      <c r="D684" t="str">
        <f>"9780874218541"</f>
        <v>9780874218541</v>
      </c>
      <c r="E684" t="s">
        <v>1405</v>
      </c>
      <c r="F684" t="s">
        <v>2127</v>
      </c>
      <c r="G684" s="1">
        <v>40817</v>
      </c>
      <c r="H684" s="1">
        <v>40865</v>
      </c>
      <c r="I684" t="s">
        <v>189</v>
      </c>
      <c r="L684" t="s">
        <v>2128</v>
      </c>
      <c r="M684" t="s">
        <v>239</v>
      </c>
      <c r="N684" t="s">
        <v>2129</v>
      </c>
      <c r="O684" t="s">
        <v>2130</v>
      </c>
      <c r="P684" t="s">
        <v>2131</v>
      </c>
      <c r="Q684" t="s">
        <v>260</v>
      </c>
      <c r="R684" t="s">
        <v>261</v>
      </c>
      <c r="S684" t="s">
        <v>261</v>
      </c>
      <c r="T684" t="s">
        <v>261</v>
      </c>
      <c r="U684" t="s">
        <v>262</v>
      </c>
      <c r="V684" t="s">
        <v>262</v>
      </c>
      <c r="W684" t="s">
        <v>261</v>
      </c>
      <c r="X684" t="s">
        <v>262</v>
      </c>
      <c r="Y684" t="s">
        <v>261</v>
      </c>
      <c r="AB684" t="s">
        <v>409</v>
      </c>
      <c r="AC684" t="s">
        <v>409</v>
      </c>
      <c r="AD684" t="s">
        <v>262</v>
      </c>
      <c r="AE684">
        <v>10513539</v>
      </c>
      <c r="AF684">
        <v>334148</v>
      </c>
      <c r="AH684" t="s">
        <v>262</v>
      </c>
      <c r="AI684" t="s">
        <v>262</v>
      </c>
      <c r="AJ684" t="s">
        <v>261</v>
      </c>
      <c r="AK684" t="s">
        <v>261</v>
      </c>
      <c r="AM684" t="s">
        <v>262</v>
      </c>
      <c r="AN684" t="s">
        <v>2132</v>
      </c>
    </row>
    <row r="685" spans="1:40" x14ac:dyDescent="0.35">
      <c r="A685">
        <v>3442878</v>
      </c>
      <c r="B685" t="s">
        <v>2133</v>
      </c>
      <c r="C685" t="str">
        <f>"9780874218091"</f>
        <v>9780874218091</v>
      </c>
      <c r="D685" t="str">
        <f>"9780874218114"</f>
        <v>9780874218114</v>
      </c>
      <c r="E685" t="s">
        <v>1405</v>
      </c>
      <c r="F685" t="s">
        <v>2127</v>
      </c>
      <c r="G685" s="1">
        <v>40836</v>
      </c>
      <c r="H685" s="1">
        <v>40878</v>
      </c>
      <c r="I685" t="s">
        <v>189</v>
      </c>
      <c r="L685" t="s">
        <v>2134</v>
      </c>
      <c r="M685" t="s">
        <v>239</v>
      </c>
      <c r="N685" t="s">
        <v>2135</v>
      </c>
      <c r="O685">
        <v>978</v>
      </c>
      <c r="P685" t="s">
        <v>2136</v>
      </c>
      <c r="Q685" t="s">
        <v>260</v>
      </c>
      <c r="R685" t="s">
        <v>261</v>
      </c>
      <c r="S685" t="s">
        <v>261</v>
      </c>
      <c r="T685" t="s">
        <v>261</v>
      </c>
      <c r="U685" t="s">
        <v>262</v>
      </c>
      <c r="V685" t="s">
        <v>262</v>
      </c>
      <c r="W685" t="s">
        <v>261</v>
      </c>
      <c r="X685" t="s">
        <v>262</v>
      </c>
      <c r="Y685" t="s">
        <v>261</v>
      </c>
      <c r="AB685" t="s">
        <v>409</v>
      </c>
      <c r="AC685" t="s">
        <v>409</v>
      </c>
      <c r="AD685" t="s">
        <v>262</v>
      </c>
      <c r="AE685">
        <v>10516154</v>
      </c>
      <c r="AF685">
        <v>334145</v>
      </c>
      <c r="AH685" t="s">
        <v>262</v>
      </c>
      <c r="AI685" t="s">
        <v>262</v>
      </c>
      <c r="AJ685" t="s">
        <v>261</v>
      </c>
      <c r="AK685" t="s">
        <v>261</v>
      </c>
      <c r="AM685" t="s">
        <v>262</v>
      </c>
      <c r="AN685" t="s">
        <v>2137</v>
      </c>
    </row>
    <row r="686" spans="1:40" x14ac:dyDescent="0.35">
      <c r="A686">
        <v>3442886</v>
      </c>
      <c r="B686" t="s">
        <v>2138</v>
      </c>
      <c r="C686" t="str">
        <f>"9780874218633"</f>
        <v>9780874218633</v>
      </c>
      <c r="D686" t="str">
        <f>"9780874218657"</f>
        <v>9780874218657</v>
      </c>
      <c r="E686" t="s">
        <v>1405</v>
      </c>
      <c r="F686" t="s">
        <v>2127</v>
      </c>
      <c r="G686" s="1">
        <v>41070</v>
      </c>
      <c r="H686" s="1">
        <v>41085</v>
      </c>
      <c r="I686" t="s">
        <v>189</v>
      </c>
      <c r="L686" t="s">
        <v>2139</v>
      </c>
      <c r="M686" t="s">
        <v>847</v>
      </c>
    </row>
    <row r="687" spans="1:40" x14ac:dyDescent="0.35">
      <c r="A687">
        <v>3563345</v>
      </c>
      <c r="B687" t="s">
        <v>2140</v>
      </c>
      <c r="C687" t="str">
        <f>"9789089644206"</f>
        <v>9789089644206</v>
      </c>
      <c r="D687" t="str">
        <f>"9789048516193"</f>
        <v>9789048516193</v>
      </c>
      <c r="E687" t="s">
        <v>361</v>
      </c>
      <c r="F687" t="s">
        <v>361</v>
      </c>
      <c r="G687" s="1">
        <v>42076</v>
      </c>
      <c r="H687" s="1">
        <v>42182</v>
      </c>
      <c r="I687" t="s">
        <v>189</v>
      </c>
      <c r="J687">
        <v>1</v>
      </c>
      <c r="K687" t="s">
        <v>2141</v>
      </c>
      <c r="L687" t="s">
        <v>2142</v>
      </c>
      <c r="M687" t="s">
        <v>239</v>
      </c>
      <c r="N687" t="s">
        <v>2143</v>
      </c>
      <c r="O687">
        <v>950</v>
      </c>
      <c r="P687" t="s">
        <v>2144</v>
      </c>
      <c r="Q687" t="s">
        <v>260</v>
      </c>
      <c r="R687" t="s">
        <v>261</v>
      </c>
      <c r="S687" t="s">
        <v>261</v>
      </c>
      <c r="T687" t="s">
        <v>261</v>
      </c>
      <c r="U687" t="s">
        <v>261</v>
      </c>
      <c r="V687" t="s">
        <v>262</v>
      </c>
      <c r="W687" t="s">
        <v>261</v>
      </c>
      <c r="X687" t="s">
        <v>261</v>
      </c>
      <c r="Y687" t="s">
        <v>261</v>
      </c>
      <c r="Z687" t="s">
        <v>409</v>
      </c>
      <c r="AA687" t="s">
        <v>409</v>
      </c>
      <c r="AB687" t="s">
        <v>409</v>
      </c>
      <c r="AC687" t="s">
        <v>409</v>
      </c>
      <c r="AD687" t="s">
        <v>262</v>
      </c>
      <c r="AE687">
        <v>11069060</v>
      </c>
      <c r="AH687" t="s">
        <v>262</v>
      </c>
      <c r="AI687" t="s">
        <v>262</v>
      </c>
      <c r="AJ687" t="s">
        <v>261</v>
      </c>
      <c r="AK687" t="s">
        <v>261</v>
      </c>
      <c r="AM687" t="s">
        <v>262</v>
      </c>
      <c r="AN687" t="s">
        <v>2145</v>
      </c>
    </row>
    <row r="688" spans="1:40" x14ac:dyDescent="0.35">
      <c r="A688">
        <v>3563346</v>
      </c>
      <c r="B688" t="s">
        <v>2146</v>
      </c>
      <c r="C688" t="str">
        <f>"9789089644725"</f>
        <v>9789089644725</v>
      </c>
      <c r="D688" t="str">
        <f>"9789048517800"</f>
        <v>9789048517800</v>
      </c>
      <c r="E688" t="s">
        <v>361</v>
      </c>
      <c r="F688" t="s">
        <v>361</v>
      </c>
      <c r="G688" s="1">
        <v>42131</v>
      </c>
      <c r="H688" s="1">
        <v>42182</v>
      </c>
      <c r="I688" t="s">
        <v>189</v>
      </c>
      <c r="J688">
        <v>1</v>
      </c>
      <c r="K688" t="s">
        <v>2147</v>
      </c>
      <c r="L688" t="s">
        <v>2148</v>
      </c>
    </row>
    <row r="689" spans="1:40" x14ac:dyDescent="0.35">
      <c r="A689">
        <v>3563348</v>
      </c>
      <c r="B689" t="s">
        <v>2149</v>
      </c>
      <c r="C689" t="str">
        <f>"9789089646767"</f>
        <v>9789089646767</v>
      </c>
      <c r="D689" t="str">
        <f>"9789048523634"</f>
        <v>9789048523634</v>
      </c>
      <c r="E689" t="s">
        <v>361</v>
      </c>
      <c r="F689" t="s">
        <v>361</v>
      </c>
      <c r="G689" s="1">
        <v>42142</v>
      </c>
      <c r="H689" s="1">
        <v>42213</v>
      </c>
      <c r="I689" t="s">
        <v>189</v>
      </c>
      <c r="J689">
        <v>1</v>
      </c>
      <c r="K689" t="s">
        <v>2150</v>
      </c>
      <c r="L689" t="s">
        <v>2151</v>
      </c>
    </row>
    <row r="690" spans="1:40" x14ac:dyDescent="0.35">
      <c r="A690">
        <v>3563349</v>
      </c>
      <c r="B690" t="s">
        <v>2152</v>
      </c>
      <c r="C690" t="str">
        <f>"9789089646408"</f>
        <v>9789089646408</v>
      </c>
      <c r="D690" t="str">
        <f>"9789048523047"</f>
        <v>9789048523047</v>
      </c>
      <c r="E690" t="s">
        <v>361</v>
      </c>
      <c r="F690" t="s">
        <v>361</v>
      </c>
      <c r="G690" s="1">
        <v>42177</v>
      </c>
      <c r="H690" s="1">
        <v>42215</v>
      </c>
      <c r="I690" t="s">
        <v>189</v>
      </c>
      <c r="J690">
        <v>1</v>
      </c>
      <c r="K690" t="s">
        <v>580</v>
      </c>
      <c r="L690" t="s">
        <v>2153</v>
      </c>
      <c r="M690" t="s">
        <v>329</v>
      </c>
      <c r="N690" t="s">
        <v>2154</v>
      </c>
      <c r="Q690" t="s">
        <v>260</v>
      </c>
      <c r="R690" t="s">
        <v>261</v>
      </c>
      <c r="S690" t="s">
        <v>261</v>
      </c>
      <c r="T690" t="s">
        <v>261</v>
      </c>
      <c r="U690" t="s">
        <v>261</v>
      </c>
      <c r="V690" t="s">
        <v>262</v>
      </c>
      <c r="W690" t="s">
        <v>261</v>
      </c>
      <c r="X690" t="s">
        <v>261</v>
      </c>
      <c r="Y690" t="s">
        <v>261</v>
      </c>
      <c r="Z690" t="s">
        <v>409</v>
      </c>
      <c r="AA690" t="s">
        <v>409</v>
      </c>
      <c r="AB690" t="s">
        <v>409</v>
      </c>
      <c r="AC690" t="s">
        <v>409</v>
      </c>
      <c r="AD690" t="s">
        <v>262</v>
      </c>
      <c r="AE690">
        <v>11082325</v>
      </c>
      <c r="AF690">
        <v>819310</v>
      </c>
      <c r="AH690" t="s">
        <v>262</v>
      </c>
      <c r="AI690" t="s">
        <v>262</v>
      </c>
      <c r="AJ690" t="s">
        <v>261</v>
      </c>
      <c r="AK690" t="s">
        <v>261</v>
      </c>
      <c r="AM690" t="s">
        <v>262</v>
      </c>
      <c r="AN690" t="s">
        <v>2155</v>
      </c>
    </row>
    <row r="691" spans="1:40" x14ac:dyDescent="0.35">
      <c r="A691">
        <v>3563351</v>
      </c>
      <c r="B691" t="s">
        <v>2156</v>
      </c>
      <c r="C691" t="str">
        <f>"9789089648914"</f>
        <v>9789089648914</v>
      </c>
      <c r="D691" t="str">
        <f>"9789048527557"</f>
        <v>9789048527557</v>
      </c>
      <c r="E691" t="s">
        <v>361</v>
      </c>
      <c r="F691" t="s">
        <v>361</v>
      </c>
      <c r="G691" s="1">
        <v>42292</v>
      </c>
      <c r="H691" s="1">
        <v>42215</v>
      </c>
      <c r="I691" t="s">
        <v>189</v>
      </c>
      <c r="J691">
        <v>1</v>
      </c>
      <c r="K691" t="s">
        <v>1195</v>
      </c>
      <c r="L691" t="s">
        <v>2157</v>
      </c>
    </row>
    <row r="692" spans="1:40" x14ac:dyDescent="0.35">
      <c r="A692">
        <v>3563356</v>
      </c>
      <c r="B692" t="s">
        <v>2158</v>
      </c>
      <c r="C692" t="str">
        <f>"9789089645388"</f>
        <v>9789089645388</v>
      </c>
      <c r="D692" t="str">
        <f>"9789048519071"</f>
        <v>9789048519071</v>
      </c>
      <c r="E692" t="s">
        <v>361</v>
      </c>
      <c r="F692" t="s">
        <v>361</v>
      </c>
      <c r="G692" s="1">
        <v>42167</v>
      </c>
      <c r="H692" s="1">
        <v>42216</v>
      </c>
      <c r="I692" t="s">
        <v>189</v>
      </c>
      <c r="J692">
        <v>1</v>
      </c>
      <c r="K692" t="s">
        <v>2159</v>
      </c>
      <c r="L692" t="s">
        <v>2160</v>
      </c>
    </row>
    <row r="693" spans="1:40" x14ac:dyDescent="0.35">
      <c r="A693">
        <v>3563358</v>
      </c>
      <c r="B693" t="s">
        <v>2161</v>
      </c>
      <c r="C693" t="str">
        <f>"9789089646774"</f>
        <v>9789089646774</v>
      </c>
      <c r="D693" t="str">
        <f>"9789048523658"</f>
        <v>9789048523658</v>
      </c>
      <c r="E693" t="s">
        <v>361</v>
      </c>
      <c r="F693" t="s">
        <v>361</v>
      </c>
      <c r="G693" s="1">
        <v>42209</v>
      </c>
      <c r="H693" s="1">
        <v>42240</v>
      </c>
      <c r="I693" t="s">
        <v>189</v>
      </c>
      <c r="J693">
        <v>1</v>
      </c>
      <c r="K693" t="s">
        <v>2162</v>
      </c>
      <c r="L693" t="s">
        <v>2163</v>
      </c>
      <c r="M693" t="s">
        <v>329</v>
      </c>
      <c r="N693" t="s">
        <v>2164</v>
      </c>
      <c r="Q693" t="s">
        <v>260</v>
      </c>
      <c r="R693" t="s">
        <v>261</v>
      </c>
      <c r="S693" t="s">
        <v>261</v>
      </c>
      <c r="T693" t="s">
        <v>261</v>
      </c>
      <c r="U693" t="s">
        <v>261</v>
      </c>
      <c r="V693" t="s">
        <v>262</v>
      </c>
      <c r="W693" t="s">
        <v>261</v>
      </c>
      <c r="X693" t="s">
        <v>261</v>
      </c>
      <c r="Y693" t="s">
        <v>261</v>
      </c>
      <c r="Z693" t="s">
        <v>409</v>
      </c>
      <c r="AA693" t="s">
        <v>409</v>
      </c>
      <c r="AB693" t="s">
        <v>409</v>
      </c>
      <c r="AC693" t="s">
        <v>409</v>
      </c>
      <c r="AD693" t="s">
        <v>262</v>
      </c>
      <c r="AE693">
        <v>11092710</v>
      </c>
      <c r="AF693">
        <v>825571</v>
      </c>
      <c r="AH693" t="s">
        <v>262</v>
      </c>
      <c r="AI693" t="s">
        <v>262</v>
      </c>
      <c r="AJ693" t="s">
        <v>261</v>
      </c>
      <c r="AK693" t="s">
        <v>261</v>
      </c>
      <c r="AM693" t="s">
        <v>262</v>
      </c>
      <c r="AN693" t="s">
        <v>2165</v>
      </c>
    </row>
    <row r="694" spans="1:40" x14ac:dyDescent="0.35">
      <c r="A694">
        <v>3563359</v>
      </c>
      <c r="B694" t="s">
        <v>2166</v>
      </c>
      <c r="C694" t="str">
        <f>"9789089647085"</f>
        <v>9789089647085</v>
      </c>
      <c r="D694" t="str">
        <f>"9789048524235"</f>
        <v>9789048524235</v>
      </c>
      <c r="E694" t="s">
        <v>361</v>
      </c>
      <c r="F694" t="s">
        <v>361</v>
      </c>
      <c r="G694" s="1">
        <v>42209</v>
      </c>
      <c r="H694" s="1">
        <v>42240</v>
      </c>
      <c r="I694" t="s">
        <v>189</v>
      </c>
      <c r="J694">
        <v>1</v>
      </c>
      <c r="K694" t="s">
        <v>2167</v>
      </c>
      <c r="L694" t="s">
        <v>2168</v>
      </c>
    </row>
    <row r="695" spans="1:40" x14ac:dyDescent="0.35">
      <c r="A695">
        <v>3563360</v>
      </c>
      <c r="B695" t="s">
        <v>2169</v>
      </c>
      <c r="C695" t="str">
        <f>"9789089647801"</f>
        <v>9789089647801</v>
      </c>
      <c r="D695" t="str">
        <f>"9789048525805"</f>
        <v>9789048525805</v>
      </c>
      <c r="E695" t="s">
        <v>361</v>
      </c>
      <c r="F695" t="s">
        <v>361</v>
      </c>
      <c r="G695" s="1">
        <v>42209</v>
      </c>
      <c r="H695" s="1">
        <v>42240</v>
      </c>
      <c r="I695" t="s">
        <v>189</v>
      </c>
      <c r="J695">
        <v>1</v>
      </c>
      <c r="K695" t="s">
        <v>2167</v>
      </c>
      <c r="L695" t="s">
        <v>2170</v>
      </c>
    </row>
    <row r="696" spans="1:40" x14ac:dyDescent="0.35">
      <c r="A696">
        <v>3570549</v>
      </c>
      <c r="B696" t="s">
        <v>2171</v>
      </c>
      <c r="C696" t="str">
        <f>"9780472117208"</f>
        <v>9780472117208</v>
      </c>
      <c r="D696" t="str">
        <f>"9780472120857"</f>
        <v>9780472120857</v>
      </c>
      <c r="E696" t="s">
        <v>2090</v>
      </c>
      <c r="F696" t="s">
        <v>2090</v>
      </c>
      <c r="G696" s="1">
        <v>40295</v>
      </c>
      <c r="H696" s="1">
        <v>41820</v>
      </c>
      <c r="I696" t="s">
        <v>189</v>
      </c>
      <c r="K696" t="s">
        <v>2172</v>
      </c>
      <c r="L696" t="s">
        <v>2173</v>
      </c>
      <c r="M696" t="s">
        <v>329</v>
      </c>
      <c r="N696" t="s">
        <v>2174</v>
      </c>
      <c r="O696" t="s">
        <v>2175</v>
      </c>
      <c r="P696" t="s">
        <v>2176</v>
      </c>
      <c r="Q696" t="s">
        <v>260</v>
      </c>
      <c r="R696" t="s">
        <v>261</v>
      </c>
      <c r="S696" t="s">
        <v>261</v>
      </c>
      <c r="T696" t="s">
        <v>261</v>
      </c>
      <c r="U696" t="s">
        <v>261</v>
      </c>
      <c r="V696" t="s">
        <v>262</v>
      </c>
      <c r="W696" t="s">
        <v>261</v>
      </c>
      <c r="X696" t="s">
        <v>261</v>
      </c>
      <c r="Y696" t="s">
        <v>261</v>
      </c>
      <c r="AA696" t="s">
        <v>409</v>
      </c>
      <c r="AB696" t="s">
        <v>409</v>
      </c>
      <c r="AC696" t="s">
        <v>409</v>
      </c>
      <c r="AD696" t="s">
        <v>262</v>
      </c>
      <c r="AE696">
        <v>10887294</v>
      </c>
      <c r="AF696">
        <v>621506</v>
      </c>
      <c r="AH696" t="s">
        <v>262</v>
      </c>
      <c r="AI696" t="s">
        <v>262</v>
      </c>
      <c r="AJ696" t="s">
        <v>261</v>
      </c>
      <c r="AK696" t="s">
        <v>261</v>
      </c>
      <c r="AM696" t="s">
        <v>262</v>
      </c>
      <c r="AN696" t="s">
        <v>2177</v>
      </c>
    </row>
    <row r="697" spans="1:40" x14ac:dyDescent="0.35">
      <c r="A697">
        <v>3572110</v>
      </c>
      <c r="B697" t="s">
        <v>2178</v>
      </c>
      <c r="C697" t="str">
        <f>"9783110375800"</f>
        <v>9783110375800</v>
      </c>
      <c r="D697" t="str">
        <f>"9783110375817"</f>
        <v>9783110375817</v>
      </c>
      <c r="E697" t="s">
        <v>415</v>
      </c>
      <c r="F697" t="s">
        <v>659</v>
      </c>
      <c r="G697" s="1">
        <v>42082</v>
      </c>
      <c r="H697" s="1">
        <v>42158</v>
      </c>
      <c r="I697" t="s">
        <v>189</v>
      </c>
      <c r="J697">
        <v>1</v>
      </c>
      <c r="L697" t="s">
        <v>2179</v>
      </c>
      <c r="M697" t="s">
        <v>389</v>
      </c>
      <c r="N697" t="s">
        <v>2180</v>
      </c>
      <c r="O697" t="s">
        <v>2181</v>
      </c>
      <c r="P697" t="s">
        <v>2182</v>
      </c>
    </row>
    <row r="698" spans="1:40" x14ac:dyDescent="0.35">
      <c r="A698">
        <v>3572111</v>
      </c>
      <c r="B698" t="s">
        <v>2183</v>
      </c>
      <c r="C698" t="str">
        <f>"9783110337181"</f>
        <v>9783110337181</v>
      </c>
      <c r="D698" t="str">
        <f>"9783110354324"</f>
        <v>9783110354324</v>
      </c>
      <c r="E698" t="s">
        <v>346</v>
      </c>
      <c r="F698" t="s">
        <v>346</v>
      </c>
      <c r="G698" s="1">
        <v>42143</v>
      </c>
      <c r="H698" s="1">
        <v>42158</v>
      </c>
      <c r="I698" t="s">
        <v>189</v>
      </c>
      <c r="J698">
        <v>1</v>
      </c>
      <c r="L698" t="s">
        <v>2184</v>
      </c>
    </row>
    <row r="699" spans="1:40" x14ac:dyDescent="0.35">
      <c r="A699">
        <v>3572112</v>
      </c>
      <c r="B699" t="s">
        <v>2185</v>
      </c>
      <c r="C699" t="str">
        <f>"9783110425253"</f>
        <v>9783110425253</v>
      </c>
      <c r="D699" t="str">
        <f>"9783110425260"</f>
        <v>9783110425260</v>
      </c>
      <c r="E699" t="s">
        <v>415</v>
      </c>
      <c r="F699" t="s">
        <v>659</v>
      </c>
      <c r="G699" s="1">
        <v>42171</v>
      </c>
      <c r="H699" s="1">
        <v>42158</v>
      </c>
      <c r="I699" t="s">
        <v>189</v>
      </c>
      <c r="J699">
        <v>1</v>
      </c>
      <c r="L699" t="s">
        <v>2186</v>
      </c>
      <c r="M699" t="s">
        <v>389</v>
      </c>
      <c r="N699" t="s">
        <v>2187</v>
      </c>
      <c r="O699" t="s">
        <v>2188</v>
      </c>
      <c r="P699" t="s">
        <v>2189</v>
      </c>
    </row>
    <row r="700" spans="1:40" x14ac:dyDescent="0.35">
      <c r="A700">
        <v>3572114</v>
      </c>
      <c r="B700" t="s">
        <v>2190</v>
      </c>
      <c r="C700" t="str">
        <f>"9783110370164"</f>
        <v>9783110370164</v>
      </c>
      <c r="D700" t="str">
        <f>"9783110370195"</f>
        <v>9783110370195</v>
      </c>
      <c r="E700" t="s">
        <v>415</v>
      </c>
      <c r="F700" t="s">
        <v>659</v>
      </c>
      <c r="G700" s="1">
        <v>42153</v>
      </c>
      <c r="H700" s="1">
        <v>42158</v>
      </c>
      <c r="I700" t="s">
        <v>189</v>
      </c>
      <c r="J700">
        <v>1</v>
      </c>
      <c r="L700" t="s">
        <v>2191</v>
      </c>
    </row>
    <row r="701" spans="1:40" x14ac:dyDescent="0.35">
      <c r="A701">
        <v>3572134</v>
      </c>
      <c r="B701" t="s">
        <v>2192</v>
      </c>
      <c r="C701" t="str">
        <f>"9783110426410"</f>
        <v>9783110426410</v>
      </c>
      <c r="D701" t="str">
        <f>"9783110426427"</f>
        <v>9783110426427</v>
      </c>
      <c r="E701" t="s">
        <v>415</v>
      </c>
      <c r="F701" t="s">
        <v>659</v>
      </c>
      <c r="G701" s="1">
        <v>42143</v>
      </c>
      <c r="H701" s="1">
        <v>42171</v>
      </c>
      <c r="I701" t="s">
        <v>189</v>
      </c>
      <c r="J701">
        <v>1</v>
      </c>
      <c r="L701" t="s">
        <v>2193</v>
      </c>
      <c r="M701" t="s">
        <v>2194</v>
      </c>
    </row>
    <row r="702" spans="1:40" x14ac:dyDescent="0.35">
      <c r="A702">
        <v>3572135</v>
      </c>
      <c r="B702" t="s">
        <v>2195</v>
      </c>
      <c r="C702" t="str">
        <f>"9783110374810"</f>
        <v>9783110374810</v>
      </c>
      <c r="D702" t="str">
        <f>"9783110374827"</f>
        <v>9783110374827</v>
      </c>
      <c r="E702" t="s">
        <v>415</v>
      </c>
      <c r="F702" t="s">
        <v>659</v>
      </c>
      <c r="G702" s="1">
        <v>41920</v>
      </c>
      <c r="H702" s="1">
        <v>42174</v>
      </c>
      <c r="I702" t="s">
        <v>189</v>
      </c>
      <c r="J702">
        <v>1</v>
      </c>
      <c r="L702" t="s">
        <v>2196</v>
      </c>
      <c r="M702" t="s">
        <v>339</v>
      </c>
    </row>
    <row r="703" spans="1:40" x14ac:dyDescent="0.35">
      <c r="A703">
        <v>3572138</v>
      </c>
      <c r="B703" t="s">
        <v>2197</v>
      </c>
      <c r="C703" t="str">
        <f>"9783486590166"</f>
        <v>9783486590166</v>
      </c>
      <c r="D703" t="str">
        <f>"9783486850482"</f>
        <v>9783486850482</v>
      </c>
      <c r="E703" t="s">
        <v>415</v>
      </c>
      <c r="F703" t="s">
        <v>665</v>
      </c>
      <c r="G703" s="1">
        <v>40044</v>
      </c>
      <c r="H703" s="1">
        <v>42187</v>
      </c>
      <c r="I703" t="s">
        <v>189</v>
      </c>
      <c r="J703">
        <v>1</v>
      </c>
      <c r="K703" t="s">
        <v>997</v>
      </c>
      <c r="L703" t="s">
        <v>2198</v>
      </c>
      <c r="M703" t="s">
        <v>239</v>
      </c>
      <c r="N703" t="s">
        <v>2199</v>
      </c>
      <c r="O703" s="2">
        <v>940344</v>
      </c>
      <c r="P703" t="s">
        <v>2200</v>
      </c>
    </row>
    <row r="704" spans="1:40" x14ac:dyDescent="0.35">
      <c r="A704">
        <v>3572142</v>
      </c>
      <c r="B704" t="s">
        <v>2201</v>
      </c>
      <c r="C704" t="str">
        <f>"9783486585193"</f>
        <v>9783486585193</v>
      </c>
      <c r="D704" t="str">
        <f>"9783486845686"</f>
        <v>9783486845686</v>
      </c>
      <c r="E704" t="s">
        <v>415</v>
      </c>
      <c r="F704" t="s">
        <v>665</v>
      </c>
      <c r="G704" s="1">
        <v>39377</v>
      </c>
      <c r="H704" s="1">
        <v>42187</v>
      </c>
      <c r="I704" t="s">
        <v>189</v>
      </c>
      <c r="J704">
        <v>1</v>
      </c>
      <c r="K704" t="s">
        <v>997</v>
      </c>
      <c r="L704" t="s">
        <v>1570</v>
      </c>
    </row>
    <row r="705" spans="1:16" x14ac:dyDescent="0.35">
      <c r="A705">
        <v>3572158</v>
      </c>
      <c r="B705" t="s">
        <v>2202</v>
      </c>
      <c r="C705" t="str">
        <f>"9783486566093"</f>
        <v>9783486566093</v>
      </c>
      <c r="D705" t="str">
        <f>"9783486832969"</f>
        <v>9783486832969</v>
      </c>
      <c r="E705" t="s">
        <v>415</v>
      </c>
      <c r="F705" t="s">
        <v>665</v>
      </c>
      <c r="G705" s="1">
        <v>37314</v>
      </c>
      <c r="H705" s="1">
        <v>42187</v>
      </c>
      <c r="I705" t="s">
        <v>189</v>
      </c>
      <c r="J705">
        <v>1</v>
      </c>
      <c r="K705" t="s">
        <v>997</v>
      </c>
      <c r="L705" t="s">
        <v>2203</v>
      </c>
      <c r="M705" t="s">
        <v>239</v>
      </c>
      <c r="N705" t="s">
        <v>2204</v>
      </c>
      <c r="O705" t="s">
        <v>2205</v>
      </c>
      <c r="P705" t="s">
        <v>2206</v>
      </c>
    </row>
    <row r="706" spans="1:16" x14ac:dyDescent="0.35">
      <c r="A706">
        <v>3572173</v>
      </c>
      <c r="B706" t="s">
        <v>2207</v>
      </c>
      <c r="C706" t="str">
        <f>"9783486566833"</f>
        <v>9783486566833</v>
      </c>
      <c r="D706" t="str">
        <f>"9783486833584"</f>
        <v>9783486833584</v>
      </c>
      <c r="E706" t="s">
        <v>415</v>
      </c>
      <c r="F706" t="s">
        <v>665</v>
      </c>
      <c r="G706" s="1">
        <v>37489</v>
      </c>
      <c r="H706" s="1">
        <v>42187</v>
      </c>
      <c r="I706" t="s">
        <v>189</v>
      </c>
      <c r="J706">
        <v>1</v>
      </c>
      <c r="K706" t="s">
        <v>997</v>
      </c>
      <c r="L706" t="s">
        <v>2208</v>
      </c>
      <c r="M706" t="s">
        <v>210</v>
      </c>
      <c r="N706" t="s">
        <v>2209</v>
      </c>
      <c r="O706">
        <v>327</v>
      </c>
      <c r="P706" t="s">
        <v>2210</v>
      </c>
    </row>
    <row r="707" spans="1:16" x14ac:dyDescent="0.35">
      <c r="A707">
        <v>3572221</v>
      </c>
      <c r="B707" t="s">
        <v>2211</v>
      </c>
      <c r="C707" t="str">
        <f>"9783110288315"</f>
        <v>9783110288315</v>
      </c>
      <c r="D707" t="str">
        <f>"9783110288384"</f>
        <v>9783110288384</v>
      </c>
      <c r="E707" t="s">
        <v>346</v>
      </c>
      <c r="F707" t="s">
        <v>346</v>
      </c>
      <c r="G707" s="1">
        <v>41785</v>
      </c>
      <c r="H707" s="1">
        <v>42193</v>
      </c>
      <c r="I707" t="s">
        <v>189</v>
      </c>
      <c r="J707">
        <v>1</v>
      </c>
      <c r="K707" t="s">
        <v>547</v>
      </c>
      <c r="L707" t="s">
        <v>2212</v>
      </c>
    </row>
    <row r="708" spans="1:16" x14ac:dyDescent="0.35">
      <c r="A708">
        <v>3572232</v>
      </c>
      <c r="B708" t="s">
        <v>2213</v>
      </c>
      <c r="C708" t="str">
        <f>"9783110299298"</f>
        <v>9783110299298</v>
      </c>
      <c r="D708" t="str">
        <f>"9783110299557"</f>
        <v>9783110299557</v>
      </c>
      <c r="E708" t="s">
        <v>346</v>
      </c>
      <c r="F708" t="s">
        <v>346</v>
      </c>
      <c r="G708" s="1">
        <v>41806</v>
      </c>
      <c r="H708" s="1">
        <v>42193</v>
      </c>
      <c r="I708" t="s">
        <v>189</v>
      </c>
      <c r="J708">
        <v>1</v>
      </c>
      <c r="K708" t="s">
        <v>2214</v>
      </c>
      <c r="L708" t="s">
        <v>2215</v>
      </c>
      <c r="M708" t="s">
        <v>389</v>
      </c>
      <c r="N708" t="s">
        <v>2216</v>
      </c>
      <c r="O708" t="s">
        <v>2217</v>
      </c>
      <c r="P708" t="s">
        <v>2218</v>
      </c>
    </row>
    <row r="709" spans="1:16" x14ac:dyDescent="0.35">
      <c r="A709">
        <v>3572248</v>
      </c>
      <c r="B709" t="s">
        <v>2219</v>
      </c>
      <c r="C709" t="str">
        <f>"9783110309249"</f>
        <v>9783110309249</v>
      </c>
      <c r="D709" t="str">
        <f>"9783110311211"</f>
        <v>9783110311211</v>
      </c>
      <c r="E709" t="s">
        <v>346</v>
      </c>
      <c r="F709" t="s">
        <v>346</v>
      </c>
      <c r="G709" s="1">
        <v>42181</v>
      </c>
      <c r="H709" s="1">
        <v>42194</v>
      </c>
      <c r="I709" t="s">
        <v>189</v>
      </c>
      <c r="J709">
        <v>1</v>
      </c>
      <c r="K709" t="s">
        <v>547</v>
      </c>
      <c r="L709" t="s">
        <v>2220</v>
      </c>
      <c r="M709" t="s">
        <v>239</v>
      </c>
      <c r="N709" t="s">
        <v>2221</v>
      </c>
      <c r="O709" s="2">
        <v>9301095</v>
      </c>
      <c r="P709" t="s">
        <v>2222</v>
      </c>
    </row>
    <row r="710" spans="1:16" x14ac:dyDescent="0.35">
      <c r="A710">
        <v>3572250</v>
      </c>
      <c r="B710" t="s">
        <v>2223</v>
      </c>
      <c r="C710" t="str">
        <f>"9783110350500"</f>
        <v>9783110350500</v>
      </c>
      <c r="D710" t="str">
        <f>"9783110350999"</f>
        <v>9783110350999</v>
      </c>
      <c r="E710" t="s">
        <v>346</v>
      </c>
      <c r="F710" t="s">
        <v>346</v>
      </c>
      <c r="G710" s="1">
        <v>41820</v>
      </c>
      <c r="H710" s="1">
        <v>42194</v>
      </c>
      <c r="I710" t="s">
        <v>189</v>
      </c>
      <c r="J710">
        <v>1</v>
      </c>
      <c r="K710" t="s">
        <v>2214</v>
      </c>
      <c r="L710" t="s">
        <v>2224</v>
      </c>
      <c r="M710" t="s">
        <v>239</v>
      </c>
      <c r="N710" t="s">
        <v>2225</v>
      </c>
      <c r="O710" s="2">
        <v>9380072</v>
      </c>
      <c r="P710" t="s">
        <v>2226</v>
      </c>
    </row>
    <row r="711" spans="1:16" x14ac:dyDescent="0.35">
      <c r="A711">
        <v>3572268</v>
      </c>
      <c r="B711" t="s">
        <v>2227</v>
      </c>
      <c r="C711" t="str">
        <f>"9783486591415"</f>
        <v>9783486591415</v>
      </c>
      <c r="D711" t="str">
        <f>"9783486989304"</f>
        <v>9783486989304</v>
      </c>
      <c r="E711" t="s">
        <v>415</v>
      </c>
      <c r="F711" t="s">
        <v>665</v>
      </c>
      <c r="G711" s="1">
        <v>40366</v>
      </c>
      <c r="H711" s="1">
        <v>42194</v>
      </c>
      <c r="I711" t="s">
        <v>189</v>
      </c>
      <c r="J711">
        <v>1</v>
      </c>
      <c r="K711" t="s">
        <v>1020</v>
      </c>
      <c r="L711" t="s">
        <v>2228</v>
      </c>
      <c r="M711" t="s">
        <v>239</v>
      </c>
    </row>
    <row r="712" spans="1:16" x14ac:dyDescent="0.35">
      <c r="A712">
        <v>3572321</v>
      </c>
      <c r="B712" t="s">
        <v>2229</v>
      </c>
      <c r="C712" t="str">
        <f>"9783486597707"</f>
        <v>9783486597707</v>
      </c>
      <c r="D712" t="str">
        <f>"9783486989328"</f>
        <v>9783486989328</v>
      </c>
      <c r="E712" t="s">
        <v>415</v>
      </c>
      <c r="F712" t="s">
        <v>665</v>
      </c>
      <c r="G712" s="1">
        <v>40436</v>
      </c>
      <c r="H712" s="1">
        <v>42215</v>
      </c>
      <c r="I712" t="s">
        <v>189</v>
      </c>
      <c r="J712">
        <v>1</v>
      </c>
      <c r="K712" t="s">
        <v>1020</v>
      </c>
      <c r="L712" t="s">
        <v>1041</v>
      </c>
      <c r="M712" t="s">
        <v>239</v>
      </c>
    </row>
    <row r="713" spans="1:16" x14ac:dyDescent="0.35">
      <c r="A713">
        <v>3572329</v>
      </c>
      <c r="B713" t="s">
        <v>2230</v>
      </c>
      <c r="C713" t="str">
        <f>"9783486709414"</f>
        <v>9783486709414</v>
      </c>
      <c r="D713" t="str">
        <f>"9783486989342"</f>
        <v>9783486989342</v>
      </c>
      <c r="E713" t="s">
        <v>415</v>
      </c>
      <c r="F713" t="s">
        <v>665</v>
      </c>
      <c r="G713" s="1">
        <v>41192</v>
      </c>
      <c r="H713" s="1">
        <v>42215</v>
      </c>
      <c r="I713" t="s">
        <v>189</v>
      </c>
      <c r="J713">
        <v>1</v>
      </c>
      <c r="K713" t="s">
        <v>1020</v>
      </c>
      <c r="L713" t="s">
        <v>2231</v>
      </c>
    </row>
    <row r="714" spans="1:16" x14ac:dyDescent="0.35">
      <c r="A714">
        <v>3572330</v>
      </c>
      <c r="B714" t="s">
        <v>2232</v>
      </c>
      <c r="C714" t="str">
        <f>"9783486566840"</f>
        <v>9783486566840</v>
      </c>
      <c r="D714" t="str">
        <f>"9783486833607"</f>
        <v>9783486833607</v>
      </c>
      <c r="E714" t="s">
        <v>415</v>
      </c>
      <c r="F714" t="s">
        <v>665</v>
      </c>
      <c r="G714" s="1">
        <v>37735</v>
      </c>
      <c r="H714" s="1">
        <v>42215</v>
      </c>
      <c r="I714" t="s">
        <v>189</v>
      </c>
      <c r="J714">
        <v>1</v>
      </c>
      <c r="K714" t="s">
        <v>997</v>
      </c>
      <c r="L714" t="s">
        <v>2233</v>
      </c>
      <c r="M714" t="s">
        <v>239</v>
      </c>
      <c r="N714" t="s">
        <v>2234</v>
      </c>
      <c r="O714" s="2">
        <v>944042</v>
      </c>
      <c r="P714" t="s">
        <v>2235</v>
      </c>
    </row>
    <row r="715" spans="1:16" x14ac:dyDescent="0.35">
      <c r="A715">
        <v>3572396</v>
      </c>
      <c r="B715" t="s">
        <v>2236</v>
      </c>
      <c r="C715" t="str">
        <f>"9783486568332"</f>
        <v>9783486568332</v>
      </c>
      <c r="D715" t="str">
        <f>"9783486835427"</f>
        <v>9783486835427</v>
      </c>
      <c r="E715" t="s">
        <v>415</v>
      </c>
      <c r="F715" t="s">
        <v>665</v>
      </c>
      <c r="G715" s="1">
        <v>38112</v>
      </c>
      <c r="H715" s="1">
        <v>42220</v>
      </c>
      <c r="I715" t="s">
        <v>189</v>
      </c>
      <c r="J715">
        <v>1</v>
      </c>
      <c r="K715" t="s">
        <v>997</v>
      </c>
      <c r="L715" t="s">
        <v>2237</v>
      </c>
    </row>
    <row r="716" spans="1:16" x14ac:dyDescent="0.35">
      <c r="A716">
        <v>3572401</v>
      </c>
      <c r="B716" t="s">
        <v>2238</v>
      </c>
      <c r="C716" t="str">
        <f>"9783486575637"</f>
        <v>9783486575637</v>
      </c>
      <c r="D716" t="str">
        <f>"9783486835748"</f>
        <v>9783486835748</v>
      </c>
      <c r="E716" t="s">
        <v>415</v>
      </c>
      <c r="F716" t="s">
        <v>665</v>
      </c>
      <c r="G716" s="1">
        <v>38420</v>
      </c>
      <c r="H716" s="1">
        <v>42220</v>
      </c>
      <c r="I716" t="s">
        <v>189</v>
      </c>
      <c r="J716">
        <v>1</v>
      </c>
      <c r="K716" t="s">
        <v>997</v>
      </c>
      <c r="L716" t="s">
        <v>2239</v>
      </c>
      <c r="M716" t="s">
        <v>239</v>
      </c>
      <c r="N716" t="s">
        <v>2240</v>
      </c>
      <c r="O716" t="s">
        <v>2241</v>
      </c>
      <c r="P716" t="s">
        <v>2242</v>
      </c>
    </row>
    <row r="717" spans="1:16" x14ac:dyDescent="0.35">
      <c r="A717">
        <v>3572403</v>
      </c>
      <c r="B717" t="s">
        <v>2243</v>
      </c>
      <c r="C717" t="str">
        <f>"9783486568295"</f>
        <v>9783486568295</v>
      </c>
      <c r="D717" t="str">
        <f>"9783486835380"</f>
        <v>9783486835380</v>
      </c>
      <c r="E717" t="s">
        <v>415</v>
      </c>
      <c r="F717" t="s">
        <v>665</v>
      </c>
      <c r="G717" s="1">
        <v>38175</v>
      </c>
      <c r="H717" s="1">
        <v>42220</v>
      </c>
      <c r="I717" t="s">
        <v>189</v>
      </c>
      <c r="J717">
        <v>1</v>
      </c>
      <c r="K717" t="s">
        <v>997</v>
      </c>
      <c r="L717" t="s">
        <v>2244</v>
      </c>
      <c r="M717" t="s">
        <v>239</v>
      </c>
    </row>
    <row r="718" spans="1:16" x14ac:dyDescent="0.35">
      <c r="A718">
        <v>3572439</v>
      </c>
      <c r="B718" t="s">
        <v>2245</v>
      </c>
      <c r="C718" t="str">
        <f>"9783110403725"</f>
        <v>9783110403725</v>
      </c>
      <c r="D718" t="str">
        <f>"9783110403732"</f>
        <v>9783110403732</v>
      </c>
      <c r="E718" t="s">
        <v>415</v>
      </c>
      <c r="F718" t="s">
        <v>659</v>
      </c>
      <c r="G718" s="1">
        <v>42215</v>
      </c>
      <c r="H718" s="1">
        <v>42234</v>
      </c>
      <c r="I718" t="s">
        <v>189</v>
      </c>
      <c r="J718">
        <v>1</v>
      </c>
      <c r="L718" t="s">
        <v>2246</v>
      </c>
      <c r="M718" t="s">
        <v>1578</v>
      </c>
      <c r="N718" t="s">
        <v>2247</v>
      </c>
      <c r="O718" t="s">
        <v>2248</v>
      </c>
      <c r="P718" t="s">
        <v>2249</v>
      </c>
    </row>
    <row r="719" spans="1:16" x14ac:dyDescent="0.35">
      <c r="A719">
        <v>3572440</v>
      </c>
      <c r="B719" t="s">
        <v>2250</v>
      </c>
      <c r="C719" t="str">
        <f>"9783110441109"</f>
        <v>9783110441109</v>
      </c>
      <c r="D719" t="str">
        <f>"9783110441116"</f>
        <v>9783110441116</v>
      </c>
      <c r="E719" t="s">
        <v>415</v>
      </c>
      <c r="F719" t="s">
        <v>659</v>
      </c>
      <c r="G719" s="1">
        <v>42209</v>
      </c>
      <c r="H719" s="1">
        <v>42234</v>
      </c>
      <c r="I719" t="s">
        <v>189</v>
      </c>
      <c r="J719">
        <v>1</v>
      </c>
      <c r="L719" t="s">
        <v>2251</v>
      </c>
    </row>
    <row r="720" spans="1:16" x14ac:dyDescent="0.35">
      <c r="A720">
        <v>4001766</v>
      </c>
      <c r="B720" t="s">
        <v>2252</v>
      </c>
      <c r="C720" t="str">
        <f>"9783110443325"</f>
        <v>9783110443325</v>
      </c>
      <c r="D720" t="str">
        <f>"9783110443882"</f>
        <v>9783110443882</v>
      </c>
      <c r="E720" t="s">
        <v>415</v>
      </c>
      <c r="F720" t="s">
        <v>415</v>
      </c>
      <c r="G720" s="1">
        <v>42244</v>
      </c>
      <c r="H720" s="1">
        <v>42289</v>
      </c>
      <c r="I720" t="s">
        <v>189</v>
      </c>
      <c r="J720">
        <v>1</v>
      </c>
      <c r="L720" t="s">
        <v>2253</v>
      </c>
    </row>
    <row r="721" spans="1:40" x14ac:dyDescent="0.35">
      <c r="A721">
        <v>4001767</v>
      </c>
      <c r="B721" t="s">
        <v>2254</v>
      </c>
      <c r="C721" t="str">
        <f>"9783110443332"</f>
        <v>9783110443332</v>
      </c>
      <c r="D721" t="str">
        <f>"9783110443905"</f>
        <v>9783110443905</v>
      </c>
      <c r="E721" t="s">
        <v>415</v>
      </c>
      <c r="F721" t="s">
        <v>415</v>
      </c>
      <c r="G721" s="1">
        <v>42244</v>
      </c>
      <c r="H721" s="1">
        <v>42289</v>
      </c>
      <c r="I721" t="s">
        <v>189</v>
      </c>
      <c r="J721">
        <v>1</v>
      </c>
      <c r="K721" t="s">
        <v>2255</v>
      </c>
      <c r="L721" t="s">
        <v>2256</v>
      </c>
    </row>
    <row r="722" spans="1:40" x14ac:dyDescent="0.35">
      <c r="A722">
        <v>4001768</v>
      </c>
      <c r="B722" t="s">
        <v>2257</v>
      </c>
      <c r="C722" t="str">
        <f>"9783110443349"</f>
        <v>9783110443349</v>
      </c>
      <c r="D722" t="str">
        <f>"9783110443929"</f>
        <v>9783110443929</v>
      </c>
      <c r="E722" t="s">
        <v>415</v>
      </c>
      <c r="F722" t="s">
        <v>415</v>
      </c>
      <c r="G722" s="1">
        <v>42244</v>
      </c>
      <c r="H722" s="1">
        <v>42304</v>
      </c>
      <c r="I722" t="s">
        <v>189</v>
      </c>
      <c r="J722">
        <v>1</v>
      </c>
      <c r="K722" t="s">
        <v>2255</v>
      </c>
      <c r="L722" t="s">
        <v>2258</v>
      </c>
    </row>
    <row r="723" spans="1:40" x14ac:dyDescent="0.35">
      <c r="A723">
        <v>4002133</v>
      </c>
      <c r="B723" t="s">
        <v>2259</v>
      </c>
      <c r="C723" t="str">
        <f>"9783110371741"</f>
        <v>9783110371741</v>
      </c>
      <c r="D723" t="str">
        <f>"9783110371758"</f>
        <v>9783110371758</v>
      </c>
      <c r="E723" t="s">
        <v>346</v>
      </c>
      <c r="F723" t="s">
        <v>346</v>
      </c>
      <c r="G723" s="1">
        <v>42244</v>
      </c>
      <c r="H723" s="1">
        <v>42522</v>
      </c>
      <c r="I723" t="s">
        <v>189</v>
      </c>
      <c r="J723">
        <v>1</v>
      </c>
      <c r="K723" t="s">
        <v>1159</v>
      </c>
      <c r="L723" t="s">
        <v>2260</v>
      </c>
    </row>
    <row r="724" spans="1:40" x14ac:dyDescent="0.35">
      <c r="A724">
        <v>4002169</v>
      </c>
      <c r="B724" t="s">
        <v>2261</v>
      </c>
      <c r="C724" t="str">
        <f>"9788376560786"</f>
        <v>9788376560786</v>
      </c>
      <c r="D724" t="str">
        <f>"9788376560793"</f>
        <v>9788376560793</v>
      </c>
      <c r="E724" t="s">
        <v>415</v>
      </c>
      <c r="F724" t="s">
        <v>659</v>
      </c>
      <c r="G724" s="1">
        <v>41670</v>
      </c>
      <c r="H724" s="1">
        <v>42459</v>
      </c>
      <c r="I724" t="s">
        <v>189</v>
      </c>
      <c r="J724">
        <v>1</v>
      </c>
      <c r="L724" t="s">
        <v>2262</v>
      </c>
      <c r="M724" t="s">
        <v>676</v>
      </c>
      <c r="N724" t="s">
        <v>2263</v>
      </c>
      <c r="O724" s="2">
        <v>4280071</v>
      </c>
      <c r="P724" t="s">
        <v>2264</v>
      </c>
    </row>
    <row r="725" spans="1:40" x14ac:dyDescent="0.35">
      <c r="A725">
        <v>4002241</v>
      </c>
      <c r="B725" t="s">
        <v>2265</v>
      </c>
      <c r="C725" t="str">
        <f>"9783486597691"</f>
        <v>9783486597691</v>
      </c>
      <c r="D725" t="str">
        <f>"9783486989311"</f>
        <v>9783486989311</v>
      </c>
      <c r="E725" t="s">
        <v>415</v>
      </c>
      <c r="F725" t="s">
        <v>665</v>
      </c>
      <c r="G725" s="1">
        <v>40457</v>
      </c>
      <c r="H725" s="1">
        <v>42522</v>
      </c>
      <c r="I725" t="s">
        <v>189</v>
      </c>
      <c r="J725">
        <v>1</v>
      </c>
      <c r="K725" t="s">
        <v>1020</v>
      </c>
      <c r="L725" t="s">
        <v>2266</v>
      </c>
      <c r="M725" t="s">
        <v>239</v>
      </c>
      <c r="Q725" t="s">
        <v>1827</v>
      </c>
      <c r="R725" t="s">
        <v>261</v>
      </c>
      <c r="S725" t="s">
        <v>261</v>
      </c>
      <c r="T725" t="s">
        <v>261</v>
      </c>
      <c r="U725" t="s">
        <v>262</v>
      </c>
      <c r="V725" t="s">
        <v>262</v>
      </c>
      <c r="W725" t="s">
        <v>261</v>
      </c>
      <c r="X725" t="s">
        <v>262</v>
      </c>
      <c r="Y725" t="s">
        <v>261</v>
      </c>
      <c r="Z725" t="s">
        <v>409</v>
      </c>
      <c r="AA725" t="s">
        <v>409</v>
      </c>
      <c r="AB725" t="s">
        <v>409</v>
      </c>
      <c r="AC725" t="s">
        <v>409</v>
      </c>
      <c r="AD725" t="s">
        <v>262</v>
      </c>
      <c r="AE725">
        <v>11082608</v>
      </c>
      <c r="AH725" t="s">
        <v>262</v>
      </c>
      <c r="AI725" t="s">
        <v>262</v>
      </c>
      <c r="AJ725" t="s">
        <v>261</v>
      </c>
      <c r="AK725" t="s">
        <v>261</v>
      </c>
      <c r="AM725" t="s">
        <v>262</v>
      </c>
      <c r="AN725" t="s">
        <v>2267</v>
      </c>
    </row>
    <row r="726" spans="1:40" x14ac:dyDescent="0.35">
      <c r="A726">
        <v>4002338</v>
      </c>
      <c r="B726" t="s">
        <v>2268</v>
      </c>
      <c r="C726" t="str">
        <f>"9783486566086"</f>
        <v>9783486566086</v>
      </c>
      <c r="D726" t="str">
        <f>"9783486832945"</f>
        <v>9783486832945</v>
      </c>
      <c r="E726" t="s">
        <v>415</v>
      </c>
      <c r="F726" t="s">
        <v>665</v>
      </c>
      <c r="G726" s="1">
        <v>37230</v>
      </c>
      <c r="H726" s="1">
        <v>42299</v>
      </c>
      <c r="I726" t="s">
        <v>189</v>
      </c>
      <c r="J726">
        <v>1</v>
      </c>
      <c r="K726" t="s">
        <v>997</v>
      </c>
      <c r="L726" t="s">
        <v>2269</v>
      </c>
    </row>
    <row r="727" spans="1:40" x14ac:dyDescent="0.35">
      <c r="A727">
        <v>4002798</v>
      </c>
      <c r="B727" t="s">
        <v>2270</v>
      </c>
      <c r="C727" t="str">
        <f>"9783110060058"</f>
        <v>9783110060058</v>
      </c>
      <c r="D727" t="str">
        <f>"9783110888225"</f>
        <v>9783110888225</v>
      </c>
      <c r="E727" t="s">
        <v>346</v>
      </c>
      <c r="F727" t="s">
        <v>346</v>
      </c>
      <c r="G727" s="1">
        <v>27515</v>
      </c>
      <c r="H727" s="1">
        <v>42579</v>
      </c>
      <c r="I727" t="s">
        <v>189</v>
      </c>
      <c r="J727">
        <v>1</v>
      </c>
      <c r="K727" t="s">
        <v>552</v>
      </c>
      <c r="L727" t="s">
        <v>1440</v>
      </c>
    </row>
    <row r="728" spans="1:40" x14ac:dyDescent="0.35">
      <c r="A728">
        <v>4006785</v>
      </c>
      <c r="B728" t="s">
        <v>2271</v>
      </c>
      <c r="C728" t="str">
        <f>"9783110266337"</f>
        <v>9783110266337</v>
      </c>
      <c r="D728" t="str">
        <f>"9783110266344"</f>
        <v>9783110266344</v>
      </c>
      <c r="E728" t="s">
        <v>346</v>
      </c>
      <c r="F728" t="s">
        <v>346</v>
      </c>
      <c r="G728" s="1">
        <v>41197</v>
      </c>
      <c r="H728" s="1">
        <v>42302</v>
      </c>
      <c r="I728" t="s">
        <v>189</v>
      </c>
      <c r="J728">
        <v>1</v>
      </c>
      <c r="K728" t="s">
        <v>547</v>
      </c>
      <c r="L728" t="s">
        <v>2272</v>
      </c>
    </row>
    <row r="729" spans="1:40" x14ac:dyDescent="0.35">
      <c r="A729">
        <v>4006786</v>
      </c>
      <c r="B729" t="s">
        <v>2273</v>
      </c>
      <c r="C729" t="str">
        <f>"9783110265934"</f>
        <v>9783110265934</v>
      </c>
      <c r="D729" t="str">
        <f>"9783110266429"</f>
        <v>9783110266429</v>
      </c>
      <c r="E729" t="s">
        <v>346</v>
      </c>
      <c r="F729" t="s">
        <v>346</v>
      </c>
      <c r="G729" s="1">
        <v>41197</v>
      </c>
      <c r="H729" s="1">
        <v>42299</v>
      </c>
      <c r="I729" t="s">
        <v>189</v>
      </c>
      <c r="J729">
        <v>1</v>
      </c>
      <c r="K729" t="s">
        <v>547</v>
      </c>
      <c r="L729" t="s">
        <v>2274</v>
      </c>
      <c r="M729" t="s">
        <v>219</v>
      </c>
      <c r="O729" s="2">
        <v>8709358376</v>
      </c>
      <c r="Q729" t="s">
        <v>408</v>
      </c>
      <c r="R729" t="s">
        <v>261</v>
      </c>
      <c r="S729" t="s">
        <v>261</v>
      </c>
      <c r="T729" t="s">
        <v>261</v>
      </c>
      <c r="U729" t="s">
        <v>262</v>
      </c>
      <c r="V729" t="s">
        <v>262</v>
      </c>
      <c r="W729" t="s">
        <v>261</v>
      </c>
      <c r="X729" t="s">
        <v>262</v>
      </c>
      <c r="Y729" t="s">
        <v>261</v>
      </c>
      <c r="Z729" t="s">
        <v>409</v>
      </c>
      <c r="AA729" t="s">
        <v>409</v>
      </c>
      <c r="AB729" t="s">
        <v>409</v>
      </c>
      <c r="AC729" t="s">
        <v>409</v>
      </c>
      <c r="AD729" t="s">
        <v>262</v>
      </c>
      <c r="AE729">
        <v>11101717</v>
      </c>
      <c r="AH729" t="s">
        <v>262</v>
      </c>
      <c r="AI729" t="s">
        <v>262</v>
      </c>
      <c r="AJ729" t="s">
        <v>261</v>
      </c>
      <c r="AK729" t="s">
        <v>261</v>
      </c>
      <c r="AM729" t="s">
        <v>262</v>
      </c>
      <c r="AN729" t="s">
        <v>2275</v>
      </c>
    </row>
    <row r="730" spans="1:40" x14ac:dyDescent="0.35">
      <c r="A730">
        <v>4006817</v>
      </c>
      <c r="B730" t="s">
        <v>2276</v>
      </c>
      <c r="C730" t="str">
        <f>"9783110376197"</f>
        <v>9783110376197</v>
      </c>
      <c r="D730" t="str">
        <f>"9783110376616"</f>
        <v>9783110376616</v>
      </c>
      <c r="E730" t="s">
        <v>346</v>
      </c>
      <c r="F730" t="s">
        <v>346</v>
      </c>
      <c r="G730" s="1">
        <v>42272</v>
      </c>
      <c r="H730" s="1">
        <v>42304</v>
      </c>
      <c r="I730" t="s">
        <v>189</v>
      </c>
      <c r="J730">
        <v>1</v>
      </c>
      <c r="L730" t="s">
        <v>2277</v>
      </c>
    </row>
    <row r="731" spans="1:40" x14ac:dyDescent="0.35">
      <c r="A731">
        <v>4006855</v>
      </c>
      <c r="B731" t="s">
        <v>2278</v>
      </c>
      <c r="C731" t="str">
        <f>"9783110406511"</f>
        <v>9783110406511</v>
      </c>
      <c r="D731" t="str">
        <f>"9783110440362"</f>
        <v>9783110440362</v>
      </c>
      <c r="E731" t="s">
        <v>346</v>
      </c>
      <c r="F731" t="s">
        <v>346</v>
      </c>
      <c r="G731" s="1">
        <v>42272</v>
      </c>
      <c r="H731" s="1">
        <v>42302</v>
      </c>
      <c r="I731" t="s">
        <v>189</v>
      </c>
      <c r="J731">
        <v>1</v>
      </c>
      <c r="K731" t="s">
        <v>2279</v>
      </c>
      <c r="L731" t="s">
        <v>2280</v>
      </c>
    </row>
    <row r="732" spans="1:40" x14ac:dyDescent="0.35">
      <c r="A732">
        <v>4008258</v>
      </c>
      <c r="B732" t="s">
        <v>2281</v>
      </c>
      <c r="C732" t="str">
        <f>"9783598116155"</f>
        <v>9783598116155</v>
      </c>
      <c r="D732" t="str">
        <f>"9783110967951"</f>
        <v>9783110967951</v>
      </c>
      <c r="E732" t="s">
        <v>415</v>
      </c>
      <c r="F732" t="s">
        <v>416</v>
      </c>
      <c r="G732" s="1">
        <v>37606</v>
      </c>
      <c r="H732" s="1">
        <v>43013</v>
      </c>
      <c r="I732" t="s">
        <v>189</v>
      </c>
      <c r="J732">
        <v>1</v>
      </c>
      <c r="K732" t="s">
        <v>1164</v>
      </c>
      <c r="L732" t="s">
        <v>2282</v>
      </c>
    </row>
    <row r="733" spans="1:40" x14ac:dyDescent="0.35">
      <c r="A733">
        <v>4008259</v>
      </c>
      <c r="B733" t="s">
        <v>2283</v>
      </c>
      <c r="C733" t="str">
        <f>"9783598116216"</f>
        <v>9783598116216</v>
      </c>
      <c r="D733" t="str">
        <f>"9783110949995"</f>
        <v>9783110949995</v>
      </c>
      <c r="E733" t="s">
        <v>346</v>
      </c>
      <c r="F733" t="s">
        <v>346</v>
      </c>
      <c r="G733" s="1">
        <v>37608</v>
      </c>
      <c r="H733" s="1">
        <v>43013</v>
      </c>
      <c r="I733" t="s">
        <v>189</v>
      </c>
      <c r="J733">
        <v>1</v>
      </c>
      <c r="K733" t="s">
        <v>1164</v>
      </c>
      <c r="L733" t="s">
        <v>39</v>
      </c>
    </row>
    <row r="734" spans="1:40" x14ac:dyDescent="0.35">
      <c r="A734">
        <v>4008734</v>
      </c>
      <c r="B734" t="s">
        <v>2284</v>
      </c>
      <c r="C734" t="str">
        <f>"9783899494372"</f>
        <v>9783899494372</v>
      </c>
      <c r="D734" t="str">
        <f>"9783110977097"</f>
        <v>9783110977097</v>
      </c>
      <c r="E734" t="s">
        <v>346</v>
      </c>
      <c r="F734" t="s">
        <v>346</v>
      </c>
      <c r="G734" s="1">
        <v>39566</v>
      </c>
      <c r="H734" s="1">
        <v>42522</v>
      </c>
      <c r="I734" t="s">
        <v>189</v>
      </c>
      <c r="J734">
        <v>1</v>
      </c>
      <c r="K734" t="s">
        <v>552</v>
      </c>
      <c r="L734" t="s">
        <v>2285</v>
      </c>
    </row>
    <row r="735" spans="1:40" x14ac:dyDescent="0.35">
      <c r="A735">
        <v>4009290</v>
      </c>
      <c r="B735" t="s">
        <v>2286</v>
      </c>
      <c r="C735" t="str">
        <f>"9783110414325"</f>
        <v>9783110414325</v>
      </c>
      <c r="D735" t="str">
        <f>"9783110419665"</f>
        <v>9783110419665</v>
      </c>
      <c r="E735" t="s">
        <v>346</v>
      </c>
      <c r="F735" t="s">
        <v>346</v>
      </c>
      <c r="G735" s="1">
        <v>42167</v>
      </c>
      <c r="H735" s="1">
        <v>42522</v>
      </c>
      <c r="I735" t="s">
        <v>189</v>
      </c>
      <c r="J735">
        <v>1</v>
      </c>
      <c r="K735" t="s">
        <v>1159</v>
      </c>
      <c r="L735" t="s">
        <v>2287</v>
      </c>
    </row>
    <row r="736" spans="1:40" x14ac:dyDescent="0.35">
      <c r="A736">
        <v>4068092</v>
      </c>
      <c r="B736" t="s">
        <v>2288</v>
      </c>
      <c r="C736" t="str">
        <f>"9783319216737"</f>
        <v>9783319216737</v>
      </c>
      <c r="D736" t="str">
        <f>"9783319216744"</f>
        <v>9783319216744</v>
      </c>
      <c r="E736" t="s">
        <v>2289</v>
      </c>
      <c r="F736" t="s">
        <v>2290</v>
      </c>
      <c r="G736" s="1">
        <v>42303</v>
      </c>
      <c r="H736" s="1">
        <v>44708</v>
      </c>
      <c r="I736" t="s">
        <v>189</v>
      </c>
      <c r="K736" t="s">
        <v>2291</v>
      </c>
      <c r="L736" t="s">
        <v>2292</v>
      </c>
    </row>
    <row r="737" spans="1:40" x14ac:dyDescent="0.35">
      <c r="A737">
        <v>4081643</v>
      </c>
      <c r="B737" t="s">
        <v>2293</v>
      </c>
      <c r="C737" t="str">
        <f>"9783486560657"</f>
        <v>9783486560657</v>
      </c>
      <c r="D737" t="str">
        <f>"9783486718232"</f>
        <v>9783486718232</v>
      </c>
      <c r="E737" t="s">
        <v>415</v>
      </c>
      <c r="F737" t="s">
        <v>665</v>
      </c>
      <c r="G737" s="1">
        <v>34647</v>
      </c>
      <c r="H737" s="1">
        <v>42778</v>
      </c>
      <c r="I737" t="s">
        <v>189</v>
      </c>
      <c r="J737">
        <v>1</v>
      </c>
      <c r="L737" t="s">
        <v>2294</v>
      </c>
    </row>
    <row r="738" spans="1:40" x14ac:dyDescent="0.35">
      <c r="A738">
        <v>4101871</v>
      </c>
      <c r="B738" t="s">
        <v>2295</v>
      </c>
      <c r="C738" t="str">
        <f>"9783110452433"</f>
        <v>9783110452433</v>
      </c>
      <c r="D738" t="str">
        <f>"9783110452440"</f>
        <v>9783110452440</v>
      </c>
      <c r="E738" t="s">
        <v>415</v>
      </c>
      <c r="F738" t="s">
        <v>659</v>
      </c>
      <c r="G738" s="1">
        <v>42247</v>
      </c>
      <c r="H738" s="1">
        <v>42331</v>
      </c>
      <c r="I738" t="s">
        <v>189</v>
      </c>
      <c r="J738">
        <v>1</v>
      </c>
      <c r="L738" t="s">
        <v>2296</v>
      </c>
    </row>
    <row r="739" spans="1:40" x14ac:dyDescent="0.35">
      <c r="A739">
        <v>4179732</v>
      </c>
      <c r="B739" t="s">
        <v>2297</v>
      </c>
      <c r="C739" t="str">
        <f>"9783110438284"</f>
        <v>9783110438284</v>
      </c>
      <c r="D739" t="str">
        <f>"9783110438291"</f>
        <v>9783110438291</v>
      </c>
      <c r="E739" t="s">
        <v>415</v>
      </c>
      <c r="F739" t="s">
        <v>659</v>
      </c>
      <c r="G739" s="1">
        <v>42422</v>
      </c>
      <c r="H739" s="1">
        <v>42338</v>
      </c>
      <c r="I739" t="s">
        <v>189</v>
      </c>
      <c r="J739">
        <v>1</v>
      </c>
      <c r="L739" t="s">
        <v>2298</v>
      </c>
      <c r="M739" t="s">
        <v>1578</v>
      </c>
      <c r="N739" t="s">
        <v>2299</v>
      </c>
      <c r="O739" t="s">
        <v>2300</v>
      </c>
      <c r="P739" t="s">
        <v>2301</v>
      </c>
    </row>
    <row r="740" spans="1:40" x14ac:dyDescent="0.35">
      <c r="A740">
        <v>4179733</v>
      </c>
      <c r="B740" t="s">
        <v>2302</v>
      </c>
      <c r="C740" t="str">
        <f>"9783110439724"</f>
        <v>9783110439724</v>
      </c>
      <c r="D740" t="str">
        <f>"9783110439731"</f>
        <v>9783110439731</v>
      </c>
      <c r="E740" t="s">
        <v>415</v>
      </c>
      <c r="F740" t="s">
        <v>659</v>
      </c>
      <c r="G740" s="1">
        <v>42261</v>
      </c>
      <c r="H740" s="1">
        <v>42338</v>
      </c>
      <c r="I740" t="s">
        <v>189</v>
      </c>
      <c r="J740">
        <v>1</v>
      </c>
      <c r="L740" t="s">
        <v>2303</v>
      </c>
      <c r="M740" t="s">
        <v>329</v>
      </c>
      <c r="N740" t="s">
        <v>2304</v>
      </c>
      <c r="O740" s="2">
        <v>393094</v>
      </c>
      <c r="P740" t="s">
        <v>2305</v>
      </c>
    </row>
    <row r="741" spans="1:40" x14ac:dyDescent="0.35">
      <c r="A741">
        <v>4179734</v>
      </c>
      <c r="B741" t="s">
        <v>2306</v>
      </c>
      <c r="C741" t="str">
        <f>"9783110439748"</f>
        <v>9783110439748</v>
      </c>
      <c r="D741" t="str">
        <f>"9783110439755"</f>
        <v>9783110439755</v>
      </c>
      <c r="E741" t="s">
        <v>415</v>
      </c>
      <c r="F741" t="s">
        <v>659</v>
      </c>
      <c r="G741" s="1">
        <v>42306</v>
      </c>
      <c r="H741" s="1">
        <v>42338</v>
      </c>
      <c r="I741" t="s">
        <v>189</v>
      </c>
      <c r="J741">
        <v>1</v>
      </c>
      <c r="L741" t="s">
        <v>2307</v>
      </c>
    </row>
    <row r="742" spans="1:40" x14ac:dyDescent="0.35">
      <c r="A742">
        <v>4179735</v>
      </c>
      <c r="B742" t="s">
        <v>2308</v>
      </c>
      <c r="C742" t="str">
        <f>"9783110440164"</f>
        <v>9783110440164</v>
      </c>
      <c r="D742" t="str">
        <f>"9783110440171"</f>
        <v>9783110440171</v>
      </c>
      <c r="E742" t="s">
        <v>415</v>
      </c>
      <c r="F742" t="s">
        <v>659</v>
      </c>
      <c r="G742" s="1">
        <v>42335</v>
      </c>
      <c r="H742" s="1">
        <v>42338</v>
      </c>
      <c r="I742" t="s">
        <v>189</v>
      </c>
      <c r="J742">
        <v>1</v>
      </c>
      <c r="L742" t="s">
        <v>2309</v>
      </c>
    </row>
    <row r="743" spans="1:40" x14ac:dyDescent="0.35">
      <c r="A743">
        <v>4179759</v>
      </c>
      <c r="B743" t="s">
        <v>2310</v>
      </c>
      <c r="C743" t="str">
        <f>"9783110426830"</f>
        <v>9783110426830</v>
      </c>
      <c r="D743" t="str">
        <f>"9783110424713"</f>
        <v>9783110424713</v>
      </c>
      <c r="E743" t="s">
        <v>346</v>
      </c>
      <c r="F743" t="s">
        <v>346</v>
      </c>
      <c r="G743" s="1">
        <v>42335</v>
      </c>
      <c r="H743" s="1">
        <v>42338</v>
      </c>
      <c r="I743" t="s">
        <v>189</v>
      </c>
      <c r="J743">
        <v>1</v>
      </c>
      <c r="K743" t="s">
        <v>2311</v>
      </c>
      <c r="L743" t="s">
        <v>2312</v>
      </c>
    </row>
    <row r="744" spans="1:40" x14ac:dyDescent="0.35">
      <c r="A744">
        <v>4179767</v>
      </c>
      <c r="B744" t="s">
        <v>2313</v>
      </c>
      <c r="C744" t="str">
        <f>"9783110376340"</f>
        <v>9783110376340</v>
      </c>
      <c r="D744" t="str">
        <f>"9783110376357"</f>
        <v>9783110376357</v>
      </c>
      <c r="E744" t="s">
        <v>415</v>
      </c>
      <c r="F744" t="s">
        <v>665</v>
      </c>
      <c r="G744" s="1">
        <v>42293</v>
      </c>
      <c r="H744" s="1">
        <v>42338</v>
      </c>
      <c r="I744" t="s">
        <v>189</v>
      </c>
      <c r="J744">
        <v>1</v>
      </c>
      <c r="L744" t="s">
        <v>2314</v>
      </c>
    </row>
    <row r="745" spans="1:40" x14ac:dyDescent="0.35">
      <c r="A745">
        <v>4179778</v>
      </c>
      <c r="B745" t="s">
        <v>2315</v>
      </c>
      <c r="C745" t="str">
        <f>"9783110444124"</f>
        <v>9783110444124</v>
      </c>
      <c r="D745" t="str">
        <f>"9783110444414"</f>
        <v>9783110444414</v>
      </c>
      <c r="E745" t="s">
        <v>415</v>
      </c>
      <c r="F745" t="s">
        <v>415</v>
      </c>
      <c r="G745" s="1">
        <v>42293</v>
      </c>
      <c r="H745" s="1">
        <v>42338</v>
      </c>
      <c r="I745" t="s">
        <v>189</v>
      </c>
      <c r="J745">
        <v>1</v>
      </c>
      <c r="L745" t="s">
        <v>657</v>
      </c>
    </row>
    <row r="746" spans="1:40" x14ac:dyDescent="0.35">
      <c r="A746">
        <v>4179784</v>
      </c>
      <c r="B746" t="s">
        <v>2316</v>
      </c>
      <c r="C746" t="str">
        <f>"9783110455304"</f>
        <v>9783110455304</v>
      </c>
      <c r="D746" t="str">
        <f>"9783110455311"</f>
        <v>9783110455311</v>
      </c>
      <c r="E746" t="s">
        <v>415</v>
      </c>
      <c r="F746" t="s">
        <v>659</v>
      </c>
      <c r="G746" s="1">
        <v>42293</v>
      </c>
      <c r="H746" s="1">
        <v>42338</v>
      </c>
      <c r="I746" t="s">
        <v>189</v>
      </c>
      <c r="J746">
        <v>1</v>
      </c>
      <c r="L746" t="s">
        <v>2317</v>
      </c>
      <c r="M746" t="s">
        <v>239</v>
      </c>
    </row>
    <row r="747" spans="1:40" x14ac:dyDescent="0.35">
      <c r="A747">
        <v>4179793</v>
      </c>
      <c r="B747" t="s">
        <v>2318</v>
      </c>
      <c r="C747" t="str">
        <f>"9783110450545"</f>
        <v>9783110450545</v>
      </c>
      <c r="D747" t="str">
        <f>"9783110450552"</f>
        <v>9783110450552</v>
      </c>
      <c r="E747" t="s">
        <v>415</v>
      </c>
      <c r="F747" t="s">
        <v>659</v>
      </c>
      <c r="G747" s="1">
        <v>42384</v>
      </c>
      <c r="H747" s="1">
        <v>42338</v>
      </c>
      <c r="I747" t="s">
        <v>189</v>
      </c>
      <c r="J747">
        <v>1</v>
      </c>
      <c r="L747" t="s">
        <v>2319</v>
      </c>
      <c r="M747" t="s">
        <v>323</v>
      </c>
      <c r="N747" t="s">
        <v>2320</v>
      </c>
      <c r="O747" s="2">
        <v>3781734</v>
      </c>
      <c r="P747" t="s">
        <v>2321</v>
      </c>
    </row>
    <row r="748" spans="1:40" x14ac:dyDescent="0.35">
      <c r="A748">
        <v>4179794</v>
      </c>
      <c r="B748" t="s">
        <v>2322</v>
      </c>
      <c r="C748" t="str">
        <f>"9783110450569"</f>
        <v>9783110450569</v>
      </c>
      <c r="D748" t="str">
        <f>"9783110450576"</f>
        <v>9783110450576</v>
      </c>
      <c r="E748" t="s">
        <v>415</v>
      </c>
      <c r="F748" t="s">
        <v>659</v>
      </c>
      <c r="G748" s="1">
        <v>42398</v>
      </c>
      <c r="H748" s="1">
        <v>42338</v>
      </c>
      <c r="I748" t="s">
        <v>189</v>
      </c>
      <c r="J748">
        <v>1</v>
      </c>
      <c r="L748" t="s">
        <v>2323</v>
      </c>
      <c r="M748" t="s">
        <v>676</v>
      </c>
      <c r="N748" t="s">
        <v>2324</v>
      </c>
      <c r="O748">
        <v>410</v>
      </c>
      <c r="P748" t="s">
        <v>2325</v>
      </c>
    </row>
    <row r="749" spans="1:40" x14ac:dyDescent="0.35">
      <c r="A749">
        <v>4179795</v>
      </c>
      <c r="B749" t="s">
        <v>2326</v>
      </c>
      <c r="C749" t="str">
        <f>"9783110455397"</f>
        <v>9783110455397</v>
      </c>
      <c r="D749" t="str">
        <f>"9783110455403"</f>
        <v>9783110455403</v>
      </c>
      <c r="E749" t="s">
        <v>415</v>
      </c>
      <c r="F749" t="s">
        <v>659</v>
      </c>
      <c r="G749" s="1">
        <v>42422</v>
      </c>
      <c r="H749" s="1">
        <v>42338</v>
      </c>
      <c r="I749" t="s">
        <v>189</v>
      </c>
      <c r="J749">
        <v>1</v>
      </c>
      <c r="L749" t="s">
        <v>2327</v>
      </c>
    </row>
    <row r="750" spans="1:40" x14ac:dyDescent="0.35">
      <c r="A750">
        <v>4179796</v>
      </c>
      <c r="B750" t="s">
        <v>2328</v>
      </c>
      <c r="C750" t="str">
        <f>"9783110468236"</f>
        <v>9783110468236</v>
      </c>
      <c r="D750" t="str">
        <f>"9783110468243"</f>
        <v>9783110468243</v>
      </c>
      <c r="E750" t="s">
        <v>415</v>
      </c>
      <c r="F750" t="s">
        <v>659</v>
      </c>
      <c r="G750" s="1">
        <v>42422</v>
      </c>
      <c r="H750" s="1">
        <v>42338</v>
      </c>
      <c r="I750" t="s">
        <v>189</v>
      </c>
      <c r="J750">
        <v>1</v>
      </c>
      <c r="L750" t="s">
        <v>1121</v>
      </c>
      <c r="M750" t="s">
        <v>282</v>
      </c>
    </row>
    <row r="751" spans="1:40" x14ac:dyDescent="0.35">
      <c r="A751">
        <v>4191088</v>
      </c>
      <c r="B751" t="s">
        <v>2329</v>
      </c>
      <c r="C751" t="str">
        <f>"9783110415155"</f>
        <v>9783110415155</v>
      </c>
      <c r="D751" t="str">
        <f>"9783110415162"</f>
        <v>9783110415162</v>
      </c>
      <c r="E751" t="s">
        <v>415</v>
      </c>
      <c r="F751" t="s">
        <v>665</v>
      </c>
      <c r="G751" s="1">
        <v>42335</v>
      </c>
      <c r="H751" s="1">
        <v>42367</v>
      </c>
      <c r="I751" t="s">
        <v>189</v>
      </c>
      <c r="J751">
        <v>1</v>
      </c>
      <c r="L751" t="s">
        <v>2330</v>
      </c>
      <c r="M751" t="s">
        <v>329</v>
      </c>
      <c r="N751" t="s">
        <v>2331</v>
      </c>
      <c r="O751" s="2">
        <v>305513094</v>
      </c>
      <c r="P751" t="s">
        <v>2332</v>
      </c>
      <c r="Q751" t="s">
        <v>260</v>
      </c>
      <c r="R751" t="s">
        <v>261</v>
      </c>
      <c r="S751" t="s">
        <v>261</v>
      </c>
      <c r="T751" t="s">
        <v>261</v>
      </c>
      <c r="U751" t="s">
        <v>262</v>
      </c>
      <c r="V751" t="s">
        <v>262</v>
      </c>
      <c r="W751" t="s">
        <v>261</v>
      </c>
      <c r="X751" t="s">
        <v>262</v>
      </c>
      <c r="Y751" t="s">
        <v>261</v>
      </c>
      <c r="Z751" t="s">
        <v>409</v>
      </c>
      <c r="AA751" t="s">
        <v>409</v>
      </c>
      <c r="AB751" t="s">
        <v>409</v>
      </c>
      <c r="AC751" t="s">
        <v>409</v>
      </c>
      <c r="AD751" t="s">
        <v>262</v>
      </c>
      <c r="AE751">
        <v>11135619</v>
      </c>
      <c r="AH751" t="s">
        <v>262</v>
      </c>
      <c r="AI751" t="s">
        <v>262</v>
      </c>
      <c r="AJ751" t="s">
        <v>261</v>
      </c>
      <c r="AK751" t="s">
        <v>261</v>
      </c>
      <c r="AM751" t="s">
        <v>262</v>
      </c>
      <c r="AN751" t="s">
        <v>2333</v>
      </c>
    </row>
    <row r="752" spans="1:40" x14ac:dyDescent="0.35">
      <c r="A752">
        <v>4230646</v>
      </c>
      <c r="B752" t="s">
        <v>2334</v>
      </c>
      <c r="C752" t="str">
        <f>"9783110417913"</f>
        <v>9783110417913</v>
      </c>
      <c r="D752" t="str">
        <f>"9783110417920"</f>
        <v>9783110417920</v>
      </c>
      <c r="E752" t="s">
        <v>346</v>
      </c>
      <c r="F752" t="s">
        <v>346</v>
      </c>
      <c r="G752" s="1">
        <v>42356</v>
      </c>
      <c r="H752" s="1">
        <v>42368</v>
      </c>
      <c r="I752" t="s">
        <v>189</v>
      </c>
      <c r="J752">
        <v>1</v>
      </c>
      <c r="K752" t="s">
        <v>1159</v>
      </c>
      <c r="L752" t="s">
        <v>2335</v>
      </c>
      <c r="M752" t="s">
        <v>389</v>
      </c>
      <c r="N752" t="s">
        <v>2336</v>
      </c>
      <c r="O752" t="s">
        <v>2337</v>
      </c>
      <c r="P752" t="s">
        <v>2338</v>
      </c>
    </row>
    <row r="753" spans="1:40" x14ac:dyDescent="0.35">
      <c r="A753">
        <v>4230873</v>
      </c>
      <c r="B753" t="s">
        <v>2339</v>
      </c>
      <c r="C753" t="str">
        <f>"9783110442779"</f>
        <v>9783110442779</v>
      </c>
      <c r="D753" t="str">
        <f>"9783110436730"</f>
        <v>9783110436730</v>
      </c>
      <c r="E753" t="s">
        <v>415</v>
      </c>
      <c r="F753" t="s">
        <v>415</v>
      </c>
      <c r="G753" s="1">
        <v>42352</v>
      </c>
      <c r="H753" s="1">
        <v>42368</v>
      </c>
      <c r="I753" t="s">
        <v>189</v>
      </c>
      <c r="J753">
        <v>1</v>
      </c>
      <c r="L753" t="s">
        <v>2340</v>
      </c>
    </row>
    <row r="754" spans="1:40" x14ac:dyDescent="0.35">
      <c r="A754">
        <v>4332907</v>
      </c>
      <c r="B754" t="s">
        <v>2341</v>
      </c>
      <c r="C754" t="str">
        <f>"9783110438659"</f>
        <v>9783110438659</v>
      </c>
      <c r="D754" t="str">
        <f>"9783110438666"</f>
        <v>9783110438666</v>
      </c>
      <c r="E754" t="s">
        <v>415</v>
      </c>
      <c r="F754" t="s">
        <v>659</v>
      </c>
      <c r="G754" s="1">
        <v>42388</v>
      </c>
      <c r="H754" s="1">
        <v>42379</v>
      </c>
      <c r="I754" t="s">
        <v>189</v>
      </c>
      <c r="J754">
        <v>1</v>
      </c>
      <c r="L754" t="s">
        <v>2342</v>
      </c>
      <c r="M754" t="s">
        <v>329</v>
      </c>
    </row>
    <row r="755" spans="1:40" x14ac:dyDescent="0.35">
      <c r="A755">
        <v>4332915</v>
      </c>
      <c r="B755" t="s">
        <v>2343</v>
      </c>
      <c r="C755" t="str">
        <f>"9783110450514"</f>
        <v>9783110450514</v>
      </c>
      <c r="D755" t="str">
        <f>"9783110450521"</f>
        <v>9783110450521</v>
      </c>
      <c r="E755" t="s">
        <v>415</v>
      </c>
      <c r="F755" t="s">
        <v>659</v>
      </c>
      <c r="G755" s="1">
        <v>42398</v>
      </c>
      <c r="H755" s="1">
        <v>42379</v>
      </c>
      <c r="I755" t="s">
        <v>189</v>
      </c>
      <c r="J755">
        <v>1</v>
      </c>
      <c r="L755" t="s">
        <v>2344</v>
      </c>
    </row>
    <row r="756" spans="1:40" x14ac:dyDescent="0.35">
      <c r="A756">
        <v>4332916</v>
      </c>
      <c r="B756" t="s">
        <v>2345</v>
      </c>
      <c r="C756" t="str">
        <f>"9783110450491"</f>
        <v>9783110450491</v>
      </c>
      <c r="D756" t="str">
        <f>"9783110450507"</f>
        <v>9783110450507</v>
      </c>
      <c r="E756" t="s">
        <v>415</v>
      </c>
      <c r="F756" t="s">
        <v>659</v>
      </c>
      <c r="G756" s="1">
        <v>42353</v>
      </c>
      <c r="H756" s="1">
        <v>42379</v>
      </c>
      <c r="I756" t="s">
        <v>189</v>
      </c>
      <c r="J756">
        <v>1</v>
      </c>
      <c r="L756" t="s">
        <v>2346</v>
      </c>
    </row>
    <row r="757" spans="1:40" x14ac:dyDescent="0.35">
      <c r="A757">
        <v>4332917</v>
      </c>
      <c r="B757" t="s">
        <v>2347</v>
      </c>
      <c r="C757" t="str">
        <f>"9783110467994"</f>
        <v>9783110467994</v>
      </c>
      <c r="D757" t="str">
        <f>"9783110468007"</f>
        <v>9783110468007</v>
      </c>
      <c r="E757" t="s">
        <v>415</v>
      </c>
      <c r="F757" t="s">
        <v>659</v>
      </c>
      <c r="G757" s="1">
        <v>42422</v>
      </c>
      <c r="H757" s="1">
        <v>42379</v>
      </c>
      <c r="I757" t="s">
        <v>189</v>
      </c>
      <c r="J757">
        <v>1</v>
      </c>
      <c r="L757" t="s">
        <v>2348</v>
      </c>
    </row>
    <row r="758" spans="1:40" x14ac:dyDescent="0.35">
      <c r="A758">
        <v>4332918</v>
      </c>
      <c r="B758" t="s">
        <v>2349</v>
      </c>
      <c r="C758" t="str">
        <f>"9783110471199"</f>
        <v>9783110471199</v>
      </c>
      <c r="D758" t="str">
        <f>"9783110471243"</f>
        <v>9783110471243</v>
      </c>
      <c r="E758" t="s">
        <v>415</v>
      </c>
      <c r="F758" t="s">
        <v>659</v>
      </c>
      <c r="G758" s="1">
        <v>42422</v>
      </c>
      <c r="H758" s="1">
        <v>42379</v>
      </c>
      <c r="I758" t="s">
        <v>189</v>
      </c>
      <c r="J758">
        <v>1</v>
      </c>
      <c r="L758" t="s">
        <v>2350</v>
      </c>
      <c r="M758" t="s">
        <v>329</v>
      </c>
      <c r="N758" t="s">
        <v>2351</v>
      </c>
      <c r="O758" t="s">
        <v>2352</v>
      </c>
      <c r="P758" t="s">
        <v>2353</v>
      </c>
    </row>
    <row r="759" spans="1:40" x14ac:dyDescent="0.35">
      <c r="A759">
        <v>4332919</v>
      </c>
      <c r="B759" t="s">
        <v>2354</v>
      </c>
      <c r="C759" t="str">
        <f>"9783110472080"</f>
        <v>9783110472080</v>
      </c>
      <c r="D759" t="str">
        <f>"9783110472097"</f>
        <v>9783110472097</v>
      </c>
      <c r="E759" t="s">
        <v>415</v>
      </c>
      <c r="F759" t="s">
        <v>659</v>
      </c>
      <c r="G759" s="1">
        <v>42384</v>
      </c>
      <c r="H759" s="1">
        <v>42379</v>
      </c>
      <c r="I759" t="s">
        <v>189</v>
      </c>
      <c r="J759">
        <v>1</v>
      </c>
      <c r="L759" t="s">
        <v>2355</v>
      </c>
    </row>
    <row r="760" spans="1:40" x14ac:dyDescent="0.35">
      <c r="A760">
        <v>4338415</v>
      </c>
      <c r="B760" t="s">
        <v>2356</v>
      </c>
      <c r="C760" t="str">
        <f>"9781614517122"</f>
        <v>9781614517122</v>
      </c>
      <c r="D760" t="str">
        <f>"9781501501890"</f>
        <v>9781501501890</v>
      </c>
      <c r="E760" t="s">
        <v>346</v>
      </c>
      <c r="F760" t="s">
        <v>346</v>
      </c>
      <c r="G760" s="1">
        <v>42360</v>
      </c>
      <c r="H760" s="1">
        <v>42386</v>
      </c>
      <c r="I760" t="s">
        <v>189</v>
      </c>
      <c r="J760">
        <v>1</v>
      </c>
      <c r="K760" t="s">
        <v>2357</v>
      </c>
      <c r="L760" t="s">
        <v>2358</v>
      </c>
    </row>
    <row r="761" spans="1:40" x14ac:dyDescent="0.35">
      <c r="A761">
        <v>4338432</v>
      </c>
      <c r="B761" t="s">
        <v>2359</v>
      </c>
      <c r="C761" t="str">
        <f>"9783110335040"</f>
        <v>9783110335040</v>
      </c>
      <c r="D761" t="str">
        <f>"9783110345933"</f>
        <v>9783110345933</v>
      </c>
      <c r="E761" t="s">
        <v>346</v>
      </c>
      <c r="F761" t="s">
        <v>346</v>
      </c>
      <c r="G761" s="1">
        <v>42384</v>
      </c>
      <c r="H761" s="1">
        <v>42386</v>
      </c>
      <c r="I761" t="s">
        <v>189</v>
      </c>
      <c r="J761">
        <v>1</v>
      </c>
      <c r="K761" t="s">
        <v>2360</v>
      </c>
      <c r="L761" t="s">
        <v>2361</v>
      </c>
    </row>
    <row r="762" spans="1:40" x14ac:dyDescent="0.35">
      <c r="A762">
        <v>4338464</v>
      </c>
      <c r="B762" t="s">
        <v>2362</v>
      </c>
      <c r="C762" t="str">
        <f>"9783110406351"</f>
        <v>9783110406351</v>
      </c>
      <c r="D762" t="str">
        <f>"9783110406542"</f>
        <v>9783110406542</v>
      </c>
      <c r="E762" t="s">
        <v>346</v>
      </c>
      <c r="F762" t="s">
        <v>346</v>
      </c>
      <c r="G762" s="1">
        <v>42306</v>
      </c>
      <c r="H762" s="1">
        <v>42386</v>
      </c>
      <c r="I762" t="s">
        <v>189</v>
      </c>
      <c r="J762">
        <v>1</v>
      </c>
      <c r="K762" t="s">
        <v>2279</v>
      </c>
      <c r="L762" t="s">
        <v>2280</v>
      </c>
    </row>
    <row r="763" spans="1:40" x14ac:dyDescent="0.35">
      <c r="A763">
        <v>4338470</v>
      </c>
      <c r="B763" t="s">
        <v>2363</v>
      </c>
      <c r="C763" t="str">
        <f>"9783110409437"</f>
        <v>9783110409437</v>
      </c>
      <c r="D763" t="str">
        <f>"9783110411362"</f>
        <v>9783110411362</v>
      </c>
      <c r="E763" t="s">
        <v>346</v>
      </c>
      <c r="F763" t="s">
        <v>346</v>
      </c>
      <c r="G763" s="1">
        <v>42321</v>
      </c>
      <c r="H763" s="1">
        <v>42386</v>
      </c>
      <c r="I763" t="s">
        <v>189</v>
      </c>
      <c r="J763">
        <v>1</v>
      </c>
      <c r="K763" t="s">
        <v>354</v>
      </c>
      <c r="L763" t="s">
        <v>129</v>
      </c>
      <c r="M763" t="s">
        <v>239</v>
      </c>
    </row>
    <row r="764" spans="1:40" x14ac:dyDescent="0.35">
      <c r="A764">
        <v>4340047</v>
      </c>
      <c r="B764" t="s">
        <v>2364</v>
      </c>
      <c r="C764" t="str">
        <f>"9781783740338"</f>
        <v>9781783740338</v>
      </c>
      <c r="D764" t="str">
        <f>"9781783740345"</f>
        <v>9781783740345</v>
      </c>
      <c r="E764" t="s">
        <v>1807</v>
      </c>
      <c r="F764" t="s">
        <v>1807</v>
      </c>
      <c r="G764" s="1">
        <v>42331</v>
      </c>
      <c r="H764" s="1">
        <v>42408</v>
      </c>
      <c r="I764" t="s">
        <v>189</v>
      </c>
      <c r="J764">
        <v>1</v>
      </c>
      <c r="L764" t="s">
        <v>1812</v>
      </c>
      <c r="M764" t="s">
        <v>199</v>
      </c>
      <c r="O764" t="s">
        <v>2365</v>
      </c>
      <c r="Q764" t="s">
        <v>260</v>
      </c>
      <c r="R764" t="s">
        <v>261</v>
      </c>
      <c r="S764" t="s">
        <v>261</v>
      </c>
      <c r="T764" t="s">
        <v>261</v>
      </c>
      <c r="U764" t="s">
        <v>261</v>
      </c>
      <c r="V764" t="s">
        <v>262</v>
      </c>
      <c r="W764" t="s">
        <v>261</v>
      </c>
      <c r="X764" t="s">
        <v>261</v>
      </c>
      <c r="Y764" t="s">
        <v>261</v>
      </c>
      <c r="Z764" t="s">
        <v>409</v>
      </c>
      <c r="AA764" t="s">
        <v>409</v>
      </c>
      <c r="AB764" t="s">
        <v>409</v>
      </c>
      <c r="AC764" t="s">
        <v>409</v>
      </c>
      <c r="AD764" t="s">
        <v>262</v>
      </c>
      <c r="AE764">
        <v>11152788</v>
      </c>
      <c r="AH764" t="s">
        <v>262</v>
      </c>
      <c r="AI764" t="s">
        <v>262</v>
      </c>
      <c r="AJ764" t="s">
        <v>261</v>
      </c>
      <c r="AK764" t="s">
        <v>261</v>
      </c>
      <c r="AM764" t="s">
        <v>262</v>
      </c>
      <c r="AN764" t="s">
        <v>2366</v>
      </c>
    </row>
    <row r="765" spans="1:40" x14ac:dyDescent="0.35">
      <c r="A765">
        <v>4340048</v>
      </c>
      <c r="B765" t="s">
        <v>2367</v>
      </c>
      <c r="C765" t="str">
        <f>"9781783741892"</f>
        <v>9781783741892</v>
      </c>
      <c r="D765" t="str">
        <f>"9781783741908"</f>
        <v>9781783741908</v>
      </c>
      <c r="E765" t="s">
        <v>1807</v>
      </c>
      <c r="F765" t="s">
        <v>1807</v>
      </c>
      <c r="G765" s="1">
        <v>42353</v>
      </c>
      <c r="H765" s="1">
        <v>42408</v>
      </c>
      <c r="I765" t="s">
        <v>189</v>
      </c>
      <c r="J765">
        <v>1</v>
      </c>
      <c r="L765" t="s">
        <v>2368</v>
      </c>
      <c r="M765" t="s">
        <v>210</v>
      </c>
    </row>
    <row r="766" spans="1:40" x14ac:dyDescent="0.35">
      <c r="A766">
        <v>4340049</v>
      </c>
      <c r="B766" t="s">
        <v>2369</v>
      </c>
      <c r="C766" t="str">
        <f>"9781783741946"</f>
        <v>9781783741946</v>
      </c>
      <c r="D766" t="str">
        <f>"9781783741953"</f>
        <v>9781783741953</v>
      </c>
      <c r="E766" t="s">
        <v>1807</v>
      </c>
      <c r="F766" t="s">
        <v>1807</v>
      </c>
      <c r="G766" s="1">
        <v>42323</v>
      </c>
      <c r="H766" s="1">
        <v>42408</v>
      </c>
      <c r="I766" t="s">
        <v>189</v>
      </c>
      <c r="J766">
        <v>1</v>
      </c>
      <c r="L766" t="s">
        <v>2370</v>
      </c>
    </row>
    <row r="767" spans="1:40" x14ac:dyDescent="0.35">
      <c r="A767">
        <v>4340050</v>
      </c>
      <c r="B767" t="s">
        <v>2371</v>
      </c>
      <c r="C767" t="str">
        <f>"9781783742042"</f>
        <v>9781783742042</v>
      </c>
      <c r="D767" t="str">
        <f>"9781783742059"</f>
        <v>9781783742059</v>
      </c>
      <c r="E767" t="s">
        <v>1807</v>
      </c>
      <c r="F767" t="s">
        <v>1807</v>
      </c>
      <c r="G767" s="1">
        <v>42373</v>
      </c>
      <c r="H767" s="1">
        <v>42408</v>
      </c>
      <c r="I767" t="s">
        <v>189</v>
      </c>
      <c r="J767">
        <v>1</v>
      </c>
      <c r="K767" t="s">
        <v>2114</v>
      </c>
      <c r="L767" t="s">
        <v>36</v>
      </c>
      <c r="M767" t="s">
        <v>199</v>
      </c>
      <c r="O767" t="s">
        <v>2372</v>
      </c>
      <c r="Q767" t="s">
        <v>260</v>
      </c>
      <c r="R767" t="s">
        <v>261</v>
      </c>
      <c r="S767" t="s">
        <v>261</v>
      </c>
      <c r="T767" t="s">
        <v>261</v>
      </c>
      <c r="U767" t="s">
        <v>261</v>
      </c>
      <c r="V767" t="s">
        <v>262</v>
      </c>
      <c r="W767" t="s">
        <v>261</v>
      </c>
      <c r="X767" t="s">
        <v>261</v>
      </c>
      <c r="Y767" t="s">
        <v>261</v>
      </c>
      <c r="Z767" t="s">
        <v>409</v>
      </c>
      <c r="AA767" t="s">
        <v>409</v>
      </c>
      <c r="AB767" t="s">
        <v>409</v>
      </c>
      <c r="AC767" t="s">
        <v>409</v>
      </c>
      <c r="AD767" t="s">
        <v>262</v>
      </c>
      <c r="AE767">
        <v>11152791</v>
      </c>
      <c r="AH767" t="s">
        <v>262</v>
      </c>
      <c r="AI767" t="s">
        <v>262</v>
      </c>
      <c r="AJ767" t="s">
        <v>261</v>
      </c>
      <c r="AK767" t="s">
        <v>261</v>
      </c>
      <c r="AM767" t="s">
        <v>262</v>
      </c>
      <c r="AN767" t="s">
        <v>2373</v>
      </c>
    </row>
    <row r="768" spans="1:40" x14ac:dyDescent="0.35">
      <c r="A768">
        <v>4355092</v>
      </c>
      <c r="B768" t="s">
        <v>2374</v>
      </c>
      <c r="C768" t="str">
        <f>"9781439912706"</f>
        <v>9781439912706</v>
      </c>
      <c r="D768" t="str">
        <f>"9781439912720"</f>
        <v>9781439912720</v>
      </c>
      <c r="E768" t="s">
        <v>321</v>
      </c>
      <c r="F768" t="s">
        <v>321</v>
      </c>
      <c r="G768" s="1">
        <v>42401</v>
      </c>
      <c r="H768" s="1">
        <v>42392</v>
      </c>
      <c r="I768" t="s">
        <v>189</v>
      </c>
      <c r="J768">
        <v>1</v>
      </c>
      <c r="L768" t="s">
        <v>2375</v>
      </c>
      <c r="M768" t="s">
        <v>210</v>
      </c>
      <c r="N768" t="s">
        <v>2376</v>
      </c>
      <c r="O768" s="2">
        <v>3209635</v>
      </c>
      <c r="P768" t="s">
        <v>2377</v>
      </c>
      <c r="Q768" t="s">
        <v>260</v>
      </c>
      <c r="R768" t="s">
        <v>261</v>
      </c>
      <c r="S768" t="s">
        <v>261</v>
      </c>
      <c r="T768" t="s">
        <v>261</v>
      </c>
      <c r="U768" t="s">
        <v>261</v>
      </c>
      <c r="V768" t="s">
        <v>262</v>
      </c>
      <c r="W768" t="s">
        <v>261</v>
      </c>
      <c r="X768" t="s">
        <v>261</v>
      </c>
      <c r="Y768" t="s">
        <v>261</v>
      </c>
      <c r="Z768" t="s">
        <v>409</v>
      </c>
      <c r="AA768" t="s">
        <v>409</v>
      </c>
      <c r="AB768" t="s">
        <v>409</v>
      </c>
      <c r="AC768" t="s">
        <v>409</v>
      </c>
      <c r="AD768" t="s">
        <v>262</v>
      </c>
      <c r="AE768">
        <v>11149600</v>
      </c>
      <c r="AF768">
        <v>890978</v>
      </c>
      <c r="AH768" t="s">
        <v>262</v>
      </c>
      <c r="AI768" t="s">
        <v>262</v>
      </c>
      <c r="AJ768" t="s">
        <v>261</v>
      </c>
      <c r="AK768" t="s">
        <v>261</v>
      </c>
      <c r="AM768" t="s">
        <v>262</v>
      </c>
      <c r="AN768" t="s">
        <v>2378</v>
      </c>
    </row>
    <row r="769" spans="1:40" x14ac:dyDescent="0.35">
      <c r="A769">
        <v>4355749</v>
      </c>
      <c r="B769" t="s">
        <v>2379</v>
      </c>
      <c r="C769" t="str">
        <f>"9783110468748"</f>
        <v>9783110468748</v>
      </c>
      <c r="D769" t="str">
        <f>"9783110468755"</f>
        <v>9783110468755</v>
      </c>
      <c r="E769" t="s">
        <v>415</v>
      </c>
      <c r="F769" t="s">
        <v>659</v>
      </c>
      <c r="G769" s="1">
        <v>42422</v>
      </c>
      <c r="H769" s="1">
        <v>42393</v>
      </c>
      <c r="I769" t="s">
        <v>189</v>
      </c>
      <c r="J769">
        <v>1</v>
      </c>
      <c r="L769" t="s">
        <v>2380</v>
      </c>
      <c r="M769" t="s">
        <v>339</v>
      </c>
    </row>
    <row r="770" spans="1:40" x14ac:dyDescent="0.35">
      <c r="A770">
        <v>4386693</v>
      </c>
      <c r="B770" t="s">
        <v>2381</v>
      </c>
      <c r="C770" t="str">
        <f>"9781783741687"</f>
        <v>9781783741687</v>
      </c>
      <c r="D770" t="str">
        <f>"9781783741694"</f>
        <v>9781783741694</v>
      </c>
      <c r="E770" t="s">
        <v>1807</v>
      </c>
      <c r="F770" t="s">
        <v>1807</v>
      </c>
      <c r="G770" s="1">
        <v>42285</v>
      </c>
      <c r="H770" s="1">
        <v>42419</v>
      </c>
      <c r="I770" t="s">
        <v>189</v>
      </c>
      <c r="J770">
        <v>1</v>
      </c>
      <c r="L770" t="s">
        <v>1812</v>
      </c>
      <c r="M770" t="s">
        <v>339</v>
      </c>
    </row>
    <row r="771" spans="1:40" x14ac:dyDescent="0.35">
      <c r="A771">
        <v>4386694</v>
      </c>
      <c r="B771" t="s">
        <v>2382</v>
      </c>
      <c r="C771" t="str">
        <f>"9781783741731"</f>
        <v>9781783741731</v>
      </c>
      <c r="D771" t="str">
        <f>"9781783741748"</f>
        <v>9781783741748</v>
      </c>
      <c r="E771" t="s">
        <v>1807</v>
      </c>
      <c r="F771" t="s">
        <v>1807</v>
      </c>
      <c r="G771" s="1">
        <v>42248</v>
      </c>
      <c r="H771" s="1">
        <v>42419</v>
      </c>
      <c r="I771" t="s">
        <v>189</v>
      </c>
      <c r="J771">
        <v>1</v>
      </c>
      <c r="L771" t="s">
        <v>2383</v>
      </c>
    </row>
    <row r="772" spans="1:40" x14ac:dyDescent="0.35">
      <c r="A772">
        <v>4386695</v>
      </c>
      <c r="B772" t="s">
        <v>2384</v>
      </c>
      <c r="C772" t="str">
        <f>"9781783741533"</f>
        <v>9781783741533</v>
      </c>
      <c r="D772" t="str">
        <f>"9781783741540"</f>
        <v>9781783741540</v>
      </c>
      <c r="E772" t="s">
        <v>1807</v>
      </c>
      <c r="F772" t="s">
        <v>1807</v>
      </c>
      <c r="G772" s="1">
        <v>42233</v>
      </c>
      <c r="H772" s="1">
        <v>42419</v>
      </c>
      <c r="I772" t="s">
        <v>189</v>
      </c>
      <c r="J772">
        <v>1</v>
      </c>
      <c r="L772" t="s">
        <v>2385</v>
      </c>
      <c r="M772" t="s">
        <v>578</v>
      </c>
      <c r="Q772" t="s">
        <v>260</v>
      </c>
      <c r="R772" t="s">
        <v>261</v>
      </c>
      <c r="S772" t="s">
        <v>261</v>
      </c>
      <c r="T772" t="s">
        <v>261</v>
      </c>
      <c r="U772" t="s">
        <v>261</v>
      </c>
      <c r="V772" t="s">
        <v>262</v>
      </c>
      <c r="W772" t="s">
        <v>261</v>
      </c>
      <c r="X772" t="s">
        <v>261</v>
      </c>
      <c r="Y772" t="s">
        <v>261</v>
      </c>
      <c r="Z772" t="s">
        <v>409</v>
      </c>
      <c r="AA772" t="s">
        <v>409</v>
      </c>
      <c r="AB772" t="s">
        <v>409</v>
      </c>
      <c r="AC772" t="s">
        <v>409</v>
      </c>
      <c r="AD772" t="s">
        <v>262</v>
      </c>
      <c r="AE772">
        <v>11160454</v>
      </c>
      <c r="AH772" t="s">
        <v>262</v>
      </c>
      <c r="AI772" t="s">
        <v>262</v>
      </c>
      <c r="AJ772" t="s">
        <v>261</v>
      </c>
      <c r="AK772" t="s">
        <v>261</v>
      </c>
      <c r="AM772" t="s">
        <v>262</v>
      </c>
      <c r="AN772" t="s">
        <v>2386</v>
      </c>
    </row>
    <row r="773" spans="1:40" x14ac:dyDescent="0.35">
      <c r="A773">
        <v>4386696</v>
      </c>
      <c r="B773" t="s">
        <v>2387</v>
      </c>
      <c r="C773" t="str">
        <f>"9781783740987"</f>
        <v>9781783740987</v>
      </c>
      <c r="D773" t="str">
        <f>"9781783740994"</f>
        <v>9781783740994</v>
      </c>
      <c r="E773" t="s">
        <v>1807</v>
      </c>
      <c r="F773" t="s">
        <v>1807</v>
      </c>
      <c r="G773" s="1">
        <v>42242</v>
      </c>
      <c r="H773" s="1">
        <v>42419</v>
      </c>
      <c r="I773" t="s">
        <v>189</v>
      </c>
      <c r="J773">
        <v>1</v>
      </c>
      <c r="L773" t="s">
        <v>2388</v>
      </c>
      <c r="M773" t="s">
        <v>239</v>
      </c>
    </row>
    <row r="774" spans="1:40" x14ac:dyDescent="0.35">
      <c r="A774">
        <v>4386697</v>
      </c>
      <c r="B774" t="s">
        <v>2389</v>
      </c>
      <c r="C774" t="str">
        <f>"9781783741038"</f>
        <v>9781783741038</v>
      </c>
      <c r="D774" t="str">
        <f>"9781783741045"</f>
        <v>9781783741045</v>
      </c>
      <c r="E774" t="s">
        <v>1807</v>
      </c>
      <c r="F774" t="s">
        <v>1807</v>
      </c>
      <c r="G774" s="1">
        <v>42282</v>
      </c>
      <c r="H774" s="1">
        <v>42419</v>
      </c>
      <c r="I774" t="s">
        <v>189</v>
      </c>
      <c r="J774">
        <v>1</v>
      </c>
      <c r="L774" t="s">
        <v>2390</v>
      </c>
    </row>
    <row r="775" spans="1:40" x14ac:dyDescent="0.35">
      <c r="A775">
        <v>4386698</v>
      </c>
      <c r="B775" t="s">
        <v>2391</v>
      </c>
      <c r="C775" t="str">
        <f>"9781783741335"</f>
        <v>9781783741335</v>
      </c>
      <c r="D775" t="str">
        <f>"9781783741342"</f>
        <v>9781783741342</v>
      </c>
      <c r="E775" t="s">
        <v>1807</v>
      </c>
      <c r="F775" t="s">
        <v>1807</v>
      </c>
      <c r="G775" s="1">
        <v>42282</v>
      </c>
      <c r="H775" s="1">
        <v>42419</v>
      </c>
      <c r="I775" t="s">
        <v>189</v>
      </c>
      <c r="J775">
        <v>1</v>
      </c>
      <c r="K775" t="s">
        <v>2392</v>
      </c>
      <c r="L775" t="s">
        <v>2393</v>
      </c>
      <c r="M775" t="s">
        <v>239</v>
      </c>
    </row>
    <row r="776" spans="1:40" x14ac:dyDescent="0.35">
      <c r="A776">
        <v>4386926</v>
      </c>
      <c r="B776" t="s">
        <v>2394</v>
      </c>
      <c r="C776" t="str">
        <f>"9781439912768"</f>
        <v>9781439912768</v>
      </c>
      <c r="D776" t="str">
        <f>"9781439912782"</f>
        <v>9781439912782</v>
      </c>
      <c r="E776" t="s">
        <v>321</v>
      </c>
      <c r="F776" t="s">
        <v>321</v>
      </c>
      <c r="G776" s="1">
        <v>42429</v>
      </c>
      <c r="H776" s="1">
        <v>42400</v>
      </c>
      <c r="I776" t="s">
        <v>189</v>
      </c>
      <c r="J776">
        <v>1</v>
      </c>
      <c r="L776" t="s">
        <v>2395</v>
      </c>
      <c r="M776" t="s">
        <v>239</v>
      </c>
    </row>
    <row r="777" spans="1:40" x14ac:dyDescent="0.35">
      <c r="A777">
        <v>4391547</v>
      </c>
      <c r="B777" t="s">
        <v>2396</v>
      </c>
      <c r="C777" t="str">
        <f>"9781783741427"</f>
        <v>9781783741427</v>
      </c>
      <c r="D777" t="str">
        <f>"9781783741441"</f>
        <v>9781783741441</v>
      </c>
      <c r="E777" t="s">
        <v>1807</v>
      </c>
      <c r="F777" t="s">
        <v>1807</v>
      </c>
      <c r="G777" s="1">
        <v>42394</v>
      </c>
      <c r="H777" s="1">
        <v>42569</v>
      </c>
      <c r="I777" t="s">
        <v>189</v>
      </c>
      <c r="J777">
        <v>1</v>
      </c>
      <c r="K777" t="s">
        <v>2397</v>
      </c>
      <c r="L777" t="s">
        <v>2398</v>
      </c>
      <c r="M777" t="s">
        <v>1318</v>
      </c>
      <c r="N777" t="s">
        <v>2399</v>
      </c>
      <c r="O777" s="2">
        <v>5.10711E+16</v>
      </c>
      <c r="P777" t="s">
        <v>2400</v>
      </c>
      <c r="Q777" t="s">
        <v>260</v>
      </c>
      <c r="R777" t="s">
        <v>261</v>
      </c>
      <c r="S777" t="s">
        <v>261</v>
      </c>
      <c r="T777" t="s">
        <v>261</v>
      </c>
      <c r="U777" t="s">
        <v>262</v>
      </c>
      <c r="V777" t="s">
        <v>262</v>
      </c>
      <c r="W777" t="s">
        <v>261</v>
      </c>
      <c r="X777" t="s">
        <v>262</v>
      </c>
      <c r="Y777" t="s">
        <v>261</v>
      </c>
      <c r="Z777" t="s">
        <v>409</v>
      </c>
      <c r="AA777" t="s">
        <v>409</v>
      </c>
      <c r="AB777" t="s">
        <v>409</v>
      </c>
      <c r="AC777" t="s">
        <v>409</v>
      </c>
      <c r="AD777" t="s">
        <v>262</v>
      </c>
      <c r="AE777">
        <v>11236399</v>
      </c>
      <c r="AH777" t="s">
        <v>262</v>
      </c>
      <c r="AI777" t="s">
        <v>262</v>
      </c>
      <c r="AJ777" t="s">
        <v>261</v>
      </c>
      <c r="AK777" t="s">
        <v>261</v>
      </c>
      <c r="AM777" t="s">
        <v>262</v>
      </c>
      <c r="AN777" t="s">
        <v>2401</v>
      </c>
    </row>
    <row r="778" spans="1:40" x14ac:dyDescent="0.35">
      <c r="A778">
        <v>4391548</v>
      </c>
      <c r="B778" t="s">
        <v>2402</v>
      </c>
      <c r="C778" t="str">
        <f>"9781783741991"</f>
        <v>9781783741991</v>
      </c>
      <c r="D778" t="str">
        <f>"9781783742004"</f>
        <v>9781783742004</v>
      </c>
      <c r="E778" t="s">
        <v>1807</v>
      </c>
      <c r="F778" t="s">
        <v>1807</v>
      </c>
      <c r="G778" s="1">
        <v>42387</v>
      </c>
      <c r="H778" s="1">
        <v>42457</v>
      </c>
      <c r="I778" t="s">
        <v>189</v>
      </c>
      <c r="J778">
        <v>1</v>
      </c>
      <c r="L778" t="s">
        <v>2403</v>
      </c>
      <c r="M778" t="s">
        <v>199</v>
      </c>
      <c r="O778" t="s">
        <v>2404</v>
      </c>
      <c r="Q778" t="s">
        <v>260</v>
      </c>
      <c r="R778" t="s">
        <v>261</v>
      </c>
      <c r="S778" t="s">
        <v>261</v>
      </c>
      <c r="T778" t="s">
        <v>261</v>
      </c>
      <c r="U778" t="s">
        <v>261</v>
      </c>
      <c r="V778" t="s">
        <v>262</v>
      </c>
      <c r="W778" t="s">
        <v>261</v>
      </c>
      <c r="X778" t="s">
        <v>261</v>
      </c>
      <c r="Y778" t="s">
        <v>261</v>
      </c>
      <c r="Z778" t="s">
        <v>409</v>
      </c>
      <c r="AA778" t="s">
        <v>409</v>
      </c>
      <c r="AB778" t="s">
        <v>409</v>
      </c>
      <c r="AC778" t="s">
        <v>409</v>
      </c>
      <c r="AD778" t="s">
        <v>262</v>
      </c>
      <c r="AE778">
        <v>11187288</v>
      </c>
      <c r="AH778" t="s">
        <v>262</v>
      </c>
      <c r="AI778" t="s">
        <v>262</v>
      </c>
      <c r="AJ778" t="s">
        <v>261</v>
      </c>
      <c r="AK778" t="s">
        <v>261</v>
      </c>
      <c r="AM778" t="s">
        <v>262</v>
      </c>
      <c r="AN778" t="s">
        <v>2405</v>
      </c>
    </row>
    <row r="779" spans="1:40" x14ac:dyDescent="0.35">
      <c r="A779">
        <v>4391550</v>
      </c>
      <c r="B779" t="s">
        <v>2406</v>
      </c>
      <c r="C779" t="str">
        <f>"9781909254961"</f>
        <v>9781909254961</v>
      </c>
      <c r="D779" t="str">
        <f>"9781909254978"</f>
        <v>9781909254978</v>
      </c>
      <c r="E779" t="s">
        <v>1807</v>
      </c>
      <c r="F779" t="s">
        <v>1807</v>
      </c>
      <c r="G779" s="1">
        <v>42401</v>
      </c>
      <c r="H779" s="1">
        <v>42457</v>
      </c>
      <c r="I779" t="s">
        <v>189</v>
      </c>
      <c r="J779">
        <v>1</v>
      </c>
      <c r="L779" t="s">
        <v>2407</v>
      </c>
      <c r="M779" t="s">
        <v>219</v>
      </c>
      <c r="Q779" t="s">
        <v>260</v>
      </c>
      <c r="R779" t="s">
        <v>261</v>
      </c>
      <c r="S779" t="s">
        <v>261</v>
      </c>
      <c r="T779" t="s">
        <v>261</v>
      </c>
      <c r="U779" t="s">
        <v>261</v>
      </c>
      <c r="V779" t="s">
        <v>262</v>
      </c>
      <c r="W779" t="s">
        <v>261</v>
      </c>
      <c r="X779" t="s">
        <v>261</v>
      </c>
      <c r="Y779" t="s">
        <v>261</v>
      </c>
      <c r="Z779" t="s">
        <v>409</v>
      </c>
      <c r="AA779" t="s">
        <v>409</v>
      </c>
      <c r="AB779" t="s">
        <v>409</v>
      </c>
      <c r="AC779" t="s">
        <v>409</v>
      </c>
      <c r="AD779" t="s">
        <v>262</v>
      </c>
      <c r="AE779">
        <v>11187289</v>
      </c>
      <c r="AH779" t="s">
        <v>262</v>
      </c>
      <c r="AI779" t="s">
        <v>262</v>
      </c>
      <c r="AJ779" t="s">
        <v>261</v>
      </c>
      <c r="AK779" t="s">
        <v>261</v>
      </c>
      <c r="AM779" t="s">
        <v>262</v>
      </c>
      <c r="AN779" t="s">
        <v>2408</v>
      </c>
    </row>
    <row r="780" spans="1:40" x14ac:dyDescent="0.35">
      <c r="A780">
        <v>4391574</v>
      </c>
      <c r="B780" t="s">
        <v>2409</v>
      </c>
      <c r="C780" t="str">
        <f>"9789089648075"</f>
        <v>9789089648075</v>
      </c>
      <c r="D780" t="str">
        <f>"9789048526390"</f>
        <v>9789048526390</v>
      </c>
      <c r="E780" t="s">
        <v>361</v>
      </c>
      <c r="F780" t="s">
        <v>361</v>
      </c>
      <c r="G780" s="1">
        <v>42194</v>
      </c>
      <c r="H780" s="1">
        <v>42408</v>
      </c>
      <c r="I780" t="s">
        <v>189</v>
      </c>
      <c r="J780">
        <v>1</v>
      </c>
      <c r="K780" t="s">
        <v>2167</v>
      </c>
      <c r="L780" t="s">
        <v>2410</v>
      </c>
    </row>
    <row r="781" spans="1:40" x14ac:dyDescent="0.35">
      <c r="A781">
        <v>4391575</v>
      </c>
      <c r="B781" t="s">
        <v>2411</v>
      </c>
      <c r="C781" t="str">
        <f>"9789089647559"</f>
        <v>9789089647559</v>
      </c>
      <c r="D781" t="str">
        <f>"9789048525294"</f>
        <v>9789048525294</v>
      </c>
      <c r="E781" t="s">
        <v>361</v>
      </c>
      <c r="F781" t="s">
        <v>361</v>
      </c>
      <c r="G781" s="1">
        <v>42318</v>
      </c>
      <c r="H781" s="1">
        <v>42408</v>
      </c>
      <c r="I781" t="s">
        <v>189</v>
      </c>
      <c r="J781">
        <v>1</v>
      </c>
      <c r="L781" t="s">
        <v>2412</v>
      </c>
      <c r="M781" t="s">
        <v>2413</v>
      </c>
    </row>
    <row r="782" spans="1:40" x14ac:dyDescent="0.35">
      <c r="A782">
        <v>4391582</v>
      </c>
      <c r="B782" t="s">
        <v>2414</v>
      </c>
      <c r="C782" t="str">
        <f>"9789089647597"</f>
        <v>9789089647597</v>
      </c>
      <c r="D782" t="str">
        <f>"9789048525386"</f>
        <v>9789048525386</v>
      </c>
      <c r="E782" t="s">
        <v>361</v>
      </c>
      <c r="F782" t="s">
        <v>361</v>
      </c>
      <c r="G782" s="1">
        <v>42258</v>
      </c>
      <c r="H782" s="1">
        <v>42408</v>
      </c>
      <c r="I782" t="s">
        <v>189</v>
      </c>
      <c r="J782">
        <v>1</v>
      </c>
      <c r="K782" t="s">
        <v>2167</v>
      </c>
      <c r="L782" t="s">
        <v>2168</v>
      </c>
    </row>
    <row r="783" spans="1:40" x14ac:dyDescent="0.35">
      <c r="A783">
        <v>4391593</v>
      </c>
      <c r="B783" t="s">
        <v>2415</v>
      </c>
      <c r="C783" t="str">
        <f>"9789089647412"</f>
        <v>9789089647412</v>
      </c>
      <c r="D783" t="str">
        <f>"9789048524990"</f>
        <v>9789048524990</v>
      </c>
      <c r="E783" t="s">
        <v>361</v>
      </c>
      <c r="F783" t="s">
        <v>361</v>
      </c>
      <c r="G783" s="1">
        <v>42083</v>
      </c>
      <c r="H783" s="1">
        <v>42408</v>
      </c>
      <c r="I783" t="s">
        <v>189</v>
      </c>
      <c r="J783">
        <v>1</v>
      </c>
      <c r="K783" t="s">
        <v>2416</v>
      </c>
      <c r="L783" t="s">
        <v>2417</v>
      </c>
      <c r="M783" t="s">
        <v>329</v>
      </c>
      <c r="N783" t="s">
        <v>2418</v>
      </c>
      <c r="Q783" t="s">
        <v>260</v>
      </c>
      <c r="R783" t="s">
        <v>261</v>
      </c>
      <c r="S783" t="s">
        <v>261</v>
      </c>
      <c r="T783" t="s">
        <v>261</v>
      </c>
      <c r="U783" t="s">
        <v>261</v>
      </c>
      <c r="V783" t="s">
        <v>262</v>
      </c>
      <c r="W783" t="s">
        <v>261</v>
      </c>
      <c r="X783" t="s">
        <v>261</v>
      </c>
      <c r="Y783" t="s">
        <v>261</v>
      </c>
      <c r="Z783" t="s">
        <v>409</v>
      </c>
      <c r="AA783" t="s">
        <v>409</v>
      </c>
      <c r="AB783" t="s">
        <v>409</v>
      </c>
      <c r="AC783" t="s">
        <v>409</v>
      </c>
      <c r="AD783" t="s">
        <v>262</v>
      </c>
      <c r="AE783">
        <v>11153793</v>
      </c>
      <c r="AF783">
        <v>882491</v>
      </c>
      <c r="AH783" t="s">
        <v>262</v>
      </c>
      <c r="AI783" t="s">
        <v>262</v>
      </c>
      <c r="AJ783" t="s">
        <v>261</v>
      </c>
      <c r="AK783" t="s">
        <v>261</v>
      </c>
      <c r="AM783" t="s">
        <v>262</v>
      </c>
      <c r="AN783" t="s">
        <v>2419</v>
      </c>
    </row>
    <row r="784" spans="1:40" x14ac:dyDescent="0.35">
      <c r="A784">
        <v>4391594</v>
      </c>
      <c r="B784" t="s">
        <v>2420</v>
      </c>
      <c r="C784" t="str">
        <f>"9789089648594"</f>
        <v>9789089648594</v>
      </c>
      <c r="D784" t="str">
        <f>"9789048527144"</f>
        <v>9789048527144</v>
      </c>
      <c r="E784" t="s">
        <v>361</v>
      </c>
      <c r="F784" t="s">
        <v>361</v>
      </c>
      <c r="G784" s="1">
        <v>42297</v>
      </c>
      <c r="H784" s="1">
        <v>42408</v>
      </c>
      <c r="I784" t="s">
        <v>189</v>
      </c>
      <c r="J784">
        <v>1</v>
      </c>
      <c r="K784" t="s">
        <v>2421</v>
      </c>
      <c r="L784" t="s">
        <v>2422</v>
      </c>
      <c r="M784" t="s">
        <v>249</v>
      </c>
      <c r="N784" t="s">
        <v>2423</v>
      </c>
      <c r="Q784" t="s">
        <v>260</v>
      </c>
      <c r="R784" t="s">
        <v>261</v>
      </c>
      <c r="S784" t="s">
        <v>261</v>
      </c>
      <c r="T784" t="s">
        <v>261</v>
      </c>
      <c r="U784" t="s">
        <v>261</v>
      </c>
      <c r="V784" t="s">
        <v>262</v>
      </c>
      <c r="W784" t="s">
        <v>261</v>
      </c>
      <c r="X784" t="s">
        <v>261</v>
      </c>
      <c r="Y784" t="s">
        <v>261</v>
      </c>
      <c r="Z784" t="s">
        <v>409</v>
      </c>
      <c r="AA784" t="s">
        <v>409</v>
      </c>
      <c r="AB784" t="s">
        <v>409</v>
      </c>
      <c r="AC784" t="s">
        <v>409</v>
      </c>
      <c r="AD784" t="s">
        <v>262</v>
      </c>
      <c r="AE784">
        <v>11153794</v>
      </c>
      <c r="AF784">
        <v>882497</v>
      </c>
      <c r="AH784" t="s">
        <v>262</v>
      </c>
      <c r="AI784" t="s">
        <v>262</v>
      </c>
      <c r="AJ784" t="s">
        <v>261</v>
      </c>
      <c r="AK784" t="s">
        <v>261</v>
      </c>
      <c r="AM784" t="s">
        <v>262</v>
      </c>
      <c r="AN784" t="s">
        <v>2424</v>
      </c>
    </row>
    <row r="785" spans="1:40" x14ac:dyDescent="0.35">
      <c r="A785">
        <v>4391597</v>
      </c>
      <c r="B785" t="s">
        <v>2425</v>
      </c>
      <c r="C785" t="str">
        <f>"9789089647481"</f>
        <v>9789089647481</v>
      </c>
      <c r="D785" t="str">
        <f>"9789048525157"</f>
        <v>9789048525157</v>
      </c>
      <c r="E785" t="s">
        <v>361</v>
      </c>
      <c r="F785" t="s">
        <v>361</v>
      </c>
      <c r="G785" s="1">
        <v>42201</v>
      </c>
      <c r="H785" s="1">
        <v>42408</v>
      </c>
      <c r="I785" t="s">
        <v>189</v>
      </c>
      <c r="J785">
        <v>1</v>
      </c>
      <c r="K785" t="s">
        <v>2167</v>
      </c>
      <c r="L785" t="s">
        <v>2426</v>
      </c>
      <c r="M785" t="s">
        <v>210</v>
      </c>
    </row>
    <row r="786" spans="1:40" x14ac:dyDescent="0.35">
      <c r="A786">
        <v>4391598</v>
      </c>
      <c r="B786" t="s">
        <v>2427</v>
      </c>
      <c r="C786" t="str">
        <f>"9789089643780"</f>
        <v>9789089643780</v>
      </c>
      <c r="D786" t="str">
        <f>"9789048515257"</f>
        <v>9789048515257</v>
      </c>
      <c r="E786" t="s">
        <v>361</v>
      </c>
      <c r="F786" t="s">
        <v>361</v>
      </c>
      <c r="G786" s="1">
        <v>42325</v>
      </c>
      <c r="H786" s="1">
        <v>42408</v>
      </c>
      <c r="I786" t="s">
        <v>189</v>
      </c>
      <c r="J786">
        <v>1</v>
      </c>
      <c r="K786" t="s">
        <v>2428</v>
      </c>
      <c r="L786" t="s">
        <v>2429</v>
      </c>
    </row>
    <row r="787" spans="1:40" x14ac:dyDescent="0.35">
      <c r="A787">
        <v>4391599</v>
      </c>
      <c r="B787" t="s">
        <v>2430</v>
      </c>
      <c r="C787" t="str">
        <f>"9789089648334"</f>
        <v>9789089648334</v>
      </c>
      <c r="D787" t="str">
        <f>"9789048526819"</f>
        <v>9789048526819</v>
      </c>
      <c r="E787" t="s">
        <v>361</v>
      </c>
      <c r="F787" t="s">
        <v>361</v>
      </c>
      <c r="G787" s="1">
        <v>42166</v>
      </c>
      <c r="H787" s="1">
        <v>42408</v>
      </c>
      <c r="I787" t="s">
        <v>189</v>
      </c>
      <c r="J787">
        <v>1</v>
      </c>
      <c r="K787" t="s">
        <v>2431</v>
      </c>
      <c r="L787" t="s">
        <v>2432</v>
      </c>
      <c r="M787" t="s">
        <v>239</v>
      </c>
      <c r="N787" t="s">
        <v>2433</v>
      </c>
      <c r="O787" t="s">
        <v>2434</v>
      </c>
      <c r="P787" t="s">
        <v>2435</v>
      </c>
      <c r="Q787" t="s">
        <v>260</v>
      </c>
      <c r="R787" t="s">
        <v>261</v>
      </c>
      <c r="S787" t="s">
        <v>261</v>
      </c>
      <c r="T787" t="s">
        <v>261</v>
      </c>
      <c r="U787" t="s">
        <v>261</v>
      </c>
      <c r="V787" t="s">
        <v>262</v>
      </c>
      <c r="W787" t="s">
        <v>261</v>
      </c>
      <c r="X787" t="s">
        <v>261</v>
      </c>
      <c r="Y787" t="s">
        <v>261</v>
      </c>
      <c r="Z787" t="s">
        <v>409</v>
      </c>
      <c r="AA787" t="s">
        <v>409</v>
      </c>
      <c r="AB787" t="s">
        <v>409</v>
      </c>
      <c r="AC787" t="s">
        <v>409</v>
      </c>
      <c r="AD787" t="s">
        <v>262</v>
      </c>
      <c r="AE787">
        <v>11153797</v>
      </c>
      <c r="AF787">
        <v>882493</v>
      </c>
      <c r="AH787" t="s">
        <v>262</v>
      </c>
      <c r="AI787" t="s">
        <v>262</v>
      </c>
      <c r="AJ787" t="s">
        <v>261</v>
      </c>
      <c r="AK787" t="s">
        <v>261</v>
      </c>
      <c r="AM787" t="s">
        <v>262</v>
      </c>
      <c r="AN787" t="s">
        <v>2436</v>
      </c>
    </row>
    <row r="788" spans="1:40" x14ac:dyDescent="0.35">
      <c r="A788">
        <v>4396596</v>
      </c>
      <c r="B788" t="s">
        <v>2437</v>
      </c>
      <c r="C788" t="str">
        <f>"9781438458632"</f>
        <v>9781438458632</v>
      </c>
      <c r="D788" t="str">
        <f>"9781438458656"</f>
        <v>9781438458656</v>
      </c>
      <c r="E788" t="s">
        <v>2073</v>
      </c>
      <c r="F788" t="s">
        <v>2074</v>
      </c>
      <c r="G788" s="1">
        <v>42430</v>
      </c>
      <c r="H788" s="1">
        <v>42544</v>
      </c>
      <c r="I788" t="s">
        <v>189</v>
      </c>
      <c r="J788">
        <v>1</v>
      </c>
      <c r="K788" t="s">
        <v>2075</v>
      </c>
      <c r="L788" t="s">
        <v>2438</v>
      </c>
    </row>
    <row r="789" spans="1:40" x14ac:dyDescent="0.35">
      <c r="A789">
        <v>4401811</v>
      </c>
      <c r="B789" t="s">
        <v>2439</v>
      </c>
      <c r="C789" t="str">
        <f>"9783110444278"</f>
        <v>9783110444278</v>
      </c>
      <c r="D789" t="str">
        <f>"9783110444285"</f>
        <v>9783110444285</v>
      </c>
      <c r="E789" t="s">
        <v>415</v>
      </c>
      <c r="F789" t="s">
        <v>659</v>
      </c>
      <c r="G789" s="1">
        <v>42398</v>
      </c>
      <c r="H789" s="1">
        <v>42533</v>
      </c>
      <c r="I789" t="s">
        <v>189</v>
      </c>
      <c r="J789">
        <v>1</v>
      </c>
      <c r="L789" t="s">
        <v>2440</v>
      </c>
    </row>
    <row r="790" spans="1:40" x14ac:dyDescent="0.35">
      <c r="A790">
        <v>4401815</v>
      </c>
      <c r="B790" t="s">
        <v>2441</v>
      </c>
      <c r="C790" t="str">
        <f>"9783110444063"</f>
        <v>9783110444063</v>
      </c>
      <c r="D790" t="str">
        <f>"9783110453959"</f>
        <v>9783110453959</v>
      </c>
      <c r="E790" t="s">
        <v>415</v>
      </c>
      <c r="F790" t="s">
        <v>415</v>
      </c>
      <c r="G790" s="1">
        <v>42321</v>
      </c>
      <c r="H790" s="1">
        <v>42533</v>
      </c>
      <c r="I790" t="s">
        <v>189</v>
      </c>
      <c r="J790">
        <v>1</v>
      </c>
      <c r="K790" t="s">
        <v>2442</v>
      </c>
      <c r="L790" t="s">
        <v>2443</v>
      </c>
      <c r="M790" t="s">
        <v>676</v>
      </c>
    </row>
    <row r="791" spans="1:40" x14ac:dyDescent="0.35">
      <c r="A791">
        <v>4412748</v>
      </c>
      <c r="B791" t="s">
        <v>2444</v>
      </c>
      <c r="C791" t="str">
        <f>"9780822360773"</f>
        <v>9780822360773</v>
      </c>
      <c r="D791" t="str">
        <f>"9780822374541"</f>
        <v>9780822374541</v>
      </c>
      <c r="E791" t="s">
        <v>687</v>
      </c>
      <c r="F791" t="s">
        <v>687</v>
      </c>
      <c r="G791" s="1">
        <v>42426</v>
      </c>
      <c r="H791" s="1">
        <v>42446</v>
      </c>
      <c r="I791" t="s">
        <v>189</v>
      </c>
      <c r="J791">
        <v>1</v>
      </c>
      <c r="L791" t="s">
        <v>2445</v>
      </c>
      <c r="M791" t="s">
        <v>210</v>
      </c>
    </row>
    <row r="792" spans="1:40" x14ac:dyDescent="0.35">
      <c r="A792">
        <v>4412751</v>
      </c>
      <c r="B792" t="s">
        <v>2446</v>
      </c>
      <c r="C792" t="str">
        <f>"9780822360292"</f>
        <v>9780822360292</v>
      </c>
      <c r="D792" t="str">
        <f>"9780822374701"</f>
        <v>9780822374701</v>
      </c>
      <c r="E792" t="s">
        <v>687</v>
      </c>
      <c r="F792" t="s">
        <v>687</v>
      </c>
      <c r="G792" s="1">
        <v>42426</v>
      </c>
      <c r="H792" s="1">
        <v>42446</v>
      </c>
      <c r="I792" t="s">
        <v>189</v>
      </c>
      <c r="J792">
        <v>1</v>
      </c>
      <c r="L792" t="s">
        <v>2447</v>
      </c>
      <c r="M792" t="s">
        <v>239</v>
      </c>
    </row>
    <row r="793" spans="1:40" x14ac:dyDescent="0.35">
      <c r="A793">
        <v>4412752</v>
      </c>
      <c r="B793" t="s">
        <v>2448</v>
      </c>
      <c r="C793" t="str">
        <f>"9780822360278"</f>
        <v>9780822360278</v>
      </c>
      <c r="D793" t="str">
        <f>"9780822374725"</f>
        <v>9780822374725</v>
      </c>
      <c r="E793" t="s">
        <v>687</v>
      </c>
      <c r="F793" t="s">
        <v>687</v>
      </c>
      <c r="G793" s="1">
        <v>42405</v>
      </c>
      <c r="H793" s="1">
        <v>42446</v>
      </c>
      <c r="I793" t="s">
        <v>189</v>
      </c>
      <c r="J793">
        <v>1</v>
      </c>
      <c r="K793" t="s">
        <v>2449</v>
      </c>
      <c r="L793" t="s">
        <v>2450</v>
      </c>
      <c r="M793" t="s">
        <v>239</v>
      </c>
    </row>
    <row r="794" spans="1:40" x14ac:dyDescent="0.35">
      <c r="A794">
        <v>4412754</v>
      </c>
      <c r="B794" t="s">
        <v>2451</v>
      </c>
      <c r="C794" t="str">
        <f>"9780822360209"</f>
        <v>9780822360209</v>
      </c>
      <c r="D794" t="str">
        <f>"9780822374848"</f>
        <v>9780822374848</v>
      </c>
      <c r="E794" t="s">
        <v>687</v>
      </c>
      <c r="F794" t="s">
        <v>687</v>
      </c>
      <c r="G794" s="1">
        <v>42363</v>
      </c>
      <c r="H794" s="1">
        <v>42446</v>
      </c>
      <c r="I794" t="s">
        <v>189</v>
      </c>
      <c r="J794">
        <v>1</v>
      </c>
      <c r="K794" t="s">
        <v>2452</v>
      </c>
      <c r="L794" t="s">
        <v>2453</v>
      </c>
      <c r="M794" t="s">
        <v>329</v>
      </c>
    </row>
    <row r="795" spans="1:40" x14ac:dyDescent="0.35">
      <c r="A795">
        <v>4412759</v>
      </c>
      <c r="B795" t="s">
        <v>2454</v>
      </c>
      <c r="C795" t="str">
        <f>"9780822359852"</f>
        <v>9780822359852</v>
      </c>
      <c r="D795" t="str">
        <f>"9780822374954"</f>
        <v>9780822374954</v>
      </c>
      <c r="E795" t="s">
        <v>687</v>
      </c>
      <c r="F795" t="s">
        <v>687</v>
      </c>
      <c r="G795" s="1">
        <v>42363</v>
      </c>
      <c r="H795" s="1">
        <v>42446</v>
      </c>
      <c r="I795" t="s">
        <v>189</v>
      </c>
      <c r="J795">
        <v>1</v>
      </c>
      <c r="K795" t="s">
        <v>2455</v>
      </c>
      <c r="L795" t="s">
        <v>2456</v>
      </c>
      <c r="M795" t="s">
        <v>578</v>
      </c>
      <c r="N795" t="s">
        <v>2457</v>
      </c>
      <c r="O795" s="2">
        <v>782421649089</v>
      </c>
      <c r="Q795" t="s">
        <v>260</v>
      </c>
      <c r="R795" t="s">
        <v>261</v>
      </c>
      <c r="S795" t="s">
        <v>261</v>
      </c>
      <c r="T795" t="s">
        <v>261</v>
      </c>
      <c r="U795" t="s">
        <v>261</v>
      </c>
      <c r="V795" t="s">
        <v>262</v>
      </c>
      <c r="W795" t="s">
        <v>261</v>
      </c>
      <c r="X795" t="s">
        <v>261</v>
      </c>
      <c r="Y795" t="s">
        <v>261</v>
      </c>
      <c r="Z795" t="s">
        <v>409</v>
      </c>
      <c r="AB795" t="s">
        <v>409</v>
      </c>
      <c r="AC795" t="s">
        <v>409</v>
      </c>
      <c r="AD795" t="s">
        <v>262</v>
      </c>
      <c r="AE795">
        <v>11175612</v>
      </c>
      <c r="AF795">
        <v>875425</v>
      </c>
      <c r="AH795" t="s">
        <v>262</v>
      </c>
      <c r="AI795" t="s">
        <v>262</v>
      </c>
      <c r="AJ795" t="s">
        <v>261</v>
      </c>
      <c r="AK795" t="s">
        <v>261</v>
      </c>
      <c r="AM795" t="s">
        <v>262</v>
      </c>
      <c r="AN795" t="s">
        <v>2458</v>
      </c>
    </row>
    <row r="796" spans="1:40" x14ac:dyDescent="0.35">
      <c r="A796">
        <v>4420836</v>
      </c>
      <c r="B796" t="s">
        <v>2459</v>
      </c>
      <c r="C796" t="str">
        <f>"9781438459172"</f>
        <v>9781438459172</v>
      </c>
      <c r="D796" t="str">
        <f>"9781438459189"</f>
        <v>9781438459189</v>
      </c>
      <c r="E796" t="s">
        <v>2073</v>
      </c>
      <c r="F796" t="s">
        <v>2074</v>
      </c>
      <c r="G796" s="1">
        <v>42461</v>
      </c>
      <c r="H796" s="1">
        <v>42544</v>
      </c>
      <c r="I796" t="s">
        <v>189</v>
      </c>
      <c r="J796">
        <v>2</v>
      </c>
      <c r="K796" t="s">
        <v>2075</v>
      </c>
      <c r="L796" t="s">
        <v>2438</v>
      </c>
      <c r="M796" t="s">
        <v>329</v>
      </c>
      <c r="N796" t="s">
        <v>2460</v>
      </c>
      <c r="O796" s="2">
        <v>3063620972982</v>
      </c>
      <c r="P796" t="s">
        <v>2461</v>
      </c>
      <c r="Q796" t="s">
        <v>260</v>
      </c>
      <c r="R796" t="s">
        <v>261</v>
      </c>
      <c r="S796" t="s">
        <v>261</v>
      </c>
      <c r="T796" t="s">
        <v>261</v>
      </c>
      <c r="U796" t="s">
        <v>261</v>
      </c>
      <c r="V796" t="s">
        <v>262</v>
      </c>
      <c r="W796" t="s">
        <v>261</v>
      </c>
      <c r="X796" t="s">
        <v>261</v>
      </c>
      <c r="Y796" t="s">
        <v>261</v>
      </c>
      <c r="Z796" t="s">
        <v>409</v>
      </c>
      <c r="AA796" t="s">
        <v>409</v>
      </c>
      <c r="AB796" t="s">
        <v>409</v>
      </c>
      <c r="AC796" t="s">
        <v>409</v>
      </c>
      <c r="AD796" t="s">
        <v>262</v>
      </c>
      <c r="AE796">
        <v>11228198</v>
      </c>
      <c r="AH796" t="s">
        <v>262</v>
      </c>
      <c r="AI796" t="s">
        <v>262</v>
      </c>
      <c r="AJ796" t="s">
        <v>261</v>
      </c>
      <c r="AK796" t="s">
        <v>261</v>
      </c>
      <c r="AM796" t="s">
        <v>262</v>
      </c>
      <c r="AN796" t="s">
        <v>2462</v>
      </c>
    </row>
    <row r="797" spans="1:40" x14ac:dyDescent="0.35">
      <c r="A797">
        <v>4426419</v>
      </c>
      <c r="B797" t="s">
        <v>2463</v>
      </c>
      <c r="C797" t="str">
        <f>"9783110309232"</f>
        <v>9783110309232</v>
      </c>
      <c r="D797" t="str">
        <f>"9783110311198"</f>
        <v>9783110311198</v>
      </c>
      <c r="E797" t="s">
        <v>415</v>
      </c>
      <c r="F797" t="s">
        <v>415</v>
      </c>
      <c r="G797" s="1">
        <v>42422</v>
      </c>
      <c r="H797" s="1">
        <v>42586</v>
      </c>
      <c r="I797" t="s">
        <v>189</v>
      </c>
      <c r="J797">
        <v>1</v>
      </c>
      <c r="K797" t="s">
        <v>547</v>
      </c>
      <c r="L797" t="s">
        <v>2464</v>
      </c>
    </row>
    <row r="798" spans="1:40" x14ac:dyDescent="0.35">
      <c r="A798">
        <v>4426458</v>
      </c>
      <c r="B798" t="s">
        <v>2465</v>
      </c>
      <c r="C798" t="str">
        <f>"9783110468274"</f>
        <v>9783110468274</v>
      </c>
      <c r="D798" t="str">
        <f>"9783110468298"</f>
        <v>9783110468298</v>
      </c>
      <c r="E798" t="s">
        <v>415</v>
      </c>
      <c r="F798" t="s">
        <v>659</v>
      </c>
      <c r="G798" s="1">
        <v>42422</v>
      </c>
      <c r="H798" s="1">
        <v>42450</v>
      </c>
      <c r="I798" t="s">
        <v>189</v>
      </c>
      <c r="J798">
        <v>1</v>
      </c>
      <c r="L798" t="s">
        <v>2466</v>
      </c>
      <c r="M798" t="s">
        <v>389</v>
      </c>
      <c r="N798" t="s">
        <v>2467</v>
      </c>
      <c r="O798" s="2">
        <v>272092</v>
      </c>
      <c r="Q798" t="s">
        <v>260</v>
      </c>
      <c r="R798" t="s">
        <v>261</v>
      </c>
      <c r="S798" t="s">
        <v>261</v>
      </c>
      <c r="T798" t="s">
        <v>261</v>
      </c>
      <c r="U798" t="s">
        <v>262</v>
      </c>
      <c r="V798" t="s">
        <v>262</v>
      </c>
      <c r="W798" t="s">
        <v>261</v>
      </c>
      <c r="X798" t="s">
        <v>262</v>
      </c>
      <c r="Y798" t="s">
        <v>261</v>
      </c>
      <c r="Z798" t="s">
        <v>409</v>
      </c>
      <c r="AA798" t="s">
        <v>409</v>
      </c>
      <c r="AB798" t="s">
        <v>409</v>
      </c>
      <c r="AC798" t="s">
        <v>409</v>
      </c>
      <c r="AD798" t="s">
        <v>262</v>
      </c>
      <c r="AE798">
        <v>11175810</v>
      </c>
      <c r="AH798" t="s">
        <v>262</v>
      </c>
      <c r="AI798" t="s">
        <v>262</v>
      </c>
      <c r="AJ798" t="s">
        <v>261</v>
      </c>
      <c r="AK798" t="s">
        <v>261</v>
      </c>
      <c r="AM798" t="s">
        <v>262</v>
      </c>
      <c r="AN798" t="s">
        <v>2468</v>
      </c>
    </row>
    <row r="799" spans="1:40" x14ac:dyDescent="0.35">
      <c r="A799">
        <v>4426459</v>
      </c>
      <c r="B799" t="s">
        <v>2469</v>
      </c>
      <c r="C799" t="str">
        <f>"9783110469875"</f>
        <v>9783110469875</v>
      </c>
      <c r="D799" t="str">
        <f>"9783110469882"</f>
        <v>9783110469882</v>
      </c>
      <c r="E799" t="s">
        <v>415</v>
      </c>
      <c r="F799" t="s">
        <v>659</v>
      </c>
      <c r="G799" s="1">
        <v>42398</v>
      </c>
      <c r="H799" s="1">
        <v>42586</v>
      </c>
      <c r="I799" t="s">
        <v>189</v>
      </c>
      <c r="J799">
        <v>1</v>
      </c>
      <c r="L799" t="s">
        <v>2470</v>
      </c>
    </row>
    <row r="800" spans="1:40" x14ac:dyDescent="0.35">
      <c r="A800">
        <v>4426460</v>
      </c>
      <c r="B800" t="s">
        <v>2471</v>
      </c>
      <c r="C800" t="str">
        <f>"9783110470994"</f>
        <v>9783110470994</v>
      </c>
      <c r="D800" t="str">
        <f>"9783110471014"</f>
        <v>9783110471014</v>
      </c>
      <c r="E800" t="s">
        <v>415</v>
      </c>
      <c r="F800" t="s">
        <v>659</v>
      </c>
      <c r="G800" s="1">
        <v>42398</v>
      </c>
      <c r="H800" s="1">
        <v>42443</v>
      </c>
      <c r="I800" t="s">
        <v>189</v>
      </c>
      <c r="J800">
        <v>1</v>
      </c>
      <c r="L800" t="s">
        <v>2472</v>
      </c>
    </row>
    <row r="801" spans="1:40" x14ac:dyDescent="0.35">
      <c r="A801">
        <v>4428572</v>
      </c>
      <c r="B801" t="s">
        <v>2473</v>
      </c>
      <c r="C801" t="str">
        <f>"9783486704815"</f>
        <v>9783486704815</v>
      </c>
      <c r="D801" t="str">
        <f>"9783486853766"</f>
        <v>9783486853766</v>
      </c>
      <c r="E801" t="s">
        <v>415</v>
      </c>
      <c r="F801" t="s">
        <v>665</v>
      </c>
      <c r="G801" s="1">
        <v>40898</v>
      </c>
      <c r="H801" s="1">
        <v>42636</v>
      </c>
      <c r="I801" t="s">
        <v>189</v>
      </c>
      <c r="J801">
        <v>1</v>
      </c>
      <c r="K801" t="s">
        <v>997</v>
      </c>
      <c r="L801" t="s">
        <v>2474</v>
      </c>
      <c r="M801" t="s">
        <v>239</v>
      </c>
      <c r="Q801" t="s">
        <v>408</v>
      </c>
      <c r="R801" t="s">
        <v>261</v>
      </c>
      <c r="S801" t="s">
        <v>261</v>
      </c>
      <c r="T801" t="s">
        <v>261</v>
      </c>
      <c r="U801" t="s">
        <v>262</v>
      </c>
      <c r="V801" t="s">
        <v>262</v>
      </c>
      <c r="W801" t="s">
        <v>261</v>
      </c>
      <c r="X801" t="s">
        <v>262</v>
      </c>
      <c r="Y801" t="s">
        <v>261</v>
      </c>
      <c r="Z801" t="s">
        <v>409</v>
      </c>
      <c r="AA801" t="s">
        <v>409</v>
      </c>
      <c r="AB801" t="s">
        <v>409</v>
      </c>
      <c r="AC801" t="s">
        <v>409</v>
      </c>
      <c r="AD801" t="s">
        <v>261</v>
      </c>
      <c r="AE801">
        <v>11270124</v>
      </c>
      <c r="AH801" t="s">
        <v>262</v>
      </c>
      <c r="AI801" t="s">
        <v>262</v>
      </c>
      <c r="AJ801" t="s">
        <v>261</v>
      </c>
      <c r="AK801" t="s">
        <v>261</v>
      </c>
      <c r="AM801" t="s">
        <v>262</v>
      </c>
      <c r="AN801" t="s">
        <v>2475</v>
      </c>
    </row>
    <row r="802" spans="1:40" x14ac:dyDescent="0.35">
      <c r="A802">
        <v>4428573</v>
      </c>
      <c r="B802" t="s">
        <v>2476</v>
      </c>
      <c r="C802" t="str">
        <f>"9783486591422"</f>
        <v>9783486591422</v>
      </c>
      <c r="D802" t="str">
        <f>"9783486851526"</f>
        <v>9783486851526</v>
      </c>
      <c r="E802" t="s">
        <v>415</v>
      </c>
      <c r="F802" t="s">
        <v>665</v>
      </c>
      <c r="G802" s="1">
        <v>40751</v>
      </c>
      <c r="H802" s="1">
        <v>42636</v>
      </c>
      <c r="I802" t="s">
        <v>189</v>
      </c>
      <c r="J802">
        <v>1</v>
      </c>
      <c r="K802" t="s">
        <v>997</v>
      </c>
      <c r="L802" t="s">
        <v>2228</v>
      </c>
      <c r="M802" t="s">
        <v>239</v>
      </c>
      <c r="O802">
        <v>929</v>
      </c>
      <c r="Q802" t="s">
        <v>408</v>
      </c>
      <c r="R802" t="s">
        <v>261</v>
      </c>
      <c r="S802" t="s">
        <v>261</v>
      </c>
      <c r="T802" t="s">
        <v>261</v>
      </c>
      <c r="U802" t="s">
        <v>262</v>
      </c>
      <c r="V802" t="s">
        <v>262</v>
      </c>
      <c r="W802" t="s">
        <v>261</v>
      </c>
      <c r="X802" t="s">
        <v>262</v>
      </c>
      <c r="Y802" t="s">
        <v>261</v>
      </c>
      <c r="Z802" t="s">
        <v>409</v>
      </c>
      <c r="AA802" t="s">
        <v>409</v>
      </c>
      <c r="AB802" t="s">
        <v>409</v>
      </c>
      <c r="AC802" t="s">
        <v>409</v>
      </c>
      <c r="AD802" t="s">
        <v>261</v>
      </c>
      <c r="AE802">
        <v>11270125</v>
      </c>
      <c r="AH802" t="s">
        <v>262</v>
      </c>
      <c r="AI802" t="s">
        <v>262</v>
      </c>
      <c r="AJ802" t="s">
        <v>261</v>
      </c>
      <c r="AK802" t="s">
        <v>261</v>
      </c>
      <c r="AM802" t="s">
        <v>262</v>
      </c>
      <c r="AN802" t="s">
        <v>2477</v>
      </c>
    </row>
    <row r="803" spans="1:40" x14ac:dyDescent="0.35">
      <c r="A803">
        <v>4442168</v>
      </c>
      <c r="B803" t="s">
        <v>2478</v>
      </c>
      <c r="C803" t="str">
        <f>"9781438459332"</f>
        <v>9781438459332</v>
      </c>
      <c r="D803" t="str">
        <f>"9781438459349"</f>
        <v>9781438459349</v>
      </c>
      <c r="E803" t="s">
        <v>2073</v>
      </c>
      <c r="F803" t="s">
        <v>2074</v>
      </c>
      <c r="G803" s="1">
        <v>42430</v>
      </c>
      <c r="H803" s="1">
        <v>42530</v>
      </c>
      <c r="I803" t="s">
        <v>189</v>
      </c>
      <c r="J803">
        <v>1</v>
      </c>
      <c r="K803" t="s">
        <v>2075</v>
      </c>
      <c r="L803" t="s">
        <v>2479</v>
      </c>
    </row>
    <row r="804" spans="1:40" x14ac:dyDescent="0.35">
      <c r="A804">
        <v>4443132</v>
      </c>
      <c r="B804" t="s">
        <v>2480</v>
      </c>
      <c r="C804" t="str">
        <f>"9789633860830"</f>
        <v>9789633860830</v>
      </c>
      <c r="D804" t="str">
        <f>"9789633860847"</f>
        <v>9789633860847</v>
      </c>
      <c r="E804" t="s">
        <v>1797</v>
      </c>
      <c r="F804" t="s">
        <v>1797</v>
      </c>
      <c r="G804" s="1">
        <v>42370</v>
      </c>
      <c r="H804" s="1">
        <v>42538</v>
      </c>
      <c r="I804" t="s">
        <v>189</v>
      </c>
      <c r="J804">
        <v>1</v>
      </c>
      <c r="K804" t="s">
        <v>2481</v>
      </c>
      <c r="L804" t="s">
        <v>2482</v>
      </c>
    </row>
    <row r="805" spans="1:40" x14ac:dyDescent="0.35">
      <c r="A805">
        <v>4443134</v>
      </c>
      <c r="B805" t="s">
        <v>2483</v>
      </c>
      <c r="C805" t="str">
        <f>"9789633861226"</f>
        <v>9789633861226</v>
      </c>
      <c r="D805" t="str">
        <f>"9789633861462"</f>
        <v>9789633861462</v>
      </c>
      <c r="E805" t="s">
        <v>1797</v>
      </c>
      <c r="F805" t="s">
        <v>1797</v>
      </c>
      <c r="G805" s="1">
        <v>42370</v>
      </c>
      <c r="H805" s="1">
        <v>42529</v>
      </c>
      <c r="I805" t="s">
        <v>189</v>
      </c>
      <c r="J805">
        <v>1</v>
      </c>
      <c r="L805" t="s">
        <v>2484</v>
      </c>
    </row>
    <row r="806" spans="1:40" x14ac:dyDescent="0.35">
      <c r="A806">
        <v>4443140</v>
      </c>
      <c r="B806" t="s">
        <v>2485</v>
      </c>
      <c r="C806" t="str">
        <f>"9789633860922"</f>
        <v>9789633860922</v>
      </c>
      <c r="D806" t="str">
        <f>"9789633860939"</f>
        <v>9789633860939</v>
      </c>
      <c r="E806" t="s">
        <v>1797</v>
      </c>
      <c r="F806" t="s">
        <v>1797</v>
      </c>
      <c r="G806" s="1">
        <v>42278</v>
      </c>
      <c r="H806" s="1">
        <v>42529</v>
      </c>
      <c r="I806" t="s">
        <v>189</v>
      </c>
      <c r="J806">
        <v>1</v>
      </c>
      <c r="L806" t="s">
        <v>1798</v>
      </c>
    </row>
    <row r="807" spans="1:40" x14ac:dyDescent="0.35">
      <c r="A807">
        <v>4451852</v>
      </c>
      <c r="B807" t="s">
        <v>2486</v>
      </c>
      <c r="C807" t="str">
        <f>"9783110440355"</f>
        <v>9783110440355</v>
      </c>
      <c r="D807" t="str">
        <f>"9783110432619"</f>
        <v>9783110432619</v>
      </c>
      <c r="E807" t="s">
        <v>415</v>
      </c>
      <c r="F807" t="s">
        <v>415</v>
      </c>
      <c r="G807" s="1">
        <v>42436</v>
      </c>
      <c r="H807" s="1">
        <v>42442</v>
      </c>
      <c r="I807" t="s">
        <v>189</v>
      </c>
      <c r="J807">
        <v>1</v>
      </c>
      <c r="L807" t="s">
        <v>2487</v>
      </c>
    </row>
    <row r="808" spans="1:40" x14ac:dyDescent="0.35">
      <c r="A808">
        <v>4451854</v>
      </c>
      <c r="B808" t="s">
        <v>2488</v>
      </c>
      <c r="C808" t="str">
        <f>"9783110443479"</f>
        <v>9783110443479</v>
      </c>
      <c r="D808" t="str">
        <f>"9783110444612"</f>
        <v>9783110444612</v>
      </c>
      <c r="E808" t="s">
        <v>415</v>
      </c>
      <c r="F808" t="s">
        <v>415</v>
      </c>
      <c r="G808" s="1">
        <v>42436</v>
      </c>
      <c r="H808" s="1">
        <v>42442</v>
      </c>
      <c r="I808" t="s">
        <v>189</v>
      </c>
      <c r="J808">
        <v>1</v>
      </c>
      <c r="K808" t="s">
        <v>2489</v>
      </c>
      <c r="L808" t="s">
        <v>2490</v>
      </c>
    </row>
    <row r="809" spans="1:40" x14ac:dyDescent="0.35">
      <c r="A809">
        <v>4452833</v>
      </c>
      <c r="B809" t="s">
        <v>2491</v>
      </c>
      <c r="C809" t="str">
        <f>"9780822361060"</f>
        <v>9780822361060</v>
      </c>
      <c r="D809" t="str">
        <f>"9780822374381"</f>
        <v>9780822374381</v>
      </c>
      <c r="E809" t="s">
        <v>687</v>
      </c>
      <c r="F809" t="s">
        <v>687</v>
      </c>
      <c r="G809" s="1">
        <v>42457</v>
      </c>
      <c r="H809" s="1">
        <v>42446</v>
      </c>
      <c r="I809" t="s">
        <v>189</v>
      </c>
      <c r="J809">
        <v>1</v>
      </c>
      <c r="L809" t="s">
        <v>2492</v>
      </c>
      <c r="M809" t="s">
        <v>329</v>
      </c>
      <c r="N809" t="s">
        <v>2493</v>
      </c>
      <c r="O809" t="s">
        <v>2494</v>
      </c>
      <c r="Q809" t="s">
        <v>260</v>
      </c>
      <c r="R809" t="s">
        <v>261</v>
      </c>
      <c r="S809" t="s">
        <v>261</v>
      </c>
      <c r="T809" t="s">
        <v>261</v>
      </c>
      <c r="U809" t="s">
        <v>261</v>
      </c>
      <c r="V809" t="s">
        <v>262</v>
      </c>
      <c r="W809" t="s">
        <v>261</v>
      </c>
      <c r="X809" t="s">
        <v>261</v>
      </c>
      <c r="Y809" t="s">
        <v>261</v>
      </c>
      <c r="Z809" t="s">
        <v>409</v>
      </c>
      <c r="AB809" t="s">
        <v>409</v>
      </c>
      <c r="AC809" t="s">
        <v>409</v>
      </c>
      <c r="AD809" t="s">
        <v>262</v>
      </c>
      <c r="AE809">
        <v>11175521</v>
      </c>
      <c r="AF809">
        <v>902822</v>
      </c>
      <c r="AH809" t="s">
        <v>262</v>
      </c>
      <c r="AI809" t="s">
        <v>262</v>
      </c>
      <c r="AJ809" t="s">
        <v>261</v>
      </c>
      <c r="AK809" t="s">
        <v>261</v>
      </c>
      <c r="AM809" t="s">
        <v>262</v>
      </c>
      <c r="AN809" t="s">
        <v>2495</v>
      </c>
    </row>
    <row r="810" spans="1:40" x14ac:dyDescent="0.35">
      <c r="A810">
        <v>4452847</v>
      </c>
      <c r="B810" t="s">
        <v>2496</v>
      </c>
      <c r="C810" t="str">
        <f>"9780822360261"</f>
        <v>9780822360261</v>
      </c>
      <c r="D810" t="str">
        <f>"9780822374749"</f>
        <v>9780822374749</v>
      </c>
      <c r="E810" t="s">
        <v>687</v>
      </c>
      <c r="F810" t="s">
        <v>687</v>
      </c>
      <c r="G810" s="1">
        <v>42454</v>
      </c>
      <c r="H810" s="1">
        <v>42446</v>
      </c>
      <c r="I810" t="s">
        <v>189</v>
      </c>
      <c r="J810">
        <v>1</v>
      </c>
      <c r="K810" t="s">
        <v>2497</v>
      </c>
      <c r="L810" t="s">
        <v>2498</v>
      </c>
      <c r="M810" t="s">
        <v>316</v>
      </c>
      <c r="N810" t="s">
        <v>2499</v>
      </c>
      <c r="O810" t="s">
        <v>2500</v>
      </c>
      <c r="Q810" t="s">
        <v>260</v>
      </c>
      <c r="R810" t="s">
        <v>261</v>
      </c>
      <c r="S810" t="s">
        <v>261</v>
      </c>
      <c r="T810" t="s">
        <v>261</v>
      </c>
      <c r="U810" t="s">
        <v>261</v>
      </c>
      <c r="V810" t="s">
        <v>262</v>
      </c>
      <c r="W810" t="s">
        <v>261</v>
      </c>
      <c r="X810" t="s">
        <v>261</v>
      </c>
      <c r="Y810" t="s">
        <v>261</v>
      </c>
      <c r="Z810" t="s">
        <v>409</v>
      </c>
      <c r="AB810" t="s">
        <v>409</v>
      </c>
      <c r="AC810" t="s">
        <v>409</v>
      </c>
      <c r="AD810" t="s">
        <v>262</v>
      </c>
      <c r="AE810">
        <v>11175536</v>
      </c>
      <c r="AF810">
        <v>899630</v>
      </c>
      <c r="AH810" t="s">
        <v>262</v>
      </c>
      <c r="AI810" t="s">
        <v>262</v>
      </c>
      <c r="AJ810" t="s">
        <v>261</v>
      </c>
      <c r="AK810" t="s">
        <v>261</v>
      </c>
      <c r="AM810" t="s">
        <v>262</v>
      </c>
      <c r="AN810" t="s">
        <v>2501</v>
      </c>
    </row>
    <row r="811" spans="1:40" x14ac:dyDescent="0.35">
      <c r="A811">
        <v>4452851</v>
      </c>
      <c r="B811" t="s">
        <v>2502</v>
      </c>
      <c r="C811" t="str">
        <f>"9780822360193"</f>
        <v>9780822360193</v>
      </c>
      <c r="D811" t="str">
        <f>"9780822374862"</f>
        <v>9780822374862</v>
      </c>
      <c r="E811" t="s">
        <v>687</v>
      </c>
      <c r="F811" t="s">
        <v>687</v>
      </c>
      <c r="G811" s="1">
        <v>42335</v>
      </c>
      <c r="H811" s="1">
        <v>42446</v>
      </c>
      <c r="I811" t="s">
        <v>189</v>
      </c>
      <c r="J811">
        <v>1</v>
      </c>
      <c r="K811" t="s">
        <v>2503</v>
      </c>
      <c r="L811" t="s">
        <v>2504</v>
      </c>
    </row>
    <row r="812" spans="1:40" x14ac:dyDescent="0.35">
      <c r="A812">
        <v>4454556</v>
      </c>
      <c r="B812" t="s">
        <v>2505</v>
      </c>
      <c r="C812" t="str">
        <f>"9781618111791"</f>
        <v>9781618111791</v>
      </c>
      <c r="D812" t="str">
        <f>"9781618112019"</f>
        <v>9781618112019</v>
      </c>
      <c r="E812" t="s">
        <v>1592</v>
      </c>
      <c r="F812" t="s">
        <v>1592</v>
      </c>
      <c r="G812" s="1">
        <v>42292</v>
      </c>
      <c r="H812" s="1">
        <v>42475</v>
      </c>
      <c r="I812" t="s">
        <v>189</v>
      </c>
      <c r="J812">
        <v>1</v>
      </c>
      <c r="K812" t="s">
        <v>1593</v>
      </c>
      <c r="L812" t="s">
        <v>2506</v>
      </c>
      <c r="M812" t="s">
        <v>199</v>
      </c>
      <c r="N812" t="s">
        <v>2507</v>
      </c>
      <c r="O812" t="s">
        <v>2508</v>
      </c>
      <c r="P812" t="s">
        <v>2509</v>
      </c>
      <c r="Q812" t="s">
        <v>260</v>
      </c>
      <c r="R812" t="s">
        <v>261</v>
      </c>
      <c r="S812" t="s">
        <v>261</v>
      </c>
      <c r="T812" t="s">
        <v>261</v>
      </c>
      <c r="U812" t="s">
        <v>261</v>
      </c>
      <c r="V812" t="s">
        <v>262</v>
      </c>
      <c r="W812" t="s">
        <v>261</v>
      </c>
      <c r="X812" t="s">
        <v>261</v>
      </c>
      <c r="Y812" t="s">
        <v>261</v>
      </c>
      <c r="Z812" t="s">
        <v>409</v>
      </c>
      <c r="AA812" t="s">
        <v>409</v>
      </c>
      <c r="AB812" t="s">
        <v>409</v>
      </c>
      <c r="AC812" t="s">
        <v>409</v>
      </c>
      <c r="AD812" t="s">
        <v>262</v>
      </c>
      <c r="AE812">
        <v>11203426</v>
      </c>
      <c r="AF812">
        <v>907336</v>
      </c>
      <c r="AH812" t="s">
        <v>262</v>
      </c>
      <c r="AI812" t="s">
        <v>262</v>
      </c>
      <c r="AJ812" t="s">
        <v>261</v>
      </c>
      <c r="AK812" t="s">
        <v>261</v>
      </c>
      <c r="AM812" t="s">
        <v>262</v>
      </c>
      <c r="AN812" t="s">
        <v>2510</v>
      </c>
    </row>
    <row r="813" spans="1:40" x14ac:dyDescent="0.35">
      <c r="A813">
        <v>4454557</v>
      </c>
      <c r="B813" t="s">
        <v>2511</v>
      </c>
      <c r="C813" t="str">
        <f>"9781618112606"</f>
        <v>9781618112606</v>
      </c>
      <c r="D813" t="str">
        <f>"9781618117038"</f>
        <v>9781618117038</v>
      </c>
      <c r="E813" t="s">
        <v>1592</v>
      </c>
      <c r="F813" t="s">
        <v>1592</v>
      </c>
      <c r="G813" s="1">
        <v>42231</v>
      </c>
      <c r="H813" s="1">
        <v>42475</v>
      </c>
      <c r="I813" t="s">
        <v>189</v>
      </c>
      <c r="J813">
        <v>1</v>
      </c>
      <c r="K813" t="s">
        <v>1616</v>
      </c>
      <c r="L813" t="s">
        <v>2512</v>
      </c>
    </row>
    <row r="814" spans="1:40" x14ac:dyDescent="0.35">
      <c r="A814">
        <v>4454569</v>
      </c>
      <c r="B814" t="s">
        <v>2513</v>
      </c>
      <c r="C814" t="str">
        <f>"9781618114822"</f>
        <v>9781618114822</v>
      </c>
      <c r="D814" t="str">
        <f>"9781618114839"</f>
        <v>9781618114839</v>
      </c>
      <c r="E814" t="s">
        <v>1592</v>
      </c>
      <c r="F814" t="s">
        <v>1592</v>
      </c>
      <c r="G814" s="1">
        <v>42360</v>
      </c>
      <c r="H814" s="1">
        <v>42495</v>
      </c>
      <c r="I814" t="s">
        <v>189</v>
      </c>
      <c r="J814">
        <v>1</v>
      </c>
      <c r="K814" t="s">
        <v>2514</v>
      </c>
      <c r="L814" t="s">
        <v>2515</v>
      </c>
      <c r="M814" t="s">
        <v>219</v>
      </c>
      <c r="N814" t="s">
        <v>2516</v>
      </c>
      <c r="O814" s="2">
        <v>891733</v>
      </c>
      <c r="P814" t="s">
        <v>2517</v>
      </c>
      <c r="Q814" t="s">
        <v>260</v>
      </c>
      <c r="R814" t="s">
        <v>261</v>
      </c>
      <c r="S814" t="s">
        <v>261</v>
      </c>
      <c r="T814" t="s">
        <v>261</v>
      </c>
      <c r="U814" t="s">
        <v>261</v>
      </c>
      <c r="V814" t="s">
        <v>262</v>
      </c>
      <c r="W814" t="s">
        <v>261</v>
      </c>
      <c r="X814" t="s">
        <v>261</v>
      </c>
      <c r="Y814" t="s">
        <v>261</v>
      </c>
      <c r="Z814" t="s">
        <v>409</v>
      </c>
      <c r="AA814" t="s">
        <v>409</v>
      </c>
      <c r="AB814" t="s">
        <v>409</v>
      </c>
      <c r="AC814" t="s">
        <v>409</v>
      </c>
      <c r="AD814" t="s">
        <v>262</v>
      </c>
      <c r="AE814">
        <v>11205035</v>
      </c>
      <c r="AF814">
        <v>907345</v>
      </c>
      <c r="AH814" t="s">
        <v>262</v>
      </c>
      <c r="AI814" t="s">
        <v>262</v>
      </c>
      <c r="AJ814" t="s">
        <v>261</v>
      </c>
      <c r="AK814" t="s">
        <v>261</v>
      </c>
      <c r="AM814" t="s">
        <v>262</v>
      </c>
      <c r="AN814" t="s">
        <v>2518</v>
      </c>
    </row>
    <row r="815" spans="1:40" x14ac:dyDescent="0.35">
      <c r="A815">
        <v>4458125</v>
      </c>
      <c r="B815" t="s">
        <v>2519</v>
      </c>
      <c r="C815" t="str">
        <f>"9781439912973"</f>
        <v>9781439912973</v>
      </c>
      <c r="D815" t="str">
        <f>"9781439912997"</f>
        <v>9781439912997</v>
      </c>
      <c r="E815" t="s">
        <v>321</v>
      </c>
      <c r="F815" t="s">
        <v>321</v>
      </c>
      <c r="G815" s="1">
        <v>42461</v>
      </c>
      <c r="H815" s="1">
        <v>42454</v>
      </c>
      <c r="I815" t="s">
        <v>189</v>
      </c>
      <c r="J815">
        <v>1</v>
      </c>
      <c r="L815" t="s">
        <v>2520</v>
      </c>
      <c r="M815" t="s">
        <v>578</v>
      </c>
      <c r="N815" t="s">
        <v>2521</v>
      </c>
      <c r="O815" s="2">
        <v>782421592</v>
      </c>
      <c r="P815" t="s">
        <v>2522</v>
      </c>
      <c r="Q815" t="s">
        <v>260</v>
      </c>
      <c r="R815" t="s">
        <v>261</v>
      </c>
      <c r="S815" t="s">
        <v>261</v>
      </c>
      <c r="T815" t="s">
        <v>261</v>
      </c>
      <c r="U815" t="s">
        <v>261</v>
      </c>
      <c r="V815" t="s">
        <v>262</v>
      </c>
      <c r="W815" t="s">
        <v>261</v>
      </c>
      <c r="X815" t="s">
        <v>261</v>
      </c>
      <c r="Y815" t="s">
        <v>261</v>
      </c>
      <c r="Z815" t="s">
        <v>409</v>
      </c>
      <c r="AA815" t="s">
        <v>409</v>
      </c>
      <c r="AB815" t="s">
        <v>409</v>
      </c>
      <c r="AC815" t="s">
        <v>409</v>
      </c>
      <c r="AD815" t="s">
        <v>262</v>
      </c>
      <c r="AE815">
        <v>11177943</v>
      </c>
      <c r="AF815">
        <v>908228</v>
      </c>
      <c r="AH815" t="s">
        <v>262</v>
      </c>
      <c r="AI815" t="s">
        <v>262</v>
      </c>
      <c r="AJ815" t="s">
        <v>261</v>
      </c>
      <c r="AK815" t="s">
        <v>261</v>
      </c>
      <c r="AM815" t="s">
        <v>262</v>
      </c>
      <c r="AN815" t="s">
        <v>2523</v>
      </c>
    </row>
    <row r="816" spans="1:40" x14ac:dyDescent="0.35">
      <c r="A816">
        <v>4504047</v>
      </c>
      <c r="B816" t="s">
        <v>2524</v>
      </c>
      <c r="C816" t="str">
        <f>"9780822361138"</f>
        <v>9780822361138</v>
      </c>
      <c r="D816" t="str">
        <f>"9780822374312"</f>
        <v>9780822374312</v>
      </c>
      <c r="E816" t="s">
        <v>687</v>
      </c>
      <c r="F816" t="s">
        <v>687</v>
      </c>
      <c r="G816" s="1">
        <v>42489</v>
      </c>
      <c r="H816" s="1">
        <v>42497</v>
      </c>
      <c r="I816" t="s">
        <v>189</v>
      </c>
      <c r="J816">
        <v>1</v>
      </c>
      <c r="L816" t="s">
        <v>2525</v>
      </c>
    </row>
    <row r="817" spans="1:40" x14ac:dyDescent="0.35">
      <c r="A817">
        <v>4508516</v>
      </c>
      <c r="B817" t="s">
        <v>2526</v>
      </c>
      <c r="C817" t="str">
        <f>"9783110412055"</f>
        <v>9783110412055</v>
      </c>
      <c r="D817" t="str">
        <f>"9783110419207"</f>
        <v>9783110419207</v>
      </c>
      <c r="E817" t="s">
        <v>415</v>
      </c>
      <c r="F817" t="s">
        <v>415</v>
      </c>
      <c r="G817" s="1">
        <v>42471</v>
      </c>
      <c r="H817" s="1">
        <v>42497</v>
      </c>
      <c r="I817" t="s">
        <v>189</v>
      </c>
      <c r="J817">
        <v>1</v>
      </c>
      <c r="K817" t="s">
        <v>354</v>
      </c>
      <c r="L817" t="s">
        <v>2527</v>
      </c>
      <c r="M817" t="s">
        <v>219</v>
      </c>
      <c r="N817" t="s">
        <v>2528</v>
      </c>
      <c r="O817" t="s">
        <v>2529</v>
      </c>
      <c r="Q817" t="s">
        <v>408</v>
      </c>
      <c r="R817" t="s">
        <v>261</v>
      </c>
      <c r="S817" t="s">
        <v>261</v>
      </c>
      <c r="T817" t="s">
        <v>261</v>
      </c>
      <c r="U817" t="s">
        <v>262</v>
      </c>
      <c r="V817" t="s">
        <v>262</v>
      </c>
      <c r="W817" t="s">
        <v>261</v>
      </c>
      <c r="X817" t="s">
        <v>262</v>
      </c>
      <c r="Y817" t="s">
        <v>261</v>
      </c>
      <c r="Z817" t="s">
        <v>409</v>
      </c>
      <c r="AA817" t="s">
        <v>409</v>
      </c>
      <c r="AB817" t="s">
        <v>409</v>
      </c>
      <c r="AC817" t="s">
        <v>409</v>
      </c>
      <c r="AD817" t="s">
        <v>262</v>
      </c>
      <c r="AE817">
        <v>11207585</v>
      </c>
      <c r="AH817" t="s">
        <v>262</v>
      </c>
      <c r="AI817" t="s">
        <v>262</v>
      </c>
      <c r="AJ817" t="s">
        <v>261</v>
      </c>
      <c r="AK817" t="s">
        <v>261</v>
      </c>
      <c r="AM817" t="s">
        <v>262</v>
      </c>
      <c r="AN817" t="s">
        <v>2530</v>
      </c>
    </row>
    <row r="818" spans="1:40" x14ac:dyDescent="0.35">
      <c r="A818">
        <v>4508528</v>
      </c>
      <c r="B818" t="s">
        <v>2531</v>
      </c>
      <c r="C818" t="str">
        <f>"9783110440089"</f>
        <v>9783110440089</v>
      </c>
      <c r="D818" t="str">
        <f>"9783110440096"</f>
        <v>9783110440096</v>
      </c>
      <c r="E818" t="s">
        <v>415</v>
      </c>
      <c r="F818" t="s">
        <v>659</v>
      </c>
      <c r="G818" s="1">
        <v>42485</v>
      </c>
      <c r="H818" s="1">
        <v>42497</v>
      </c>
      <c r="I818" t="s">
        <v>189</v>
      </c>
      <c r="J818">
        <v>1</v>
      </c>
      <c r="L818" t="s">
        <v>2532</v>
      </c>
      <c r="M818" t="s">
        <v>389</v>
      </c>
      <c r="N818" t="s">
        <v>2533</v>
      </c>
      <c r="O818" t="s">
        <v>2534</v>
      </c>
      <c r="P818" t="s">
        <v>2535</v>
      </c>
      <c r="Q818" t="s">
        <v>260</v>
      </c>
      <c r="R818" t="s">
        <v>261</v>
      </c>
      <c r="S818" t="s">
        <v>261</v>
      </c>
      <c r="T818" t="s">
        <v>261</v>
      </c>
      <c r="U818" t="s">
        <v>262</v>
      </c>
      <c r="V818" t="s">
        <v>262</v>
      </c>
      <c r="W818" t="s">
        <v>261</v>
      </c>
      <c r="X818" t="s">
        <v>262</v>
      </c>
      <c r="Y818" t="s">
        <v>261</v>
      </c>
      <c r="Z818" t="s">
        <v>409</v>
      </c>
      <c r="AA818" t="s">
        <v>409</v>
      </c>
      <c r="AB818" t="s">
        <v>409</v>
      </c>
      <c r="AC818" t="s">
        <v>409</v>
      </c>
      <c r="AD818" t="s">
        <v>262</v>
      </c>
      <c r="AE818">
        <v>11207597</v>
      </c>
      <c r="AH818" t="s">
        <v>262</v>
      </c>
      <c r="AI818" t="s">
        <v>262</v>
      </c>
      <c r="AJ818" t="s">
        <v>261</v>
      </c>
      <c r="AK818" t="s">
        <v>261</v>
      </c>
      <c r="AM818" t="s">
        <v>262</v>
      </c>
      <c r="AN818" t="s">
        <v>2536</v>
      </c>
    </row>
    <row r="819" spans="1:40" x14ac:dyDescent="0.35">
      <c r="A819">
        <v>4508546</v>
      </c>
      <c r="B819" t="s">
        <v>2537</v>
      </c>
      <c r="C819" t="str">
        <f>"9783110468656"</f>
        <v>9783110468656</v>
      </c>
      <c r="D819" t="str">
        <f>"9783110468663"</f>
        <v>9783110468663</v>
      </c>
      <c r="E819" t="s">
        <v>415</v>
      </c>
      <c r="F819" t="s">
        <v>659</v>
      </c>
      <c r="G819" s="1">
        <v>42450</v>
      </c>
      <c r="H819" s="1">
        <v>42499</v>
      </c>
      <c r="I819" t="s">
        <v>189</v>
      </c>
      <c r="J819">
        <v>1</v>
      </c>
      <c r="L819" t="s">
        <v>2538</v>
      </c>
      <c r="M819" t="s">
        <v>389</v>
      </c>
      <c r="N819" t="s">
        <v>2539</v>
      </c>
      <c r="O819">
        <v>210</v>
      </c>
      <c r="P819" t="s">
        <v>2540</v>
      </c>
      <c r="Q819" t="s">
        <v>260</v>
      </c>
      <c r="R819" t="s">
        <v>261</v>
      </c>
      <c r="S819" t="s">
        <v>261</v>
      </c>
      <c r="T819" t="s">
        <v>261</v>
      </c>
      <c r="U819" t="s">
        <v>262</v>
      </c>
      <c r="V819" t="s">
        <v>262</v>
      </c>
      <c r="W819" t="s">
        <v>261</v>
      </c>
      <c r="X819" t="s">
        <v>262</v>
      </c>
      <c r="Y819" t="s">
        <v>261</v>
      </c>
      <c r="Z819" t="s">
        <v>409</v>
      </c>
      <c r="AA819" t="s">
        <v>409</v>
      </c>
      <c r="AB819" t="s">
        <v>409</v>
      </c>
      <c r="AC819" t="s">
        <v>409</v>
      </c>
      <c r="AD819" t="s">
        <v>262</v>
      </c>
      <c r="AE819">
        <v>11210244</v>
      </c>
      <c r="AH819" t="s">
        <v>262</v>
      </c>
      <c r="AI819" t="s">
        <v>262</v>
      </c>
      <c r="AJ819" t="s">
        <v>261</v>
      </c>
      <c r="AK819" t="s">
        <v>261</v>
      </c>
      <c r="AM819" t="s">
        <v>262</v>
      </c>
      <c r="AN819" t="s">
        <v>2541</v>
      </c>
    </row>
    <row r="820" spans="1:40" x14ac:dyDescent="0.35">
      <c r="A820">
        <v>4508547</v>
      </c>
      <c r="B820" t="s">
        <v>2542</v>
      </c>
      <c r="C820" t="str">
        <f>"9783110469516"</f>
        <v>9783110469516</v>
      </c>
      <c r="D820" t="str">
        <f>"9783110469592"</f>
        <v>9783110469592</v>
      </c>
      <c r="E820" t="s">
        <v>415</v>
      </c>
      <c r="F820" t="s">
        <v>659</v>
      </c>
      <c r="G820" s="1">
        <v>42485</v>
      </c>
      <c r="H820" s="1">
        <v>42497</v>
      </c>
      <c r="I820" t="s">
        <v>189</v>
      </c>
      <c r="J820">
        <v>1</v>
      </c>
      <c r="L820" t="s">
        <v>2543</v>
      </c>
    </row>
    <row r="821" spans="1:40" x14ac:dyDescent="0.35">
      <c r="A821">
        <v>4512191</v>
      </c>
      <c r="B821" t="s">
        <v>2544</v>
      </c>
      <c r="C821" t="str">
        <f>"9781783741380"</f>
        <v>9781783741380</v>
      </c>
      <c r="D821" t="str">
        <f>"9781783741397"</f>
        <v>9781783741397</v>
      </c>
      <c r="E821" t="s">
        <v>1807</v>
      </c>
      <c r="F821" t="s">
        <v>1807</v>
      </c>
      <c r="G821" s="1">
        <v>42408</v>
      </c>
      <c r="H821" s="1">
        <v>43131</v>
      </c>
      <c r="I821" t="s">
        <v>189</v>
      </c>
      <c r="J821">
        <v>1</v>
      </c>
      <c r="K821" t="s">
        <v>2545</v>
      </c>
      <c r="L821" t="s">
        <v>2546</v>
      </c>
      <c r="M821" t="s">
        <v>1318</v>
      </c>
      <c r="O821" s="2">
        <v>510712</v>
      </c>
      <c r="Q821" t="s">
        <v>260</v>
      </c>
      <c r="R821" t="s">
        <v>261</v>
      </c>
      <c r="S821" t="s">
        <v>261</v>
      </c>
      <c r="T821" t="s">
        <v>261</v>
      </c>
      <c r="U821" t="s">
        <v>261</v>
      </c>
      <c r="V821" t="s">
        <v>262</v>
      </c>
      <c r="W821" t="s">
        <v>261</v>
      </c>
      <c r="X821" t="s">
        <v>261</v>
      </c>
      <c r="Y821" t="s">
        <v>261</v>
      </c>
      <c r="Z821" t="s">
        <v>409</v>
      </c>
      <c r="AA821" t="s">
        <v>409</v>
      </c>
      <c r="AB821" t="s">
        <v>409</v>
      </c>
      <c r="AC821" t="s">
        <v>409</v>
      </c>
      <c r="AD821" t="s">
        <v>262</v>
      </c>
      <c r="AE821">
        <v>11503757</v>
      </c>
      <c r="AH821" t="s">
        <v>262</v>
      </c>
      <c r="AI821" t="s">
        <v>262</v>
      </c>
      <c r="AJ821" t="s">
        <v>261</v>
      </c>
      <c r="AK821" t="s">
        <v>261</v>
      </c>
      <c r="AM821" t="s">
        <v>262</v>
      </c>
      <c r="AN821" t="s">
        <v>2547</v>
      </c>
    </row>
    <row r="822" spans="1:40" x14ac:dyDescent="0.35">
      <c r="A822">
        <v>4512192</v>
      </c>
      <c r="B822" t="s">
        <v>2548</v>
      </c>
      <c r="C822" t="str">
        <f>"9781783741847"</f>
        <v>9781783741847</v>
      </c>
      <c r="D822" t="str">
        <f>"9781783741854"</f>
        <v>9781783741854</v>
      </c>
      <c r="E822" t="s">
        <v>1807</v>
      </c>
      <c r="F822" t="s">
        <v>1807</v>
      </c>
      <c r="G822" s="1">
        <v>42426</v>
      </c>
      <c r="H822" s="1">
        <v>43132</v>
      </c>
      <c r="I822" t="s">
        <v>189</v>
      </c>
      <c r="J822">
        <v>1</v>
      </c>
      <c r="L822" t="s">
        <v>2549</v>
      </c>
      <c r="M822" t="s">
        <v>535</v>
      </c>
    </row>
    <row r="823" spans="1:40" x14ac:dyDescent="0.35">
      <c r="A823">
        <v>4512193</v>
      </c>
      <c r="B823" t="s">
        <v>2550</v>
      </c>
      <c r="C823" t="str">
        <f>"9781783742196"</f>
        <v>9781783742196</v>
      </c>
      <c r="D823" t="str">
        <f>"9781783742202"</f>
        <v>9781783742202</v>
      </c>
      <c r="E823" t="s">
        <v>1807</v>
      </c>
      <c r="F823" t="s">
        <v>1807</v>
      </c>
      <c r="G823" s="1">
        <v>42471</v>
      </c>
      <c r="H823" s="1">
        <v>43132</v>
      </c>
      <c r="I823" t="s">
        <v>189</v>
      </c>
      <c r="J823">
        <v>1</v>
      </c>
      <c r="K823" t="s">
        <v>1851</v>
      </c>
      <c r="L823" t="s">
        <v>2551</v>
      </c>
      <c r="M823" t="s">
        <v>210</v>
      </c>
      <c r="Q823" t="s">
        <v>260</v>
      </c>
      <c r="R823" t="s">
        <v>261</v>
      </c>
      <c r="S823" t="s">
        <v>261</v>
      </c>
      <c r="T823" t="s">
        <v>261</v>
      </c>
      <c r="U823" t="s">
        <v>261</v>
      </c>
      <c r="V823" t="s">
        <v>262</v>
      </c>
      <c r="W823" t="s">
        <v>261</v>
      </c>
      <c r="X823" t="s">
        <v>261</v>
      </c>
      <c r="Y823" t="s">
        <v>261</v>
      </c>
      <c r="Z823" t="s">
        <v>409</v>
      </c>
      <c r="AA823" t="s">
        <v>409</v>
      </c>
      <c r="AB823" t="s">
        <v>409</v>
      </c>
      <c r="AC823" t="s">
        <v>409</v>
      </c>
      <c r="AD823" t="s">
        <v>262</v>
      </c>
      <c r="AE823">
        <v>11504438</v>
      </c>
      <c r="AH823" t="s">
        <v>262</v>
      </c>
      <c r="AI823" t="s">
        <v>262</v>
      </c>
      <c r="AJ823" t="s">
        <v>261</v>
      </c>
      <c r="AK823" t="s">
        <v>261</v>
      </c>
      <c r="AM823" t="s">
        <v>262</v>
      </c>
      <c r="AN823" t="s">
        <v>2552</v>
      </c>
    </row>
    <row r="824" spans="1:40" x14ac:dyDescent="0.35">
      <c r="A824">
        <v>4522495</v>
      </c>
      <c r="B824" t="s">
        <v>2553</v>
      </c>
      <c r="C824" t="str">
        <f>"9780822360575"</f>
        <v>9780822360575</v>
      </c>
      <c r="D824" t="str">
        <f>"9780822374589"</f>
        <v>9780822374589</v>
      </c>
      <c r="E824" t="s">
        <v>687</v>
      </c>
      <c r="F824" t="s">
        <v>687</v>
      </c>
      <c r="G824" s="1">
        <v>42454</v>
      </c>
      <c r="H824" s="1">
        <v>42707</v>
      </c>
      <c r="I824" t="s">
        <v>189</v>
      </c>
      <c r="J824">
        <v>1</v>
      </c>
      <c r="L824" t="s">
        <v>2554</v>
      </c>
      <c r="M824" t="s">
        <v>239</v>
      </c>
    </row>
    <row r="825" spans="1:40" x14ac:dyDescent="0.35">
      <c r="A825">
        <v>4522496</v>
      </c>
      <c r="B825" t="s">
        <v>2555</v>
      </c>
      <c r="C825" t="str">
        <f>"9780822360810"</f>
        <v>9780822360810</v>
      </c>
      <c r="D825" t="str">
        <f>"9780822374503"</f>
        <v>9780822374503</v>
      </c>
      <c r="E825" t="s">
        <v>687</v>
      </c>
      <c r="F825" t="s">
        <v>687</v>
      </c>
      <c r="G825" s="1">
        <v>42457</v>
      </c>
      <c r="H825" s="1">
        <v>42707</v>
      </c>
      <c r="I825" t="s">
        <v>189</v>
      </c>
      <c r="J825">
        <v>1</v>
      </c>
      <c r="K825" t="s">
        <v>730</v>
      </c>
      <c r="L825" t="s">
        <v>2556</v>
      </c>
      <c r="M825" t="s">
        <v>210</v>
      </c>
    </row>
    <row r="826" spans="1:40" x14ac:dyDescent="0.35">
      <c r="A826">
        <v>4533910</v>
      </c>
      <c r="B826" t="s">
        <v>2557</v>
      </c>
      <c r="C826" t="str">
        <f>"9783110458695"</f>
        <v>9783110458695</v>
      </c>
      <c r="D826" t="str">
        <f>"9783110460582"</f>
        <v>9783110460582</v>
      </c>
      <c r="E826" t="s">
        <v>415</v>
      </c>
      <c r="F826" t="s">
        <v>415</v>
      </c>
      <c r="G826" s="1">
        <v>42514</v>
      </c>
      <c r="H826" s="1">
        <v>42519</v>
      </c>
      <c r="I826" t="s">
        <v>189</v>
      </c>
      <c r="J826">
        <v>1</v>
      </c>
      <c r="K826" t="s">
        <v>2442</v>
      </c>
      <c r="L826" t="s">
        <v>2558</v>
      </c>
      <c r="M826" t="s">
        <v>219</v>
      </c>
      <c r="N826" t="s">
        <v>2559</v>
      </c>
      <c r="O826" t="s">
        <v>2560</v>
      </c>
      <c r="P826" t="s">
        <v>2561</v>
      </c>
      <c r="Q826" t="s">
        <v>260</v>
      </c>
      <c r="R826" t="s">
        <v>261</v>
      </c>
      <c r="S826" t="s">
        <v>261</v>
      </c>
      <c r="T826" t="s">
        <v>261</v>
      </c>
      <c r="U826" t="s">
        <v>262</v>
      </c>
      <c r="V826" t="s">
        <v>262</v>
      </c>
      <c r="W826" t="s">
        <v>261</v>
      </c>
      <c r="X826" t="s">
        <v>262</v>
      </c>
      <c r="Y826" t="s">
        <v>261</v>
      </c>
      <c r="Z826" t="s">
        <v>409</v>
      </c>
      <c r="AA826" t="s">
        <v>409</v>
      </c>
      <c r="AB826" t="s">
        <v>409</v>
      </c>
      <c r="AC826" t="s">
        <v>409</v>
      </c>
      <c r="AD826" t="s">
        <v>262</v>
      </c>
      <c r="AE826">
        <v>11214997</v>
      </c>
      <c r="AH826" t="s">
        <v>262</v>
      </c>
      <c r="AI826" t="s">
        <v>262</v>
      </c>
      <c r="AJ826" t="s">
        <v>261</v>
      </c>
      <c r="AK826" t="s">
        <v>261</v>
      </c>
      <c r="AM826" t="s">
        <v>262</v>
      </c>
      <c r="AN826" t="s">
        <v>2562</v>
      </c>
    </row>
    <row r="827" spans="1:40" x14ac:dyDescent="0.35">
      <c r="A827">
        <v>4539813</v>
      </c>
      <c r="B827" t="s">
        <v>2563</v>
      </c>
      <c r="C827" t="str">
        <f>""</f>
        <v/>
      </c>
      <c r="D827" t="str">
        <f>"9782759206087"</f>
        <v>9782759206087</v>
      </c>
      <c r="E827" t="s">
        <v>1928</v>
      </c>
      <c r="F827" t="s">
        <v>1928</v>
      </c>
      <c r="G827" s="1">
        <v>40179</v>
      </c>
      <c r="H827" s="1">
        <v>42527</v>
      </c>
      <c r="I827" t="s">
        <v>189</v>
      </c>
      <c r="K827" t="s">
        <v>1936</v>
      </c>
      <c r="L827" t="s">
        <v>2564</v>
      </c>
    </row>
    <row r="828" spans="1:40" x14ac:dyDescent="0.35">
      <c r="A828">
        <v>4539833</v>
      </c>
      <c r="B828" t="s">
        <v>2565</v>
      </c>
      <c r="C828" t="str">
        <f>""</f>
        <v/>
      </c>
      <c r="D828" t="str">
        <f>"9782759223800"</f>
        <v>9782759223800</v>
      </c>
      <c r="E828" t="s">
        <v>1928</v>
      </c>
      <c r="F828" t="s">
        <v>1928</v>
      </c>
      <c r="G828" s="1">
        <v>42475</v>
      </c>
      <c r="H828" s="1">
        <v>42527</v>
      </c>
      <c r="I828" t="s">
        <v>189</v>
      </c>
      <c r="J828">
        <v>1</v>
      </c>
      <c r="K828" t="s">
        <v>1936</v>
      </c>
      <c r="L828" t="s">
        <v>2566</v>
      </c>
    </row>
    <row r="829" spans="1:40" x14ac:dyDescent="0.35">
      <c r="A829">
        <v>4539841</v>
      </c>
      <c r="B829" t="s">
        <v>2567</v>
      </c>
      <c r="C829" t="str">
        <f>"9782759224753"</f>
        <v>9782759224753</v>
      </c>
      <c r="D829" t="str">
        <f>"9782759224760"</f>
        <v>9782759224760</v>
      </c>
      <c r="E829" t="s">
        <v>1928</v>
      </c>
      <c r="F829" t="s">
        <v>1928</v>
      </c>
      <c r="G829" s="1">
        <v>42552</v>
      </c>
      <c r="H829" s="1">
        <v>42527</v>
      </c>
      <c r="I829" t="s">
        <v>189</v>
      </c>
      <c r="K829" t="s">
        <v>2568</v>
      </c>
      <c r="L829" t="s">
        <v>2569</v>
      </c>
    </row>
    <row r="830" spans="1:40" x14ac:dyDescent="0.35">
      <c r="A830">
        <v>4539843</v>
      </c>
      <c r="B830" t="s">
        <v>2570</v>
      </c>
      <c r="C830" t="str">
        <f>"9782759224906"</f>
        <v>9782759224906</v>
      </c>
      <c r="D830" t="str">
        <f>"9782759224913"</f>
        <v>9782759224913</v>
      </c>
      <c r="E830" t="s">
        <v>1928</v>
      </c>
      <c r="F830" t="s">
        <v>1928</v>
      </c>
      <c r="G830" s="1">
        <v>42492</v>
      </c>
      <c r="H830" s="1">
        <v>42527</v>
      </c>
      <c r="I830" t="s">
        <v>189</v>
      </c>
      <c r="K830" t="s">
        <v>2571</v>
      </c>
      <c r="L830" t="s">
        <v>92</v>
      </c>
    </row>
    <row r="831" spans="1:40" x14ac:dyDescent="0.35">
      <c r="A831">
        <v>4539845</v>
      </c>
      <c r="B831" t="s">
        <v>2572</v>
      </c>
      <c r="C831" t="str">
        <f>"9782759224692"</f>
        <v>9782759224692</v>
      </c>
      <c r="D831" t="str">
        <f>"9782759224708"</f>
        <v>9782759224708</v>
      </c>
      <c r="E831" t="s">
        <v>1928</v>
      </c>
      <c r="F831" t="s">
        <v>1928</v>
      </c>
      <c r="G831" s="1">
        <v>42516</v>
      </c>
      <c r="H831" s="1">
        <v>42527</v>
      </c>
      <c r="I831" t="s">
        <v>189</v>
      </c>
      <c r="K831" t="s">
        <v>2062</v>
      </c>
      <c r="L831" t="s">
        <v>2573</v>
      </c>
    </row>
    <row r="832" spans="1:40" x14ac:dyDescent="0.35">
      <c r="A832">
        <v>4539904</v>
      </c>
      <c r="B832" t="s">
        <v>2574</v>
      </c>
      <c r="C832" t="str">
        <f>"9782759222025"</f>
        <v>9782759222025</v>
      </c>
      <c r="D832" t="str">
        <f>"9782759222049"</f>
        <v>9782759222049</v>
      </c>
      <c r="E832" t="s">
        <v>1928</v>
      </c>
      <c r="F832" t="s">
        <v>1928</v>
      </c>
      <c r="G832" s="1">
        <v>41821</v>
      </c>
      <c r="H832" s="1">
        <v>42527</v>
      </c>
      <c r="I832" t="s">
        <v>189</v>
      </c>
      <c r="K832" t="s">
        <v>2575</v>
      </c>
      <c r="L832" t="s">
        <v>92</v>
      </c>
    </row>
    <row r="833" spans="1:40" x14ac:dyDescent="0.35">
      <c r="A833">
        <v>4544187</v>
      </c>
      <c r="B833" t="s">
        <v>2576</v>
      </c>
      <c r="C833" t="str">
        <f>"9781438458496"</f>
        <v>9781438458496</v>
      </c>
      <c r="D833" t="str">
        <f>"9781438458519"</f>
        <v>9781438458519</v>
      </c>
      <c r="E833" t="s">
        <v>2073</v>
      </c>
      <c r="F833" t="s">
        <v>2074</v>
      </c>
      <c r="G833" s="1">
        <v>42430</v>
      </c>
      <c r="H833" s="1">
        <v>42544</v>
      </c>
      <c r="I833" t="s">
        <v>189</v>
      </c>
      <c r="J833">
        <v>1</v>
      </c>
      <c r="K833" t="s">
        <v>2075</v>
      </c>
      <c r="L833" t="s">
        <v>2577</v>
      </c>
    </row>
    <row r="834" spans="1:40" x14ac:dyDescent="0.35">
      <c r="A834">
        <v>4556863</v>
      </c>
      <c r="B834" t="s">
        <v>2578</v>
      </c>
      <c r="C834" t="str">
        <f>"9783110453485"</f>
        <v>9783110453485</v>
      </c>
      <c r="D834" t="str">
        <f>"9783110454055"</f>
        <v>9783110454055</v>
      </c>
      <c r="E834" t="s">
        <v>415</v>
      </c>
      <c r="F834" t="s">
        <v>415</v>
      </c>
      <c r="G834" s="1">
        <v>42541</v>
      </c>
      <c r="H834" s="1">
        <v>42533</v>
      </c>
      <c r="I834" t="s">
        <v>189</v>
      </c>
      <c r="J834">
        <v>1</v>
      </c>
      <c r="K834" t="s">
        <v>2579</v>
      </c>
      <c r="L834" t="s">
        <v>1268</v>
      </c>
    </row>
    <row r="835" spans="1:40" x14ac:dyDescent="0.35">
      <c r="A835">
        <v>4556866</v>
      </c>
      <c r="B835" t="s">
        <v>2580</v>
      </c>
      <c r="C835" t="str">
        <f>"9783110462982"</f>
        <v>9783110462982</v>
      </c>
      <c r="D835" t="str">
        <f>"9783110463989"</f>
        <v>9783110463989</v>
      </c>
      <c r="E835" t="s">
        <v>415</v>
      </c>
      <c r="F835" t="s">
        <v>415</v>
      </c>
      <c r="G835" s="1">
        <v>42541</v>
      </c>
      <c r="H835" s="1">
        <v>42533</v>
      </c>
      <c r="I835" t="s">
        <v>189</v>
      </c>
      <c r="J835">
        <v>1</v>
      </c>
      <c r="K835" t="s">
        <v>2579</v>
      </c>
      <c r="L835" t="s">
        <v>1268</v>
      </c>
    </row>
    <row r="836" spans="1:40" x14ac:dyDescent="0.35">
      <c r="A836">
        <v>4568848</v>
      </c>
      <c r="B836" t="s">
        <v>2581</v>
      </c>
      <c r="C836" t="str">
        <f>"9781618115263"</f>
        <v>9781618115263</v>
      </c>
      <c r="D836" t="str">
        <f>"9781618115270"</f>
        <v>9781618115270</v>
      </c>
      <c r="E836" t="s">
        <v>1592</v>
      </c>
      <c r="F836" t="s">
        <v>1592</v>
      </c>
      <c r="G836" s="1">
        <v>42628</v>
      </c>
      <c r="H836" s="1">
        <v>42682</v>
      </c>
      <c r="I836" t="s">
        <v>189</v>
      </c>
      <c r="J836">
        <v>1</v>
      </c>
      <c r="K836" t="s">
        <v>1680</v>
      </c>
      <c r="L836" t="s">
        <v>2582</v>
      </c>
    </row>
    <row r="837" spans="1:40" x14ac:dyDescent="0.35">
      <c r="A837">
        <v>4568878</v>
      </c>
      <c r="B837" t="s">
        <v>2583</v>
      </c>
      <c r="C837" t="str">
        <f>"9781618115133"</f>
        <v>9781618115133</v>
      </c>
      <c r="D837" t="str">
        <f>"9781618115140"</f>
        <v>9781618115140</v>
      </c>
      <c r="E837" t="s">
        <v>1592</v>
      </c>
      <c r="F837" t="s">
        <v>1592</v>
      </c>
      <c r="G837" s="1">
        <v>42674</v>
      </c>
      <c r="H837" s="1">
        <v>42682</v>
      </c>
      <c r="I837" t="s">
        <v>189</v>
      </c>
      <c r="J837">
        <v>1</v>
      </c>
      <c r="L837" t="s">
        <v>2584</v>
      </c>
    </row>
    <row r="838" spans="1:40" x14ac:dyDescent="0.35">
      <c r="A838">
        <v>4568920</v>
      </c>
      <c r="B838" t="s">
        <v>2585</v>
      </c>
      <c r="C838" t="str">
        <f>"9781618115225"</f>
        <v>9781618115225</v>
      </c>
      <c r="D838" t="str">
        <f>"9781618115232"</f>
        <v>9781618115232</v>
      </c>
      <c r="E838" t="s">
        <v>1592</v>
      </c>
      <c r="F838" t="s">
        <v>1592</v>
      </c>
      <c r="G838" s="1">
        <v>42674</v>
      </c>
      <c r="H838" s="1">
        <v>42682</v>
      </c>
      <c r="I838" t="s">
        <v>189</v>
      </c>
      <c r="J838">
        <v>1</v>
      </c>
      <c r="K838" t="s">
        <v>1652</v>
      </c>
      <c r="L838" t="s">
        <v>2586</v>
      </c>
      <c r="M838" t="s">
        <v>239</v>
      </c>
      <c r="N838" t="s">
        <v>2587</v>
      </c>
      <c r="O838" s="2">
        <v>94053089924052</v>
      </c>
      <c r="P838" t="s">
        <v>2588</v>
      </c>
      <c r="Q838" t="s">
        <v>260</v>
      </c>
      <c r="R838" t="s">
        <v>261</v>
      </c>
      <c r="S838" t="s">
        <v>261</v>
      </c>
      <c r="T838" t="s">
        <v>261</v>
      </c>
      <c r="U838" t="s">
        <v>261</v>
      </c>
      <c r="V838" t="s">
        <v>262</v>
      </c>
      <c r="W838" t="s">
        <v>261</v>
      </c>
      <c r="X838" t="s">
        <v>261</v>
      </c>
      <c r="Y838" t="s">
        <v>261</v>
      </c>
      <c r="Z838" t="s">
        <v>409</v>
      </c>
      <c r="AA838" t="s">
        <v>409</v>
      </c>
      <c r="AB838" t="s">
        <v>409</v>
      </c>
      <c r="AC838" t="s">
        <v>409</v>
      </c>
      <c r="AD838" t="s">
        <v>262</v>
      </c>
      <c r="AE838">
        <v>11295395</v>
      </c>
      <c r="AF838">
        <v>966504</v>
      </c>
      <c r="AH838" t="s">
        <v>262</v>
      </c>
      <c r="AI838" t="s">
        <v>262</v>
      </c>
      <c r="AJ838" t="s">
        <v>261</v>
      </c>
      <c r="AK838" t="s">
        <v>261</v>
      </c>
      <c r="AM838" t="s">
        <v>262</v>
      </c>
      <c r="AN838" t="s">
        <v>2589</v>
      </c>
    </row>
    <row r="839" spans="1:40" x14ac:dyDescent="0.35">
      <c r="A839">
        <v>4573567</v>
      </c>
      <c r="B839" t="s">
        <v>2590</v>
      </c>
      <c r="C839" t="str">
        <f>"9782759224364"</f>
        <v>9782759224364</v>
      </c>
      <c r="D839" t="str">
        <f>"9782759224371"</f>
        <v>9782759224371</v>
      </c>
      <c r="E839" t="s">
        <v>1928</v>
      </c>
      <c r="F839" t="s">
        <v>1928</v>
      </c>
      <c r="G839" s="1">
        <v>42537</v>
      </c>
      <c r="H839" s="1">
        <v>42551</v>
      </c>
      <c r="I839" t="s">
        <v>189</v>
      </c>
      <c r="K839" t="s">
        <v>1936</v>
      </c>
      <c r="L839" t="s">
        <v>37</v>
      </c>
    </row>
    <row r="840" spans="1:40" x14ac:dyDescent="0.35">
      <c r="A840">
        <v>4592473</v>
      </c>
      <c r="B840" t="s">
        <v>2591</v>
      </c>
      <c r="C840" t="str">
        <f>"9781783741632"</f>
        <v>9781783741632</v>
      </c>
      <c r="D840" t="str">
        <f>"9781783741649"</f>
        <v>9781783741649</v>
      </c>
      <c r="E840" t="s">
        <v>1807</v>
      </c>
      <c r="F840" t="s">
        <v>1807</v>
      </c>
      <c r="G840" s="1">
        <v>42505</v>
      </c>
      <c r="H840" s="1">
        <v>42661</v>
      </c>
      <c r="I840" t="s">
        <v>189</v>
      </c>
      <c r="J840">
        <v>1</v>
      </c>
      <c r="K840" t="s">
        <v>2392</v>
      </c>
      <c r="L840" t="s">
        <v>2592</v>
      </c>
      <c r="M840" t="s">
        <v>2194</v>
      </c>
    </row>
    <row r="841" spans="1:40" x14ac:dyDescent="0.35">
      <c r="A841">
        <v>4592474</v>
      </c>
      <c r="B841" t="s">
        <v>2593</v>
      </c>
      <c r="C841" t="str">
        <f>"9781783742141"</f>
        <v>9781783742141</v>
      </c>
      <c r="D841" t="str">
        <f>"9781783742158"</f>
        <v>9781783742158</v>
      </c>
      <c r="E841" t="s">
        <v>1807</v>
      </c>
      <c r="F841" t="s">
        <v>1807</v>
      </c>
      <c r="G841" s="1">
        <v>42562</v>
      </c>
      <c r="H841" s="1">
        <v>42661</v>
      </c>
      <c r="I841" t="s">
        <v>189</v>
      </c>
      <c r="J841">
        <v>1</v>
      </c>
      <c r="L841" t="s">
        <v>2594</v>
      </c>
      <c r="M841" t="s">
        <v>578</v>
      </c>
      <c r="Q841" t="s">
        <v>260</v>
      </c>
      <c r="R841" t="s">
        <v>261</v>
      </c>
      <c r="S841" t="s">
        <v>261</v>
      </c>
      <c r="T841" t="s">
        <v>261</v>
      </c>
      <c r="U841" t="s">
        <v>261</v>
      </c>
      <c r="V841" t="s">
        <v>262</v>
      </c>
      <c r="W841" t="s">
        <v>261</v>
      </c>
      <c r="X841" t="s">
        <v>261</v>
      </c>
      <c r="Y841" t="s">
        <v>261</v>
      </c>
      <c r="Z841" t="s">
        <v>409</v>
      </c>
      <c r="AA841" t="s">
        <v>409</v>
      </c>
      <c r="AB841" t="s">
        <v>409</v>
      </c>
      <c r="AC841" t="s">
        <v>409</v>
      </c>
      <c r="AD841" t="s">
        <v>262</v>
      </c>
      <c r="AE841">
        <v>11283446</v>
      </c>
      <c r="AH841" t="s">
        <v>262</v>
      </c>
      <c r="AI841" t="s">
        <v>262</v>
      </c>
      <c r="AJ841" t="s">
        <v>261</v>
      </c>
      <c r="AK841" t="s">
        <v>261</v>
      </c>
      <c r="AM841" t="s">
        <v>262</v>
      </c>
      <c r="AN841" t="s">
        <v>2595</v>
      </c>
    </row>
    <row r="842" spans="1:40" x14ac:dyDescent="0.35">
      <c r="A842">
        <v>4592475</v>
      </c>
      <c r="B842" t="s">
        <v>2596</v>
      </c>
      <c r="C842" t="str">
        <f>"9781783742295"</f>
        <v>9781783742295</v>
      </c>
      <c r="D842" t="str">
        <f>"9781783742301"</f>
        <v>9781783742301</v>
      </c>
      <c r="E842" t="s">
        <v>1807</v>
      </c>
      <c r="F842" t="s">
        <v>1807</v>
      </c>
      <c r="G842" s="1">
        <v>42520</v>
      </c>
      <c r="H842" s="1">
        <v>42661</v>
      </c>
      <c r="I842" t="s">
        <v>189</v>
      </c>
      <c r="J842">
        <v>1</v>
      </c>
      <c r="L842" t="s">
        <v>2597</v>
      </c>
      <c r="M842" t="s">
        <v>316</v>
      </c>
    </row>
    <row r="843" spans="1:40" x14ac:dyDescent="0.35">
      <c r="A843">
        <v>4592476</v>
      </c>
      <c r="B843" t="s">
        <v>2598</v>
      </c>
      <c r="C843" t="str">
        <f>"9781783742448"</f>
        <v>9781783742448</v>
      </c>
      <c r="D843" t="str">
        <f>"9781783742455"</f>
        <v>9781783742455</v>
      </c>
      <c r="E843" t="s">
        <v>1807</v>
      </c>
      <c r="F843" t="s">
        <v>1807</v>
      </c>
      <c r="G843" s="1">
        <v>42569</v>
      </c>
      <c r="H843" s="1">
        <v>42661</v>
      </c>
      <c r="I843" t="s">
        <v>189</v>
      </c>
      <c r="J843">
        <v>1</v>
      </c>
      <c r="L843" t="s">
        <v>2599</v>
      </c>
      <c r="M843" t="s">
        <v>329</v>
      </c>
    </row>
    <row r="844" spans="1:40" x14ac:dyDescent="0.35">
      <c r="A844">
        <v>4592478</v>
      </c>
      <c r="B844" t="s">
        <v>2600</v>
      </c>
      <c r="C844" t="str">
        <f>"9781909254916"</f>
        <v>9781909254916</v>
      </c>
      <c r="D844" t="str">
        <f>"9781909254923"</f>
        <v>9781909254923</v>
      </c>
      <c r="E844" t="s">
        <v>1807</v>
      </c>
      <c r="F844" t="s">
        <v>1807</v>
      </c>
      <c r="G844" s="1">
        <v>42541</v>
      </c>
      <c r="H844" s="1">
        <v>42661</v>
      </c>
      <c r="I844" t="s">
        <v>189</v>
      </c>
      <c r="J844">
        <v>1</v>
      </c>
      <c r="K844" t="s">
        <v>2114</v>
      </c>
      <c r="L844" t="s">
        <v>1922</v>
      </c>
    </row>
    <row r="845" spans="1:40" x14ac:dyDescent="0.35">
      <c r="A845">
        <v>4595498</v>
      </c>
      <c r="B845" t="s">
        <v>2601</v>
      </c>
      <c r="C845" t="str">
        <f>"9783110417937"</f>
        <v>9783110417937</v>
      </c>
      <c r="D845" t="str">
        <f>"9783110417944"</f>
        <v>9783110417944</v>
      </c>
      <c r="E845" t="s">
        <v>346</v>
      </c>
      <c r="F845" t="s">
        <v>346</v>
      </c>
      <c r="G845" s="1">
        <v>42562</v>
      </c>
      <c r="H845" s="1">
        <v>42568</v>
      </c>
      <c r="I845" t="s">
        <v>189</v>
      </c>
      <c r="J845">
        <v>1</v>
      </c>
      <c r="K845" t="s">
        <v>1159</v>
      </c>
      <c r="L845" t="s">
        <v>2602</v>
      </c>
    </row>
    <row r="846" spans="1:40" x14ac:dyDescent="0.35">
      <c r="A846">
        <v>4603083</v>
      </c>
      <c r="B846" t="s">
        <v>2603</v>
      </c>
      <c r="C846" t="str">
        <f>"9789089645241"</f>
        <v>9789089645241</v>
      </c>
      <c r="D846" t="str">
        <f>"9789048518654"</f>
        <v>9789048518654</v>
      </c>
      <c r="E846" t="s">
        <v>361</v>
      </c>
      <c r="F846" t="s">
        <v>361</v>
      </c>
      <c r="G846" s="1">
        <v>42556</v>
      </c>
      <c r="H846" s="1">
        <v>42572</v>
      </c>
      <c r="I846" t="s">
        <v>189</v>
      </c>
      <c r="J846">
        <v>1</v>
      </c>
      <c r="K846" t="s">
        <v>2428</v>
      </c>
      <c r="L846" t="s">
        <v>2604</v>
      </c>
      <c r="M846" t="s">
        <v>210</v>
      </c>
      <c r="N846" t="s">
        <v>2605</v>
      </c>
      <c r="Q846" t="s">
        <v>260</v>
      </c>
      <c r="R846" t="s">
        <v>261</v>
      </c>
      <c r="S846" t="s">
        <v>261</v>
      </c>
      <c r="T846" t="s">
        <v>261</v>
      </c>
      <c r="U846" t="s">
        <v>261</v>
      </c>
      <c r="V846" t="s">
        <v>262</v>
      </c>
      <c r="W846" t="s">
        <v>261</v>
      </c>
      <c r="X846" t="s">
        <v>261</v>
      </c>
      <c r="Y846" t="s">
        <v>261</v>
      </c>
      <c r="Z846" t="s">
        <v>409</v>
      </c>
      <c r="AA846" t="s">
        <v>409</v>
      </c>
      <c r="AB846" t="s">
        <v>409</v>
      </c>
      <c r="AC846" t="s">
        <v>409</v>
      </c>
      <c r="AD846" t="s">
        <v>262</v>
      </c>
      <c r="AE846">
        <v>11237910</v>
      </c>
      <c r="AF846">
        <v>942149</v>
      </c>
      <c r="AH846" t="s">
        <v>262</v>
      </c>
      <c r="AI846" t="s">
        <v>262</v>
      </c>
      <c r="AJ846" t="s">
        <v>261</v>
      </c>
      <c r="AK846" t="s">
        <v>261</v>
      </c>
      <c r="AM846" t="s">
        <v>262</v>
      </c>
      <c r="AN846" t="s">
        <v>2606</v>
      </c>
    </row>
    <row r="847" spans="1:40" x14ac:dyDescent="0.35">
      <c r="A847">
        <v>4603722</v>
      </c>
      <c r="B847" t="s">
        <v>2607</v>
      </c>
      <c r="C847" t="str">
        <f>"9781438459394"</f>
        <v>9781438459394</v>
      </c>
      <c r="D847" t="str">
        <f>"9781438459417"</f>
        <v>9781438459417</v>
      </c>
      <c r="E847" t="s">
        <v>2073</v>
      </c>
      <c r="F847" t="s">
        <v>2074</v>
      </c>
      <c r="G847" s="1">
        <v>42430</v>
      </c>
      <c r="H847" s="1">
        <v>42573</v>
      </c>
      <c r="I847" t="s">
        <v>189</v>
      </c>
      <c r="J847">
        <v>1</v>
      </c>
      <c r="K847" t="s">
        <v>2085</v>
      </c>
      <c r="L847" t="s">
        <v>2608</v>
      </c>
      <c r="M847" t="s">
        <v>210</v>
      </c>
      <c r="N847" t="s">
        <v>2609</v>
      </c>
      <c r="O847">
        <v>323</v>
      </c>
      <c r="P847" t="s">
        <v>2610</v>
      </c>
      <c r="Q847" t="s">
        <v>260</v>
      </c>
      <c r="R847" t="s">
        <v>261</v>
      </c>
      <c r="S847" t="s">
        <v>261</v>
      </c>
      <c r="T847" t="s">
        <v>261</v>
      </c>
      <c r="U847" t="s">
        <v>261</v>
      </c>
      <c r="V847" t="s">
        <v>262</v>
      </c>
      <c r="W847" t="s">
        <v>261</v>
      </c>
      <c r="X847" t="s">
        <v>261</v>
      </c>
      <c r="Y847" t="s">
        <v>261</v>
      </c>
      <c r="Z847" t="s">
        <v>409</v>
      </c>
      <c r="AA847" t="s">
        <v>409</v>
      </c>
      <c r="AB847" t="s">
        <v>409</v>
      </c>
      <c r="AC847" t="s">
        <v>409</v>
      </c>
      <c r="AD847" t="s">
        <v>262</v>
      </c>
      <c r="AE847">
        <v>11238136</v>
      </c>
      <c r="AH847" t="s">
        <v>262</v>
      </c>
      <c r="AI847" t="s">
        <v>262</v>
      </c>
      <c r="AJ847" t="s">
        <v>261</v>
      </c>
      <c r="AK847" t="s">
        <v>261</v>
      </c>
      <c r="AM847" t="s">
        <v>262</v>
      </c>
      <c r="AN847" t="s">
        <v>2611</v>
      </c>
    </row>
    <row r="848" spans="1:40" x14ac:dyDescent="0.35">
      <c r="A848">
        <v>4618888</v>
      </c>
      <c r="B848" t="s">
        <v>2612</v>
      </c>
      <c r="C848" t="str">
        <f>"9783110473148"</f>
        <v>9783110473148</v>
      </c>
      <c r="D848" t="str">
        <f>"9783110479010"</f>
        <v>9783110479010</v>
      </c>
      <c r="E848" t="s">
        <v>415</v>
      </c>
      <c r="F848" t="s">
        <v>415</v>
      </c>
      <c r="G848" s="1">
        <v>42576</v>
      </c>
      <c r="H848" s="1">
        <v>42582</v>
      </c>
      <c r="I848" t="s">
        <v>189</v>
      </c>
      <c r="J848">
        <v>1</v>
      </c>
      <c r="K848" t="s">
        <v>2442</v>
      </c>
      <c r="L848" t="s">
        <v>121</v>
      </c>
    </row>
    <row r="849" spans="1:40" x14ac:dyDescent="0.35">
      <c r="A849">
        <v>4644580</v>
      </c>
      <c r="B849" t="s">
        <v>2613</v>
      </c>
      <c r="C849" t="str">
        <f>"9781614513230"</f>
        <v>9781614513230</v>
      </c>
      <c r="D849" t="str">
        <f>"9781614512639"</f>
        <v>9781614512639</v>
      </c>
      <c r="E849" t="s">
        <v>346</v>
      </c>
      <c r="F849" t="s">
        <v>346</v>
      </c>
      <c r="G849" s="1">
        <v>42590</v>
      </c>
      <c r="H849" s="1">
        <v>42596</v>
      </c>
      <c r="I849" t="s">
        <v>189</v>
      </c>
      <c r="J849">
        <v>1</v>
      </c>
      <c r="L849" t="s">
        <v>2614</v>
      </c>
      <c r="M849" t="s">
        <v>329</v>
      </c>
      <c r="N849" t="s">
        <v>2615</v>
      </c>
      <c r="O849" s="2">
        <v>305409394</v>
      </c>
      <c r="P849" t="s">
        <v>2616</v>
      </c>
      <c r="Q849" t="s">
        <v>260</v>
      </c>
      <c r="R849" t="s">
        <v>261</v>
      </c>
      <c r="S849" t="s">
        <v>261</v>
      </c>
      <c r="T849" t="s">
        <v>261</v>
      </c>
      <c r="U849" t="s">
        <v>262</v>
      </c>
      <c r="V849" t="s">
        <v>262</v>
      </c>
      <c r="W849" t="s">
        <v>261</v>
      </c>
      <c r="X849" t="s">
        <v>262</v>
      </c>
      <c r="Y849" t="s">
        <v>261</v>
      </c>
      <c r="Z849" t="s">
        <v>409</v>
      </c>
      <c r="AA849" t="s">
        <v>409</v>
      </c>
      <c r="AB849" t="s">
        <v>409</v>
      </c>
      <c r="AC849" t="s">
        <v>409</v>
      </c>
      <c r="AD849" t="s">
        <v>262</v>
      </c>
      <c r="AE849">
        <v>11247828</v>
      </c>
      <c r="AH849" t="s">
        <v>262</v>
      </c>
      <c r="AI849" t="s">
        <v>262</v>
      </c>
      <c r="AJ849" t="s">
        <v>261</v>
      </c>
      <c r="AK849" t="s">
        <v>261</v>
      </c>
      <c r="AM849" t="s">
        <v>262</v>
      </c>
      <c r="AN849" t="s">
        <v>2617</v>
      </c>
    </row>
    <row r="850" spans="1:40" x14ac:dyDescent="0.35">
      <c r="A850">
        <v>4644635</v>
      </c>
      <c r="B850" t="s">
        <v>2618</v>
      </c>
      <c r="C850" t="str">
        <f>"9783110449419"</f>
        <v>9783110449419</v>
      </c>
      <c r="D850" t="str">
        <f>"9783110459272"</f>
        <v>9783110459272</v>
      </c>
      <c r="E850" t="s">
        <v>415</v>
      </c>
      <c r="F850" t="s">
        <v>415</v>
      </c>
      <c r="G850" s="1">
        <v>42604</v>
      </c>
      <c r="H850" s="1">
        <v>42596</v>
      </c>
      <c r="I850" t="s">
        <v>189</v>
      </c>
      <c r="J850">
        <v>1</v>
      </c>
      <c r="K850" t="s">
        <v>2619</v>
      </c>
      <c r="L850" t="s">
        <v>2620</v>
      </c>
      <c r="M850" t="s">
        <v>676</v>
      </c>
      <c r="N850" t="s">
        <v>2621</v>
      </c>
      <c r="O850">
        <v>430</v>
      </c>
      <c r="P850" t="s">
        <v>2622</v>
      </c>
      <c r="Q850" t="s">
        <v>408</v>
      </c>
      <c r="R850" t="s">
        <v>261</v>
      </c>
      <c r="S850" t="s">
        <v>261</v>
      </c>
      <c r="T850" t="s">
        <v>261</v>
      </c>
      <c r="U850" t="s">
        <v>262</v>
      </c>
      <c r="V850" t="s">
        <v>262</v>
      </c>
      <c r="W850" t="s">
        <v>261</v>
      </c>
      <c r="X850" t="s">
        <v>262</v>
      </c>
      <c r="Y850" t="s">
        <v>261</v>
      </c>
      <c r="Z850" t="s">
        <v>409</v>
      </c>
      <c r="AA850" t="s">
        <v>409</v>
      </c>
      <c r="AB850" t="s">
        <v>409</v>
      </c>
      <c r="AC850" t="s">
        <v>409</v>
      </c>
      <c r="AD850" t="s">
        <v>262</v>
      </c>
      <c r="AE850">
        <v>11247879</v>
      </c>
      <c r="AH850" t="s">
        <v>262</v>
      </c>
      <c r="AI850" t="s">
        <v>262</v>
      </c>
      <c r="AJ850" t="s">
        <v>261</v>
      </c>
      <c r="AK850" t="s">
        <v>261</v>
      </c>
      <c r="AM850" t="s">
        <v>262</v>
      </c>
      <c r="AN850" t="s">
        <v>2623</v>
      </c>
    </row>
    <row r="851" spans="1:40" x14ac:dyDescent="0.35">
      <c r="A851">
        <v>4647999</v>
      </c>
      <c r="B851" t="s">
        <v>2624</v>
      </c>
      <c r="C851" t="str">
        <f>"9781618115478"</f>
        <v>9781618115478</v>
      </c>
      <c r="D851" t="str">
        <f>"9781618115485"</f>
        <v>9781618115485</v>
      </c>
      <c r="E851" t="s">
        <v>1592</v>
      </c>
      <c r="F851" t="s">
        <v>1592</v>
      </c>
      <c r="G851" s="1">
        <v>42773</v>
      </c>
      <c r="H851" s="1">
        <v>42831</v>
      </c>
      <c r="I851" t="s">
        <v>189</v>
      </c>
      <c r="J851">
        <v>1</v>
      </c>
      <c r="K851" t="s">
        <v>2625</v>
      </c>
      <c r="L851" t="s">
        <v>2626</v>
      </c>
      <c r="M851" t="s">
        <v>239</v>
      </c>
      <c r="N851" t="s">
        <v>2627</v>
      </c>
      <c r="O851" s="2">
        <v>9405318072073</v>
      </c>
      <c r="P851" t="s">
        <v>2628</v>
      </c>
      <c r="Q851" t="s">
        <v>260</v>
      </c>
      <c r="R851" t="s">
        <v>261</v>
      </c>
      <c r="S851" t="s">
        <v>261</v>
      </c>
      <c r="T851" t="s">
        <v>261</v>
      </c>
      <c r="U851" t="s">
        <v>261</v>
      </c>
      <c r="V851" t="s">
        <v>262</v>
      </c>
      <c r="W851" t="s">
        <v>261</v>
      </c>
      <c r="X851" t="s">
        <v>261</v>
      </c>
      <c r="Y851" t="s">
        <v>261</v>
      </c>
      <c r="Z851" t="s">
        <v>409</v>
      </c>
      <c r="AA851" t="s">
        <v>409</v>
      </c>
      <c r="AB851" t="s">
        <v>409</v>
      </c>
      <c r="AC851" t="s">
        <v>409</v>
      </c>
      <c r="AD851" t="s">
        <v>262</v>
      </c>
      <c r="AE851">
        <v>11370288</v>
      </c>
      <c r="AF851">
        <v>1004936</v>
      </c>
      <c r="AH851" t="s">
        <v>262</v>
      </c>
      <c r="AI851" t="s">
        <v>262</v>
      </c>
      <c r="AJ851" t="s">
        <v>261</v>
      </c>
      <c r="AK851" t="s">
        <v>261</v>
      </c>
      <c r="AM851" t="s">
        <v>262</v>
      </c>
      <c r="AN851" t="s">
        <v>2629</v>
      </c>
    </row>
    <row r="852" spans="1:40" x14ac:dyDescent="0.35">
      <c r="A852">
        <v>4659544</v>
      </c>
      <c r="B852" t="s">
        <v>2630</v>
      </c>
      <c r="C852" t="str">
        <f>""</f>
        <v/>
      </c>
      <c r="D852" t="str">
        <f>"9782759225699"</f>
        <v>9782759225699</v>
      </c>
      <c r="E852" t="s">
        <v>1928</v>
      </c>
      <c r="F852" t="s">
        <v>1928</v>
      </c>
      <c r="G852" s="1">
        <v>42607</v>
      </c>
      <c r="H852" s="1">
        <v>42793</v>
      </c>
      <c r="I852" t="s">
        <v>189</v>
      </c>
      <c r="K852" t="s">
        <v>2062</v>
      </c>
      <c r="L852" t="s">
        <v>2631</v>
      </c>
    </row>
    <row r="853" spans="1:40" x14ac:dyDescent="0.35">
      <c r="A853">
        <v>4678354</v>
      </c>
      <c r="B853" t="s">
        <v>2632</v>
      </c>
      <c r="C853" t="str">
        <f>"9781618115584"</f>
        <v>9781618115584</v>
      </c>
      <c r="D853" t="str">
        <f>"9781618115591"</f>
        <v>9781618115591</v>
      </c>
      <c r="E853" t="s">
        <v>1592</v>
      </c>
      <c r="F853" t="s">
        <v>1592</v>
      </c>
      <c r="G853" s="1">
        <v>42766</v>
      </c>
      <c r="H853" s="1">
        <v>42768</v>
      </c>
      <c r="I853" t="s">
        <v>189</v>
      </c>
      <c r="J853">
        <v>1</v>
      </c>
      <c r="K853" t="s">
        <v>1680</v>
      </c>
      <c r="L853" t="s">
        <v>1667</v>
      </c>
      <c r="M853" t="s">
        <v>219</v>
      </c>
      <c r="N853" t="s">
        <v>2633</v>
      </c>
      <c r="O853" s="2">
        <v>8917090044</v>
      </c>
      <c r="P853" t="s">
        <v>2634</v>
      </c>
      <c r="Q853" t="s">
        <v>260</v>
      </c>
      <c r="R853" t="s">
        <v>261</v>
      </c>
      <c r="S853" t="s">
        <v>261</v>
      </c>
      <c r="T853" t="s">
        <v>261</v>
      </c>
      <c r="U853" t="s">
        <v>261</v>
      </c>
      <c r="V853" t="s">
        <v>262</v>
      </c>
      <c r="W853" t="s">
        <v>261</v>
      </c>
      <c r="X853" t="s">
        <v>261</v>
      </c>
      <c r="Y853" t="s">
        <v>261</v>
      </c>
      <c r="Z853" t="s">
        <v>409</v>
      </c>
      <c r="AA853" t="s">
        <v>409</v>
      </c>
      <c r="AB853" t="s">
        <v>409</v>
      </c>
      <c r="AC853" t="s">
        <v>409</v>
      </c>
      <c r="AD853" t="s">
        <v>262</v>
      </c>
      <c r="AE853">
        <v>11336392</v>
      </c>
      <c r="AF853">
        <v>991055</v>
      </c>
      <c r="AH853" t="s">
        <v>262</v>
      </c>
      <c r="AI853" t="s">
        <v>262</v>
      </c>
      <c r="AJ853" t="s">
        <v>261</v>
      </c>
      <c r="AK853" t="s">
        <v>261</v>
      </c>
      <c r="AM853" t="s">
        <v>262</v>
      </c>
      <c r="AN853" t="s">
        <v>2635</v>
      </c>
    </row>
    <row r="854" spans="1:40" x14ac:dyDescent="0.35">
      <c r="A854">
        <v>4691382</v>
      </c>
      <c r="B854" t="s">
        <v>2636</v>
      </c>
      <c r="C854" t="str">
        <f>"9783110419351"</f>
        <v>9783110419351</v>
      </c>
      <c r="D854" t="str">
        <f>"9783110418163"</f>
        <v>9783110418163</v>
      </c>
      <c r="E854" t="s">
        <v>346</v>
      </c>
      <c r="F854" t="s">
        <v>2637</v>
      </c>
      <c r="G854" s="1">
        <v>42622</v>
      </c>
      <c r="H854" s="1">
        <v>42631</v>
      </c>
      <c r="I854" t="s">
        <v>189</v>
      </c>
      <c r="J854">
        <v>1</v>
      </c>
      <c r="K854" t="s">
        <v>2638</v>
      </c>
      <c r="L854" t="s">
        <v>2639</v>
      </c>
    </row>
    <row r="855" spans="1:40" x14ac:dyDescent="0.35">
      <c r="A855">
        <v>4691414</v>
      </c>
      <c r="B855" t="s">
        <v>2640</v>
      </c>
      <c r="C855" t="str">
        <f>"9783110465228"</f>
        <v>9783110465228</v>
      </c>
      <c r="D855" t="str">
        <f>"9783110466966"</f>
        <v>9783110466966</v>
      </c>
      <c r="E855" t="s">
        <v>415</v>
      </c>
      <c r="F855" t="s">
        <v>415</v>
      </c>
      <c r="G855" s="1">
        <v>42639</v>
      </c>
      <c r="H855" s="1">
        <v>42631</v>
      </c>
      <c r="I855" t="s">
        <v>189</v>
      </c>
      <c r="J855">
        <v>1</v>
      </c>
      <c r="K855" t="s">
        <v>2641</v>
      </c>
      <c r="L855" t="s">
        <v>2642</v>
      </c>
      <c r="M855" t="s">
        <v>578</v>
      </c>
    </row>
    <row r="856" spans="1:40" x14ac:dyDescent="0.35">
      <c r="A856">
        <v>4694633</v>
      </c>
      <c r="B856" t="s">
        <v>2643</v>
      </c>
      <c r="C856" t="str">
        <f>"9781783742592"</f>
        <v>9781783742592</v>
      </c>
      <c r="D856" t="str">
        <f>"9781783742608"</f>
        <v>9781783742608</v>
      </c>
      <c r="E856" t="s">
        <v>1807</v>
      </c>
      <c r="F856" t="s">
        <v>1807</v>
      </c>
      <c r="G856" s="1">
        <v>42578</v>
      </c>
      <c r="H856" s="1">
        <v>42661</v>
      </c>
      <c r="I856" t="s">
        <v>189</v>
      </c>
      <c r="J856">
        <v>1</v>
      </c>
      <c r="K856" t="s">
        <v>2644</v>
      </c>
      <c r="L856" t="s">
        <v>2645</v>
      </c>
      <c r="M856" t="s">
        <v>329</v>
      </c>
    </row>
    <row r="857" spans="1:40" x14ac:dyDescent="0.35">
      <c r="A857">
        <v>4694634</v>
      </c>
      <c r="B857" t="s">
        <v>2646</v>
      </c>
      <c r="C857" t="str">
        <f>"9781783742394"</f>
        <v>9781783742394</v>
      </c>
      <c r="D857" t="str">
        <f>"9781783742400"</f>
        <v>9781783742400</v>
      </c>
      <c r="E857" t="s">
        <v>1807</v>
      </c>
      <c r="F857" t="s">
        <v>1807</v>
      </c>
      <c r="G857" s="1">
        <v>42597</v>
      </c>
      <c r="H857" s="1">
        <v>42661</v>
      </c>
      <c r="I857" t="s">
        <v>189</v>
      </c>
      <c r="J857">
        <v>1</v>
      </c>
      <c r="K857" t="s">
        <v>1820</v>
      </c>
      <c r="L857" t="s">
        <v>2647</v>
      </c>
    </row>
    <row r="858" spans="1:40" x14ac:dyDescent="0.35">
      <c r="A858">
        <v>4694635</v>
      </c>
      <c r="B858" t="s">
        <v>2648</v>
      </c>
      <c r="C858" t="str">
        <f>"9781783740833"</f>
        <v>9781783740833</v>
      </c>
      <c r="D858" t="str">
        <f>"9781783740840"</f>
        <v>9781783740840</v>
      </c>
      <c r="E858" t="s">
        <v>1807</v>
      </c>
      <c r="F858" t="s">
        <v>1807</v>
      </c>
      <c r="G858" s="1">
        <v>42618</v>
      </c>
      <c r="H858" s="1">
        <v>42661</v>
      </c>
      <c r="I858" t="s">
        <v>189</v>
      </c>
      <c r="J858">
        <v>1</v>
      </c>
      <c r="K858" t="s">
        <v>1857</v>
      </c>
      <c r="L858" t="s">
        <v>1858</v>
      </c>
    </row>
    <row r="859" spans="1:40" x14ac:dyDescent="0.35">
      <c r="A859">
        <v>4694636</v>
      </c>
      <c r="B859" t="s">
        <v>2649</v>
      </c>
      <c r="C859" t="str">
        <f>"9781783742349"</f>
        <v>9781783742349</v>
      </c>
      <c r="D859" t="str">
        <f>"9781783742356"</f>
        <v>9781783742356</v>
      </c>
      <c r="E859" t="s">
        <v>1807</v>
      </c>
      <c r="F859" t="s">
        <v>1807</v>
      </c>
      <c r="G859" s="1">
        <v>42639</v>
      </c>
      <c r="H859" s="1">
        <v>42661</v>
      </c>
      <c r="I859" t="s">
        <v>189</v>
      </c>
      <c r="J859">
        <v>1</v>
      </c>
      <c r="L859" t="s">
        <v>2650</v>
      </c>
      <c r="M859" t="s">
        <v>219</v>
      </c>
      <c r="Q859" t="s">
        <v>260</v>
      </c>
      <c r="R859" t="s">
        <v>261</v>
      </c>
      <c r="S859" t="s">
        <v>261</v>
      </c>
      <c r="T859" t="s">
        <v>261</v>
      </c>
      <c r="U859" t="s">
        <v>261</v>
      </c>
      <c r="V859" t="s">
        <v>262</v>
      </c>
      <c r="W859" t="s">
        <v>261</v>
      </c>
      <c r="X859" t="s">
        <v>261</v>
      </c>
      <c r="Y859" t="s">
        <v>261</v>
      </c>
      <c r="Z859" t="s">
        <v>409</v>
      </c>
      <c r="AA859" t="s">
        <v>409</v>
      </c>
      <c r="AB859" t="s">
        <v>409</v>
      </c>
      <c r="AC859" t="s">
        <v>409</v>
      </c>
      <c r="AD859" t="s">
        <v>262</v>
      </c>
      <c r="AE859">
        <v>11283450</v>
      </c>
      <c r="AH859" t="s">
        <v>262</v>
      </c>
      <c r="AI859" t="s">
        <v>262</v>
      </c>
      <c r="AJ859" t="s">
        <v>261</v>
      </c>
      <c r="AK859" t="s">
        <v>261</v>
      </c>
      <c r="AM859" t="s">
        <v>262</v>
      </c>
      <c r="AN859" t="s">
        <v>2651</v>
      </c>
    </row>
    <row r="860" spans="1:40" x14ac:dyDescent="0.35">
      <c r="A860">
        <v>4705024</v>
      </c>
      <c r="B860" t="s">
        <v>2652</v>
      </c>
      <c r="C860" t="str">
        <f>"9780719090196"</f>
        <v>9780719090196</v>
      </c>
      <c r="D860" t="str">
        <f>"9781847799777"</f>
        <v>9781847799777</v>
      </c>
      <c r="E860" t="s">
        <v>188</v>
      </c>
      <c r="F860" t="s">
        <v>188</v>
      </c>
      <c r="G860" s="1">
        <v>42004</v>
      </c>
      <c r="H860" s="1">
        <v>42644</v>
      </c>
      <c r="I860" t="s">
        <v>189</v>
      </c>
      <c r="J860">
        <v>1</v>
      </c>
      <c r="L860" t="s">
        <v>2653</v>
      </c>
      <c r="M860" t="s">
        <v>210</v>
      </c>
    </row>
    <row r="861" spans="1:40" x14ac:dyDescent="0.35">
      <c r="A861">
        <v>4705029</v>
      </c>
      <c r="B861" t="s">
        <v>2654</v>
      </c>
      <c r="C861" t="str">
        <f>"9780719096501"</f>
        <v>9780719096501</v>
      </c>
      <c r="D861" t="str">
        <f>"9781847799739"</f>
        <v>9781847799739</v>
      </c>
      <c r="E861" t="s">
        <v>188</v>
      </c>
      <c r="F861" t="s">
        <v>188</v>
      </c>
      <c r="G861" s="1">
        <v>42003</v>
      </c>
      <c r="H861" s="1">
        <v>42644</v>
      </c>
      <c r="I861" t="s">
        <v>189</v>
      </c>
      <c r="J861">
        <v>1</v>
      </c>
      <c r="K861" t="s">
        <v>2655</v>
      </c>
      <c r="L861" t="s">
        <v>2656</v>
      </c>
    </row>
    <row r="862" spans="1:40" x14ac:dyDescent="0.35">
      <c r="A862">
        <v>4713554</v>
      </c>
      <c r="B862" t="s">
        <v>2657</v>
      </c>
      <c r="C862" t="str">
        <f>"9780822362586"</f>
        <v>9780822362586</v>
      </c>
      <c r="D862" t="str">
        <f>"9780822373551"</f>
        <v>9780822373551</v>
      </c>
      <c r="E862" t="s">
        <v>687</v>
      </c>
      <c r="F862" t="s">
        <v>687</v>
      </c>
      <c r="G862" s="1">
        <v>42682</v>
      </c>
      <c r="H862" s="1">
        <v>42650</v>
      </c>
      <c r="I862" t="s">
        <v>189</v>
      </c>
      <c r="J862">
        <v>1</v>
      </c>
      <c r="L862" t="s">
        <v>2658</v>
      </c>
      <c r="M862" t="s">
        <v>316</v>
      </c>
      <c r="N862" t="s">
        <v>2659</v>
      </c>
      <c r="O862" s="2">
        <v>3450235</v>
      </c>
      <c r="Q862" t="s">
        <v>260</v>
      </c>
      <c r="R862" t="s">
        <v>261</v>
      </c>
      <c r="S862" t="s">
        <v>261</v>
      </c>
      <c r="T862" t="s">
        <v>261</v>
      </c>
      <c r="U862" t="s">
        <v>261</v>
      </c>
      <c r="V862" t="s">
        <v>262</v>
      </c>
      <c r="W862" t="s">
        <v>261</v>
      </c>
      <c r="X862" t="s">
        <v>261</v>
      </c>
      <c r="Y862" t="s">
        <v>261</v>
      </c>
      <c r="Z862" t="s">
        <v>409</v>
      </c>
      <c r="AB862" t="s">
        <v>409</v>
      </c>
      <c r="AC862" t="s">
        <v>409</v>
      </c>
      <c r="AD862" t="s">
        <v>262</v>
      </c>
      <c r="AE862">
        <v>11278027</v>
      </c>
      <c r="AF862">
        <v>962347</v>
      </c>
      <c r="AH862" t="s">
        <v>262</v>
      </c>
      <c r="AI862" t="s">
        <v>262</v>
      </c>
      <c r="AJ862" t="s">
        <v>261</v>
      </c>
      <c r="AK862" t="s">
        <v>261</v>
      </c>
      <c r="AM862" t="s">
        <v>262</v>
      </c>
      <c r="AN862" t="s">
        <v>2660</v>
      </c>
    </row>
    <row r="863" spans="1:40" x14ac:dyDescent="0.35">
      <c r="A863">
        <v>4715762</v>
      </c>
      <c r="B863" t="s">
        <v>2661</v>
      </c>
      <c r="C863" t="str">
        <f>""</f>
        <v/>
      </c>
      <c r="D863" t="str">
        <f>"9781137061614"</f>
        <v>9781137061614</v>
      </c>
      <c r="E863" t="s">
        <v>2662</v>
      </c>
      <c r="F863" t="s">
        <v>2663</v>
      </c>
      <c r="G863" s="1">
        <v>42490</v>
      </c>
      <c r="H863" s="1">
        <v>42655</v>
      </c>
      <c r="I863" t="s">
        <v>189</v>
      </c>
      <c r="K863" t="s">
        <v>2664</v>
      </c>
      <c r="L863" t="s">
        <v>2663</v>
      </c>
      <c r="M863" t="s">
        <v>239</v>
      </c>
    </row>
    <row r="864" spans="1:40" x14ac:dyDescent="0.35">
      <c r="A864">
        <v>4718362</v>
      </c>
      <c r="B864" t="s">
        <v>2665</v>
      </c>
      <c r="C864" t="str">
        <f>"9781501510564"</f>
        <v>9781501510564</v>
      </c>
      <c r="D864" t="str">
        <f>"9781501501913"</f>
        <v>9781501501913</v>
      </c>
      <c r="E864" t="s">
        <v>346</v>
      </c>
      <c r="F864" t="s">
        <v>2637</v>
      </c>
      <c r="G864" s="1">
        <v>42667</v>
      </c>
      <c r="H864" s="1">
        <v>42659</v>
      </c>
      <c r="I864" t="s">
        <v>189</v>
      </c>
      <c r="J864">
        <v>1</v>
      </c>
      <c r="K864" t="s">
        <v>2357</v>
      </c>
      <c r="L864" t="s">
        <v>2666</v>
      </c>
    </row>
    <row r="865" spans="1:40" x14ac:dyDescent="0.35">
      <c r="A865">
        <v>4718392</v>
      </c>
      <c r="B865" t="s">
        <v>2667</v>
      </c>
      <c r="C865" t="str">
        <f>"9783110459623"</f>
        <v>9783110459623</v>
      </c>
      <c r="D865" t="str">
        <f>"9783110459630"</f>
        <v>9783110459630</v>
      </c>
      <c r="E865" t="s">
        <v>415</v>
      </c>
      <c r="F865" t="s">
        <v>415</v>
      </c>
      <c r="G865" s="1">
        <v>42668</v>
      </c>
      <c r="H865" s="1">
        <v>42659</v>
      </c>
      <c r="I865" t="s">
        <v>189</v>
      </c>
      <c r="J865">
        <v>1</v>
      </c>
      <c r="K865" t="s">
        <v>1159</v>
      </c>
      <c r="L865" t="s">
        <v>2668</v>
      </c>
    </row>
    <row r="866" spans="1:40" x14ac:dyDescent="0.35">
      <c r="A866">
        <v>4732975</v>
      </c>
      <c r="B866" t="s">
        <v>2669</v>
      </c>
      <c r="C866" t="str">
        <f>"9781780406992"</f>
        <v>9781780406992</v>
      </c>
      <c r="D866" t="str">
        <f>"9781780407005"</f>
        <v>9781780407005</v>
      </c>
      <c r="E866" t="s">
        <v>1784</v>
      </c>
      <c r="F866" t="s">
        <v>1784</v>
      </c>
      <c r="G866" s="1">
        <v>42536</v>
      </c>
      <c r="H866" s="1">
        <v>42679</v>
      </c>
      <c r="I866" t="s">
        <v>189</v>
      </c>
      <c r="J866">
        <v>1</v>
      </c>
      <c r="L866" t="s">
        <v>2670</v>
      </c>
      <c r="M866" t="s">
        <v>847</v>
      </c>
    </row>
    <row r="867" spans="1:40" x14ac:dyDescent="0.35">
      <c r="A867">
        <v>4741073</v>
      </c>
      <c r="B867" t="s">
        <v>2671</v>
      </c>
      <c r="C867" t="str">
        <f>"9780822361541"</f>
        <v>9780822361541</v>
      </c>
      <c r="D867" t="str">
        <f>"9780822373698"</f>
        <v>9780822373698</v>
      </c>
      <c r="E867" t="s">
        <v>687</v>
      </c>
      <c r="F867" t="s">
        <v>687</v>
      </c>
      <c r="G867" s="1">
        <v>42720</v>
      </c>
      <c r="H867" s="1">
        <v>42686</v>
      </c>
      <c r="I867" t="s">
        <v>189</v>
      </c>
      <c r="J867">
        <v>1</v>
      </c>
      <c r="L867" t="s">
        <v>2672</v>
      </c>
    </row>
    <row r="868" spans="1:40" x14ac:dyDescent="0.35">
      <c r="A868">
        <v>4742061</v>
      </c>
      <c r="B868" t="s">
        <v>2673</v>
      </c>
      <c r="C868" t="str">
        <f>"9780822362173"</f>
        <v>9780822362173</v>
      </c>
      <c r="D868" t="str">
        <f>"9780822373766"</f>
        <v>9780822373766</v>
      </c>
      <c r="E868" t="s">
        <v>687</v>
      </c>
      <c r="F868" t="s">
        <v>687</v>
      </c>
      <c r="G868" s="1">
        <v>42713</v>
      </c>
      <c r="H868" s="1">
        <v>42687</v>
      </c>
      <c r="I868" t="s">
        <v>189</v>
      </c>
      <c r="J868">
        <v>1</v>
      </c>
      <c r="L868" t="s">
        <v>2674</v>
      </c>
      <c r="M868" t="s">
        <v>239</v>
      </c>
      <c r="N868" t="s">
        <v>2675</v>
      </c>
      <c r="O868" t="s">
        <v>2676</v>
      </c>
      <c r="Q868" t="s">
        <v>260</v>
      </c>
      <c r="R868" t="s">
        <v>261</v>
      </c>
      <c r="S868" t="s">
        <v>261</v>
      </c>
      <c r="T868" t="s">
        <v>261</v>
      </c>
      <c r="U868" t="s">
        <v>261</v>
      </c>
      <c r="V868" t="s">
        <v>262</v>
      </c>
      <c r="W868" t="s">
        <v>261</v>
      </c>
      <c r="X868" t="s">
        <v>261</v>
      </c>
      <c r="Y868" t="s">
        <v>261</v>
      </c>
      <c r="Z868" t="s">
        <v>409</v>
      </c>
      <c r="AB868" t="s">
        <v>409</v>
      </c>
      <c r="AC868" t="s">
        <v>409</v>
      </c>
      <c r="AD868" t="s">
        <v>262</v>
      </c>
      <c r="AE868">
        <v>11297941</v>
      </c>
      <c r="AF868">
        <v>970353</v>
      </c>
      <c r="AH868" t="s">
        <v>262</v>
      </c>
      <c r="AI868" t="s">
        <v>262</v>
      </c>
      <c r="AJ868" t="s">
        <v>261</v>
      </c>
      <c r="AK868" t="s">
        <v>261</v>
      </c>
      <c r="AM868" t="s">
        <v>262</v>
      </c>
      <c r="AN868" t="s">
        <v>2677</v>
      </c>
    </row>
    <row r="869" spans="1:40" x14ac:dyDescent="0.35">
      <c r="A869">
        <v>4742387</v>
      </c>
      <c r="B869" t="s">
        <v>2678</v>
      </c>
      <c r="C869" t="str">
        <f>"9781780406855"</f>
        <v>9781780406855</v>
      </c>
      <c r="D869" t="str">
        <f>"9781780406862"</f>
        <v>9781780406862</v>
      </c>
      <c r="E869" t="s">
        <v>1784</v>
      </c>
      <c r="F869" t="s">
        <v>1784</v>
      </c>
      <c r="G869" s="1">
        <v>42597</v>
      </c>
      <c r="H869" s="1">
        <v>42693</v>
      </c>
      <c r="I869" t="s">
        <v>189</v>
      </c>
      <c r="J869">
        <v>1</v>
      </c>
      <c r="L869" t="s">
        <v>2679</v>
      </c>
      <c r="M869" t="s">
        <v>2680</v>
      </c>
    </row>
    <row r="870" spans="1:40" x14ac:dyDescent="0.35">
      <c r="A870">
        <v>4742718</v>
      </c>
      <c r="B870" t="s">
        <v>2681</v>
      </c>
      <c r="C870" t="str">
        <f>"9782759225200"</f>
        <v>9782759225200</v>
      </c>
      <c r="D870" t="str">
        <f>"9782759225217"</f>
        <v>9782759225217</v>
      </c>
      <c r="E870" t="s">
        <v>1928</v>
      </c>
      <c r="F870" t="s">
        <v>1928</v>
      </c>
      <c r="G870" s="1">
        <v>42678</v>
      </c>
      <c r="H870" s="1">
        <v>42689</v>
      </c>
      <c r="I870" t="s">
        <v>189</v>
      </c>
      <c r="K870" t="s">
        <v>1948</v>
      </c>
      <c r="L870" t="s">
        <v>2682</v>
      </c>
    </row>
    <row r="871" spans="1:40" x14ac:dyDescent="0.35">
      <c r="A871">
        <v>4742736</v>
      </c>
      <c r="B871" t="s">
        <v>2683</v>
      </c>
      <c r="C871" t="str">
        <f>"9781438462936"</f>
        <v>9781438462936</v>
      </c>
      <c r="D871" t="str">
        <f>"9781438462950"</f>
        <v>9781438462950</v>
      </c>
      <c r="E871" t="s">
        <v>2073</v>
      </c>
      <c r="F871" t="s">
        <v>2074</v>
      </c>
      <c r="G871" s="1">
        <v>42705</v>
      </c>
      <c r="H871" s="1">
        <v>42689</v>
      </c>
      <c r="I871" t="s">
        <v>189</v>
      </c>
      <c r="J871">
        <v>1</v>
      </c>
      <c r="K871" t="s">
        <v>2075</v>
      </c>
      <c r="L871" t="s">
        <v>2684</v>
      </c>
      <c r="M871" t="s">
        <v>282</v>
      </c>
    </row>
    <row r="872" spans="1:40" x14ac:dyDescent="0.35">
      <c r="A872">
        <v>4743546</v>
      </c>
      <c r="B872" t="s">
        <v>2685</v>
      </c>
      <c r="C872" t="str">
        <f>"9780822362203"</f>
        <v>9780822362203</v>
      </c>
      <c r="D872" t="str">
        <f>"9780822373735"</f>
        <v>9780822373735</v>
      </c>
      <c r="E872" t="s">
        <v>687</v>
      </c>
      <c r="F872" t="s">
        <v>687</v>
      </c>
      <c r="G872" s="1">
        <v>42738</v>
      </c>
      <c r="H872" s="1">
        <v>42690</v>
      </c>
      <c r="I872" t="s">
        <v>189</v>
      </c>
      <c r="J872">
        <v>1</v>
      </c>
      <c r="L872" t="s">
        <v>2686</v>
      </c>
      <c r="M872" t="s">
        <v>239</v>
      </c>
    </row>
    <row r="873" spans="1:40" x14ac:dyDescent="0.35">
      <c r="A873">
        <v>4743547</v>
      </c>
      <c r="B873" t="s">
        <v>2687</v>
      </c>
      <c r="C873" t="str">
        <f>"9780822361145"</f>
        <v>9780822361145</v>
      </c>
      <c r="D873" t="str">
        <f>"9780822374305"</f>
        <v>9780822374305</v>
      </c>
      <c r="E873" t="s">
        <v>687</v>
      </c>
      <c r="F873" t="s">
        <v>687</v>
      </c>
      <c r="G873" s="1">
        <v>42713</v>
      </c>
      <c r="H873" s="1">
        <v>42690</v>
      </c>
      <c r="I873" t="s">
        <v>189</v>
      </c>
      <c r="J873">
        <v>1</v>
      </c>
      <c r="L873" t="s">
        <v>2688</v>
      </c>
      <c r="M873" t="s">
        <v>249</v>
      </c>
    </row>
    <row r="874" spans="1:40" x14ac:dyDescent="0.35">
      <c r="A874">
        <v>4746976</v>
      </c>
      <c r="B874" t="s">
        <v>2689</v>
      </c>
      <c r="C874" t="str">
        <f>"9789027206596"</f>
        <v>9789027206596</v>
      </c>
      <c r="D874" t="str">
        <f>"9789027266330"</f>
        <v>9789027266330</v>
      </c>
      <c r="E874" t="s">
        <v>1372</v>
      </c>
      <c r="F874" t="s">
        <v>1372</v>
      </c>
      <c r="G874" s="1">
        <v>42705</v>
      </c>
      <c r="H874" s="1">
        <v>42697</v>
      </c>
      <c r="I874" t="s">
        <v>189</v>
      </c>
      <c r="J874">
        <v>1</v>
      </c>
      <c r="K874" t="s">
        <v>2690</v>
      </c>
      <c r="L874" t="s">
        <v>2691</v>
      </c>
    </row>
    <row r="875" spans="1:40" x14ac:dyDescent="0.35">
      <c r="A875">
        <v>4749379</v>
      </c>
      <c r="B875" t="s">
        <v>2692</v>
      </c>
      <c r="C875" t="str">
        <f>"9783110426991"</f>
        <v>9783110426991</v>
      </c>
      <c r="D875" t="str">
        <f>"9783110423136"</f>
        <v>9783110423136</v>
      </c>
      <c r="E875" t="s">
        <v>346</v>
      </c>
      <c r="F875" t="s">
        <v>346</v>
      </c>
      <c r="G875" s="1">
        <v>42422</v>
      </c>
      <c r="H875" s="1">
        <v>42764</v>
      </c>
      <c r="I875" t="s">
        <v>189</v>
      </c>
      <c r="J875">
        <v>1</v>
      </c>
      <c r="K875" t="s">
        <v>2489</v>
      </c>
      <c r="L875" t="s">
        <v>2693</v>
      </c>
      <c r="M875" t="s">
        <v>676</v>
      </c>
      <c r="O875">
        <v>437</v>
      </c>
      <c r="Q875" t="s">
        <v>408</v>
      </c>
      <c r="R875" t="s">
        <v>261</v>
      </c>
      <c r="S875" t="s">
        <v>261</v>
      </c>
      <c r="T875" t="s">
        <v>261</v>
      </c>
      <c r="U875" t="s">
        <v>262</v>
      </c>
      <c r="V875" t="s">
        <v>262</v>
      </c>
      <c r="W875" t="s">
        <v>261</v>
      </c>
      <c r="X875" t="s">
        <v>262</v>
      </c>
      <c r="Y875" t="s">
        <v>261</v>
      </c>
      <c r="Z875" t="s">
        <v>409</v>
      </c>
      <c r="AA875" t="s">
        <v>409</v>
      </c>
      <c r="AB875" t="s">
        <v>409</v>
      </c>
      <c r="AC875" t="s">
        <v>409</v>
      </c>
      <c r="AD875" t="s">
        <v>261</v>
      </c>
      <c r="AE875">
        <v>11334398</v>
      </c>
      <c r="AH875" t="s">
        <v>262</v>
      </c>
      <c r="AI875" t="s">
        <v>262</v>
      </c>
      <c r="AJ875" t="s">
        <v>261</v>
      </c>
      <c r="AK875" t="s">
        <v>261</v>
      </c>
      <c r="AM875" t="s">
        <v>262</v>
      </c>
      <c r="AN875" t="s">
        <v>2694</v>
      </c>
    </row>
    <row r="876" spans="1:40" x14ac:dyDescent="0.35">
      <c r="A876">
        <v>4749391</v>
      </c>
      <c r="B876" t="s">
        <v>2695</v>
      </c>
      <c r="C876" t="str">
        <f>"9783110378221"</f>
        <v>9783110378221</v>
      </c>
      <c r="D876" t="str">
        <f>"9783110405552"</f>
        <v>9783110405552</v>
      </c>
      <c r="E876" t="s">
        <v>415</v>
      </c>
      <c r="F876" t="s">
        <v>665</v>
      </c>
      <c r="G876" s="1">
        <v>42541</v>
      </c>
      <c r="H876" s="1">
        <v>42918</v>
      </c>
      <c r="I876" t="s">
        <v>189</v>
      </c>
      <c r="J876">
        <v>1</v>
      </c>
      <c r="K876" t="s">
        <v>2696</v>
      </c>
      <c r="L876" t="s">
        <v>2697</v>
      </c>
    </row>
    <row r="877" spans="1:40" x14ac:dyDescent="0.35">
      <c r="A877">
        <v>4749420</v>
      </c>
      <c r="B877" t="s">
        <v>2698</v>
      </c>
      <c r="C877" t="str">
        <f>"9780939950966"</f>
        <v>9780939950966</v>
      </c>
      <c r="D877" t="str">
        <f>"9781501502071"</f>
        <v>9781501502071</v>
      </c>
      <c r="E877" t="s">
        <v>346</v>
      </c>
      <c r="F877" t="s">
        <v>346</v>
      </c>
      <c r="G877" s="1">
        <v>42292</v>
      </c>
      <c r="H877" s="1">
        <v>43041</v>
      </c>
      <c r="I877" t="s">
        <v>189</v>
      </c>
      <c r="J877">
        <v>1</v>
      </c>
      <c r="K877" t="s">
        <v>2699</v>
      </c>
      <c r="L877" t="s">
        <v>2700</v>
      </c>
    </row>
    <row r="878" spans="1:40" x14ac:dyDescent="0.35">
      <c r="A878">
        <v>4751199</v>
      </c>
      <c r="B878" t="s">
        <v>2701</v>
      </c>
      <c r="C878" t="str">
        <f>"9780822362067"</f>
        <v>9780822362067</v>
      </c>
      <c r="D878" t="str">
        <f>"9780822373872"</f>
        <v>9780822373872</v>
      </c>
      <c r="E878" t="s">
        <v>687</v>
      </c>
      <c r="F878" t="s">
        <v>687</v>
      </c>
      <c r="G878" s="1">
        <v>42713</v>
      </c>
      <c r="H878" s="1">
        <v>42705</v>
      </c>
      <c r="I878" t="s">
        <v>189</v>
      </c>
      <c r="J878">
        <v>1</v>
      </c>
      <c r="K878" t="s">
        <v>2452</v>
      </c>
      <c r="L878" t="s">
        <v>2702</v>
      </c>
      <c r="M878" t="s">
        <v>389</v>
      </c>
      <c r="N878" t="s">
        <v>2703</v>
      </c>
      <c r="Q878" t="s">
        <v>260</v>
      </c>
      <c r="R878" t="s">
        <v>261</v>
      </c>
      <c r="S878" t="s">
        <v>261</v>
      </c>
      <c r="T878" t="s">
        <v>261</v>
      </c>
      <c r="U878" t="s">
        <v>261</v>
      </c>
      <c r="V878" t="s">
        <v>262</v>
      </c>
      <c r="W878" t="s">
        <v>261</v>
      </c>
      <c r="X878" t="s">
        <v>261</v>
      </c>
      <c r="Y878" t="s">
        <v>261</v>
      </c>
      <c r="Z878" t="s">
        <v>409</v>
      </c>
      <c r="AB878" t="s">
        <v>409</v>
      </c>
      <c r="AC878" t="s">
        <v>409</v>
      </c>
      <c r="AD878" t="s">
        <v>262</v>
      </c>
      <c r="AE878">
        <v>11307322</v>
      </c>
      <c r="AF878">
        <v>971885</v>
      </c>
      <c r="AH878" t="s">
        <v>262</v>
      </c>
      <c r="AI878" t="s">
        <v>262</v>
      </c>
      <c r="AJ878" t="s">
        <v>261</v>
      </c>
      <c r="AK878" t="s">
        <v>261</v>
      </c>
      <c r="AM878" t="s">
        <v>262</v>
      </c>
      <c r="AN878" t="s">
        <v>2704</v>
      </c>
    </row>
    <row r="879" spans="1:40" x14ac:dyDescent="0.35">
      <c r="A879">
        <v>4755914</v>
      </c>
      <c r="B879" t="s">
        <v>2705</v>
      </c>
      <c r="C879" t="str">
        <f>"9780822362180"</f>
        <v>9780822362180</v>
      </c>
      <c r="D879" t="str">
        <f>"9780822373759"</f>
        <v>9780822373759</v>
      </c>
      <c r="E879" t="s">
        <v>687</v>
      </c>
      <c r="F879" t="s">
        <v>687</v>
      </c>
      <c r="G879" s="1">
        <v>42706</v>
      </c>
      <c r="H879" s="1">
        <v>42707</v>
      </c>
      <c r="I879" t="s">
        <v>189</v>
      </c>
      <c r="J879">
        <v>1</v>
      </c>
      <c r="K879" t="s">
        <v>796</v>
      </c>
      <c r="L879" t="s">
        <v>2706</v>
      </c>
    </row>
    <row r="880" spans="1:40" x14ac:dyDescent="0.35">
      <c r="A880">
        <v>4768876</v>
      </c>
      <c r="B880" t="s">
        <v>2707</v>
      </c>
      <c r="C880" t="str">
        <f>"9783110417852"</f>
        <v>9783110417852</v>
      </c>
      <c r="D880" t="str">
        <f>"9783110417845"</f>
        <v>9783110417845</v>
      </c>
      <c r="E880" t="s">
        <v>346</v>
      </c>
      <c r="F880" t="s">
        <v>346</v>
      </c>
      <c r="G880" s="1">
        <v>42723</v>
      </c>
      <c r="H880" s="1">
        <v>42716</v>
      </c>
      <c r="I880" t="s">
        <v>189</v>
      </c>
      <c r="J880">
        <v>1</v>
      </c>
      <c r="K880" t="s">
        <v>1159</v>
      </c>
      <c r="L880" t="s">
        <v>2708</v>
      </c>
      <c r="M880" t="s">
        <v>329</v>
      </c>
    </row>
    <row r="881" spans="1:40" x14ac:dyDescent="0.35">
      <c r="A881">
        <v>4768898</v>
      </c>
      <c r="B881" t="s">
        <v>2709</v>
      </c>
      <c r="C881" t="str">
        <f>"9783110448108"</f>
        <v>9783110448108</v>
      </c>
      <c r="D881" t="str">
        <f>"9783110448115"</f>
        <v>9783110448115</v>
      </c>
      <c r="E881" t="s">
        <v>415</v>
      </c>
      <c r="F881" t="s">
        <v>1266</v>
      </c>
      <c r="G881" s="1">
        <v>42695</v>
      </c>
      <c r="H881" s="1">
        <v>42716</v>
      </c>
      <c r="I881" t="s">
        <v>189</v>
      </c>
      <c r="J881">
        <v>1</v>
      </c>
      <c r="L881" t="s">
        <v>2710</v>
      </c>
    </row>
    <row r="882" spans="1:40" x14ac:dyDescent="0.35">
      <c r="A882">
        <v>4768916</v>
      </c>
      <c r="B882" t="s">
        <v>2711</v>
      </c>
      <c r="C882" t="str">
        <f>"9783110477726"</f>
        <v>9783110477726</v>
      </c>
      <c r="D882" t="str">
        <f>"9783110478815"</f>
        <v>9783110478815</v>
      </c>
      <c r="E882" t="s">
        <v>415</v>
      </c>
      <c r="F882" t="s">
        <v>415</v>
      </c>
      <c r="G882" s="1">
        <v>42681</v>
      </c>
      <c r="H882" s="1">
        <v>42716</v>
      </c>
      <c r="I882" t="s">
        <v>189</v>
      </c>
      <c r="J882">
        <v>1</v>
      </c>
      <c r="K882" t="s">
        <v>2442</v>
      </c>
      <c r="L882" t="s">
        <v>2712</v>
      </c>
      <c r="M882" t="s">
        <v>389</v>
      </c>
      <c r="N882" t="s">
        <v>2713</v>
      </c>
      <c r="O882" t="s">
        <v>2714</v>
      </c>
      <c r="P882" t="s">
        <v>2715</v>
      </c>
    </row>
    <row r="883" spans="1:40" x14ac:dyDescent="0.35">
      <c r="A883">
        <v>4768935</v>
      </c>
      <c r="B883" t="s">
        <v>2716</v>
      </c>
      <c r="C883" t="str">
        <f>"9783110450927"</f>
        <v>9783110450927</v>
      </c>
      <c r="D883" t="str">
        <f>"9783110450934"</f>
        <v>9783110450934</v>
      </c>
      <c r="E883" t="s">
        <v>415</v>
      </c>
      <c r="F883" t="s">
        <v>415</v>
      </c>
      <c r="G883" s="1">
        <v>42723</v>
      </c>
      <c r="H883" s="1">
        <v>42716</v>
      </c>
      <c r="I883" t="s">
        <v>189</v>
      </c>
      <c r="J883">
        <v>1</v>
      </c>
      <c r="K883" t="s">
        <v>2717</v>
      </c>
      <c r="L883" t="s">
        <v>2718</v>
      </c>
    </row>
    <row r="884" spans="1:40" x14ac:dyDescent="0.35">
      <c r="A884">
        <v>4768993</v>
      </c>
      <c r="B884" t="s">
        <v>2719</v>
      </c>
      <c r="C884" t="str">
        <f>"9783110496932"</f>
        <v>9783110496932</v>
      </c>
      <c r="D884" t="str">
        <f>"9783110496956"</f>
        <v>9783110496956</v>
      </c>
      <c r="E884" t="s">
        <v>415</v>
      </c>
      <c r="F884" t="s">
        <v>415</v>
      </c>
      <c r="G884" s="1">
        <v>42681</v>
      </c>
      <c r="H884" s="1">
        <v>42716</v>
      </c>
      <c r="I884" t="s">
        <v>189</v>
      </c>
      <c r="J884">
        <v>1</v>
      </c>
      <c r="K884" t="s">
        <v>2442</v>
      </c>
      <c r="L884" t="s">
        <v>55</v>
      </c>
    </row>
    <row r="885" spans="1:40" x14ac:dyDescent="0.35">
      <c r="A885">
        <v>4769012</v>
      </c>
      <c r="B885" t="s">
        <v>2720</v>
      </c>
      <c r="C885" t="str">
        <f>"9783110487329"</f>
        <v>9783110487329</v>
      </c>
      <c r="D885" t="str">
        <f>"9783110501728"</f>
        <v>9783110501728</v>
      </c>
      <c r="E885" t="s">
        <v>415</v>
      </c>
      <c r="F885" t="s">
        <v>415</v>
      </c>
      <c r="G885" s="1">
        <v>42681</v>
      </c>
      <c r="H885" s="1">
        <v>42717</v>
      </c>
      <c r="I885" t="s">
        <v>189</v>
      </c>
      <c r="J885">
        <v>1</v>
      </c>
      <c r="K885" t="s">
        <v>2721</v>
      </c>
      <c r="L885" t="s">
        <v>49</v>
      </c>
    </row>
    <row r="886" spans="1:40" x14ac:dyDescent="0.35">
      <c r="A886">
        <v>4775653</v>
      </c>
      <c r="B886" t="s">
        <v>2722</v>
      </c>
      <c r="C886" t="str">
        <f>"9780822362166"</f>
        <v>9780822362166</v>
      </c>
      <c r="D886" t="str">
        <f>"9780822373773"</f>
        <v>9780822373773</v>
      </c>
      <c r="E886" t="s">
        <v>687</v>
      </c>
      <c r="F886" t="s">
        <v>687</v>
      </c>
      <c r="G886" s="1">
        <v>42738</v>
      </c>
      <c r="H886" s="1">
        <v>42740</v>
      </c>
      <c r="I886" t="s">
        <v>189</v>
      </c>
      <c r="J886">
        <v>1</v>
      </c>
      <c r="L886" t="s">
        <v>829</v>
      </c>
      <c r="M886" t="s">
        <v>578</v>
      </c>
      <c r="N886" t="s">
        <v>2723</v>
      </c>
      <c r="O886" s="2">
        <v>78092282</v>
      </c>
      <c r="Q886" t="s">
        <v>260</v>
      </c>
      <c r="R886" t="s">
        <v>261</v>
      </c>
      <c r="S886" t="s">
        <v>261</v>
      </c>
      <c r="T886" t="s">
        <v>261</v>
      </c>
      <c r="U886" t="s">
        <v>261</v>
      </c>
      <c r="V886" t="s">
        <v>262</v>
      </c>
      <c r="W886" t="s">
        <v>261</v>
      </c>
      <c r="X886" t="s">
        <v>261</v>
      </c>
      <c r="Y886" t="s">
        <v>261</v>
      </c>
      <c r="Z886" t="s">
        <v>409</v>
      </c>
      <c r="AB886" t="s">
        <v>409</v>
      </c>
      <c r="AC886" t="s">
        <v>409</v>
      </c>
      <c r="AD886" t="s">
        <v>262</v>
      </c>
      <c r="AE886">
        <v>11322210</v>
      </c>
      <c r="AF886">
        <v>986515</v>
      </c>
      <c r="AH886" t="s">
        <v>262</v>
      </c>
      <c r="AI886" t="s">
        <v>262</v>
      </c>
      <c r="AJ886" t="s">
        <v>261</v>
      </c>
      <c r="AK886" t="s">
        <v>261</v>
      </c>
      <c r="AM886" t="s">
        <v>262</v>
      </c>
      <c r="AN886" t="s">
        <v>2724</v>
      </c>
    </row>
    <row r="887" spans="1:40" x14ac:dyDescent="0.35">
      <c r="A887">
        <v>4777260</v>
      </c>
      <c r="B887" t="s">
        <v>2725</v>
      </c>
      <c r="C887" t="str">
        <f>"9780719091391"</f>
        <v>9780719091391</v>
      </c>
      <c r="D887" t="str">
        <f>"9781526111975"</f>
        <v>9781526111975</v>
      </c>
      <c r="E887" t="s">
        <v>188</v>
      </c>
      <c r="F887" t="s">
        <v>188</v>
      </c>
      <c r="G887" s="1">
        <v>41698</v>
      </c>
      <c r="H887" s="1">
        <v>42760</v>
      </c>
      <c r="I887" t="s">
        <v>189</v>
      </c>
      <c r="J887">
        <v>4</v>
      </c>
      <c r="L887" t="s">
        <v>2726</v>
      </c>
    </row>
    <row r="888" spans="1:40" x14ac:dyDescent="0.35">
      <c r="A888">
        <v>4787961</v>
      </c>
      <c r="B888" t="s">
        <v>2727</v>
      </c>
      <c r="C888" t="str">
        <f>""</f>
        <v/>
      </c>
      <c r="D888" t="str">
        <f>"9782759225958"</f>
        <v>9782759225958</v>
      </c>
      <c r="E888" t="s">
        <v>1928</v>
      </c>
      <c r="F888" t="s">
        <v>1928</v>
      </c>
      <c r="G888" s="1">
        <v>42702</v>
      </c>
      <c r="H888" s="1">
        <v>42752</v>
      </c>
      <c r="I888" t="s">
        <v>189</v>
      </c>
      <c r="K888" t="s">
        <v>2571</v>
      </c>
      <c r="L888" t="s">
        <v>2728</v>
      </c>
    </row>
    <row r="889" spans="1:40" x14ac:dyDescent="0.35">
      <c r="A889">
        <v>4788062</v>
      </c>
      <c r="B889" t="s">
        <v>2729</v>
      </c>
      <c r="C889" t="str">
        <f>"9781783741786"</f>
        <v>9781783741786</v>
      </c>
      <c r="D889" t="str">
        <f>"9781783741793"</f>
        <v>9781783741793</v>
      </c>
      <c r="E889" t="s">
        <v>1807</v>
      </c>
      <c r="F889" t="s">
        <v>1807</v>
      </c>
      <c r="G889" s="1">
        <v>42709</v>
      </c>
      <c r="H889" s="1">
        <v>42754</v>
      </c>
      <c r="I889" t="s">
        <v>189</v>
      </c>
      <c r="J889">
        <v>1</v>
      </c>
      <c r="K889" t="s">
        <v>1808</v>
      </c>
      <c r="L889" t="s">
        <v>1809</v>
      </c>
      <c r="M889" t="s">
        <v>219</v>
      </c>
      <c r="Q889" t="s">
        <v>260</v>
      </c>
      <c r="R889" t="s">
        <v>261</v>
      </c>
      <c r="S889" t="s">
        <v>261</v>
      </c>
      <c r="T889" t="s">
        <v>261</v>
      </c>
      <c r="U889" t="s">
        <v>261</v>
      </c>
      <c r="V889" t="s">
        <v>262</v>
      </c>
      <c r="W889" t="s">
        <v>261</v>
      </c>
      <c r="X889" t="s">
        <v>261</v>
      </c>
      <c r="Y889" t="s">
        <v>261</v>
      </c>
      <c r="Z889" t="s">
        <v>409</v>
      </c>
      <c r="AA889" t="s">
        <v>409</v>
      </c>
      <c r="AB889" t="s">
        <v>409</v>
      </c>
      <c r="AC889" t="s">
        <v>409</v>
      </c>
      <c r="AD889" t="s">
        <v>262</v>
      </c>
      <c r="AE889">
        <v>11331885</v>
      </c>
      <c r="AH889" t="s">
        <v>262</v>
      </c>
      <c r="AI889" t="s">
        <v>262</v>
      </c>
      <c r="AJ889" t="s">
        <v>261</v>
      </c>
      <c r="AK889" t="s">
        <v>261</v>
      </c>
      <c r="AM889" t="s">
        <v>262</v>
      </c>
      <c r="AN889" t="s">
        <v>2730</v>
      </c>
    </row>
    <row r="890" spans="1:40" x14ac:dyDescent="0.35">
      <c r="A890">
        <v>4788063</v>
      </c>
      <c r="B890" t="s">
        <v>2731</v>
      </c>
      <c r="C890" t="str">
        <f>"9781783742943"</f>
        <v>9781783742943</v>
      </c>
      <c r="D890" t="str">
        <f>"9781783742950"</f>
        <v>9781783742950</v>
      </c>
      <c r="E890" t="s">
        <v>1807</v>
      </c>
      <c r="F890" t="s">
        <v>1807</v>
      </c>
      <c r="G890" s="1">
        <v>42695</v>
      </c>
      <c r="H890" s="1">
        <v>42754</v>
      </c>
      <c r="I890" t="s">
        <v>189</v>
      </c>
      <c r="J890">
        <v>1</v>
      </c>
      <c r="K890" t="s">
        <v>1851</v>
      </c>
      <c r="L890" t="s">
        <v>2732</v>
      </c>
      <c r="M890" t="s">
        <v>282</v>
      </c>
    </row>
    <row r="891" spans="1:40" x14ac:dyDescent="0.35">
      <c r="A891">
        <v>4788064</v>
      </c>
      <c r="B891" t="s">
        <v>2733</v>
      </c>
      <c r="C891" t="str">
        <f>"9781783742547"</f>
        <v>9781783742547</v>
      </c>
      <c r="D891" t="str">
        <f>"9781783742554"</f>
        <v>9781783742554</v>
      </c>
      <c r="E891" t="s">
        <v>1807</v>
      </c>
      <c r="F891" t="s">
        <v>1807</v>
      </c>
      <c r="G891" s="1">
        <v>42716</v>
      </c>
      <c r="H891" s="1">
        <v>42754</v>
      </c>
      <c r="I891" t="s">
        <v>189</v>
      </c>
      <c r="J891">
        <v>1</v>
      </c>
      <c r="L891" t="s">
        <v>2383</v>
      </c>
    </row>
    <row r="892" spans="1:40" x14ac:dyDescent="0.35">
      <c r="A892">
        <v>4788065</v>
      </c>
      <c r="B892" t="s">
        <v>2734</v>
      </c>
      <c r="C892" t="str">
        <f>"9781783742745"</f>
        <v>9781783742745</v>
      </c>
      <c r="D892" t="str">
        <f>"9781783742752"</f>
        <v>9781783742752</v>
      </c>
      <c r="E892" t="s">
        <v>1807</v>
      </c>
      <c r="F892" t="s">
        <v>1807</v>
      </c>
      <c r="G892" s="1">
        <v>42660</v>
      </c>
      <c r="H892" s="1">
        <v>42754</v>
      </c>
      <c r="I892" t="s">
        <v>189</v>
      </c>
      <c r="J892">
        <v>1</v>
      </c>
      <c r="L892" t="s">
        <v>2735</v>
      </c>
      <c r="M892" t="s">
        <v>219</v>
      </c>
      <c r="Q892" t="s">
        <v>260</v>
      </c>
      <c r="R892" t="s">
        <v>261</v>
      </c>
      <c r="S892" t="s">
        <v>261</v>
      </c>
      <c r="T892" t="s">
        <v>261</v>
      </c>
      <c r="U892" t="s">
        <v>261</v>
      </c>
      <c r="V892" t="s">
        <v>262</v>
      </c>
      <c r="W892" t="s">
        <v>261</v>
      </c>
      <c r="X892" t="s">
        <v>261</v>
      </c>
      <c r="Y892" t="s">
        <v>261</v>
      </c>
      <c r="Z892" t="s">
        <v>409</v>
      </c>
      <c r="AA892" t="s">
        <v>409</v>
      </c>
      <c r="AB892" t="s">
        <v>409</v>
      </c>
      <c r="AC892" t="s">
        <v>409</v>
      </c>
      <c r="AD892" t="s">
        <v>262</v>
      </c>
      <c r="AE892">
        <v>11331888</v>
      </c>
      <c r="AH892" t="s">
        <v>262</v>
      </c>
      <c r="AI892" t="s">
        <v>262</v>
      </c>
      <c r="AJ892" t="s">
        <v>261</v>
      </c>
      <c r="AK892" t="s">
        <v>261</v>
      </c>
      <c r="AM892" t="s">
        <v>262</v>
      </c>
      <c r="AN892" t="s">
        <v>2736</v>
      </c>
    </row>
    <row r="893" spans="1:40" x14ac:dyDescent="0.35">
      <c r="A893">
        <v>4788066</v>
      </c>
      <c r="B893" t="s">
        <v>2737</v>
      </c>
      <c r="C893" t="str">
        <f>"9781783742790"</f>
        <v>9781783742790</v>
      </c>
      <c r="D893" t="str">
        <f>"9781783742806"</f>
        <v>9781783742806</v>
      </c>
      <c r="E893" t="s">
        <v>1807</v>
      </c>
      <c r="F893" t="s">
        <v>1807</v>
      </c>
      <c r="G893" s="1">
        <v>42723</v>
      </c>
      <c r="H893" s="1">
        <v>42754</v>
      </c>
      <c r="I893" t="s">
        <v>189</v>
      </c>
      <c r="J893">
        <v>1</v>
      </c>
      <c r="L893" t="s">
        <v>2738</v>
      </c>
    </row>
    <row r="894" spans="1:40" x14ac:dyDescent="0.35">
      <c r="A894">
        <v>4788067</v>
      </c>
      <c r="B894" t="s">
        <v>2739</v>
      </c>
      <c r="C894" t="str">
        <f>"9781783742899"</f>
        <v>9781783742899</v>
      </c>
      <c r="D894" t="str">
        <f>"9781783742905"</f>
        <v>9781783742905</v>
      </c>
      <c r="E894" t="s">
        <v>1807</v>
      </c>
      <c r="F894" t="s">
        <v>1807</v>
      </c>
      <c r="G894" s="1">
        <v>42685</v>
      </c>
      <c r="H894" s="1">
        <v>42754</v>
      </c>
      <c r="I894" t="s">
        <v>189</v>
      </c>
      <c r="J894">
        <v>1</v>
      </c>
      <c r="L894" t="s">
        <v>2740</v>
      </c>
      <c r="M894" t="s">
        <v>239</v>
      </c>
    </row>
    <row r="895" spans="1:40" x14ac:dyDescent="0.35">
      <c r="A895">
        <v>4792679</v>
      </c>
      <c r="B895" t="s">
        <v>2741</v>
      </c>
      <c r="C895" t="str">
        <f>"9780822362807"</f>
        <v>9780822362807</v>
      </c>
      <c r="D895" t="str">
        <f>"9780822373483"</f>
        <v>9780822373483</v>
      </c>
      <c r="E895" t="s">
        <v>687</v>
      </c>
      <c r="F895" t="s">
        <v>687</v>
      </c>
      <c r="G895" s="1">
        <v>42769</v>
      </c>
      <c r="H895" s="1">
        <v>42762</v>
      </c>
      <c r="I895" t="s">
        <v>189</v>
      </c>
      <c r="J895">
        <v>1</v>
      </c>
      <c r="L895" t="s">
        <v>2742</v>
      </c>
    </row>
    <row r="896" spans="1:40" x14ac:dyDescent="0.35">
      <c r="A896">
        <v>4793608</v>
      </c>
      <c r="B896" t="s">
        <v>2743</v>
      </c>
      <c r="C896" t="str">
        <f>"9783598108617"</f>
        <v>9783598108617</v>
      </c>
      <c r="D896" t="str">
        <f>"9783110950397"</f>
        <v>9783110950397</v>
      </c>
      <c r="E896" t="s">
        <v>346</v>
      </c>
      <c r="F896" t="s">
        <v>346</v>
      </c>
      <c r="G896" s="1">
        <v>33239</v>
      </c>
      <c r="H896" s="1">
        <v>42773</v>
      </c>
      <c r="I896" t="s">
        <v>189</v>
      </c>
      <c r="J896">
        <v>1</v>
      </c>
      <c r="K896" t="s">
        <v>1164</v>
      </c>
      <c r="L896" t="s">
        <v>2744</v>
      </c>
    </row>
    <row r="897" spans="1:40" x14ac:dyDescent="0.35">
      <c r="A897">
        <v>4793609</v>
      </c>
      <c r="B897" t="s">
        <v>2745</v>
      </c>
      <c r="C897" t="str">
        <f>"9783598112614"</f>
        <v>9783598112614</v>
      </c>
      <c r="D897" t="str">
        <f>"9783110974331"</f>
        <v>9783110974331</v>
      </c>
      <c r="E897" t="s">
        <v>346</v>
      </c>
      <c r="F897" t="s">
        <v>346</v>
      </c>
      <c r="G897" s="1">
        <v>34684</v>
      </c>
      <c r="H897" s="1">
        <v>42765</v>
      </c>
      <c r="I897" t="s">
        <v>189</v>
      </c>
      <c r="J897">
        <v>1</v>
      </c>
      <c r="K897" t="s">
        <v>1164</v>
      </c>
      <c r="L897" t="s">
        <v>2744</v>
      </c>
    </row>
    <row r="898" spans="1:40" x14ac:dyDescent="0.35">
      <c r="A898">
        <v>4793742</v>
      </c>
      <c r="B898" t="s">
        <v>2746</v>
      </c>
      <c r="C898" t="str">
        <f>"9789027979711"</f>
        <v>9789027979711</v>
      </c>
      <c r="D898" t="str">
        <f>"9783110800463"</f>
        <v>9783110800463</v>
      </c>
      <c r="E898" t="s">
        <v>415</v>
      </c>
      <c r="F898" t="s">
        <v>415</v>
      </c>
      <c r="G898" s="1">
        <v>27030</v>
      </c>
      <c r="H898" s="1">
        <v>42765</v>
      </c>
      <c r="I898" t="s">
        <v>189</v>
      </c>
      <c r="J898">
        <v>1</v>
      </c>
      <c r="K898" t="s">
        <v>2747</v>
      </c>
      <c r="L898" t="s">
        <v>2748</v>
      </c>
      <c r="M898" t="s">
        <v>1831</v>
      </c>
      <c r="O898" t="s">
        <v>2749</v>
      </c>
      <c r="Q898" t="s">
        <v>260</v>
      </c>
      <c r="R898" t="s">
        <v>261</v>
      </c>
      <c r="S898" t="s">
        <v>261</v>
      </c>
      <c r="T898" t="s">
        <v>261</v>
      </c>
      <c r="U898" t="s">
        <v>262</v>
      </c>
      <c r="V898" t="s">
        <v>262</v>
      </c>
      <c r="W898" t="s">
        <v>261</v>
      </c>
      <c r="X898" t="s">
        <v>262</v>
      </c>
      <c r="Y898" t="s">
        <v>261</v>
      </c>
      <c r="Z898" t="s">
        <v>409</v>
      </c>
      <c r="AA898" t="s">
        <v>409</v>
      </c>
      <c r="AB898" t="s">
        <v>409</v>
      </c>
      <c r="AC898" t="s">
        <v>409</v>
      </c>
      <c r="AD898" t="s">
        <v>261</v>
      </c>
      <c r="AE898">
        <v>11334654</v>
      </c>
      <c r="AF898">
        <v>939124</v>
      </c>
      <c r="AH898" t="s">
        <v>262</v>
      </c>
      <c r="AI898" t="s">
        <v>262</v>
      </c>
      <c r="AJ898" t="s">
        <v>261</v>
      </c>
      <c r="AK898" t="s">
        <v>261</v>
      </c>
      <c r="AM898" t="s">
        <v>262</v>
      </c>
      <c r="AN898" t="s">
        <v>2750</v>
      </c>
    </row>
    <row r="899" spans="1:40" x14ac:dyDescent="0.35">
      <c r="A899">
        <v>4793916</v>
      </c>
      <c r="B899" t="s">
        <v>2751</v>
      </c>
      <c r="C899" t="str">
        <f>"9783110461145"</f>
        <v>9783110461145</v>
      </c>
      <c r="D899" t="str">
        <f>"9783110463217"</f>
        <v>9783110463217</v>
      </c>
      <c r="E899" t="s">
        <v>415</v>
      </c>
      <c r="F899" t="s">
        <v>665</v>
      </c>
      <c r="G899" s="1">
        <v>42709</v>
      </c>
      <c r="H899" s="1">
        <v>42765</v>
      </c>
      <c r="I899" t="s">
        <v>189</v>
      </c>
      <c r="J899">
        <v>1</v>
      </c>
      <c r="L899" t="s">
        <v>2752</v>
      </c>
    </row>
    <row r="900" spans="1:40" x14ac:dyDescent="0.35">
      <c r="A900">
        <v>4793928</v>
      </c>
      <c r="B900" t="s">
        <v>2753</v>
      </c>
      <c r="C900" t="str">
        <f>"9783110480108"</f>
        <v>9783110480108</v>
      </c>
      <c r="D900" t="str">
        <f>"9783110488319"</f>
        <v>9783110488319</v>
      </c>
      <c r="E900" t="s">
        <v>346</v>
      </c>
      <c r="F900" t="s">
        <v>346</v>
      </c>
      <c r="G900" s="1">
        <v>42723</v>
      </c>
      <c r="H900" s="1">
        <v>42765</v>
      </c>
      <c r="I900" t="s">
        <v>189</v>
      </c>
      <c r="J900">
        <v>1</v>
      </c>
      <c r="K900" t="s">
        <v>2641</v>
      </c>
      <c r="L900" t="s">
        <v>2754</v>
      </c>
      <c r="M900" t="s">
        <v>578</v>
      </c>
      <c r="Q900" t="s">
        <v>408</v>
      </c>
      <c r="R900" t="s">
        <v>261</v>
      </c>
      <c r="S900" t="s">
        <v>261</v>
      </c>
      <c r="T900" t="s">
        <v>261</v>
      </c>
      <c r="U900" t="s">
        <v>262</v>
      </c>
      <c r="V900" t="s">
        <v>262</v>
      </c>
      <c r="W900" t="s">
        <v>261</v>
      </c>
      <c r="X900" t="s">
        <v>262</v>
      </c>
      <c r="Y900" t="s">
        <v>261</v>
      </c>
      <c r="Z900" t="s">
        <v>409</v>
      </c>
      <c r="AA900" t="s">
        <v>409</v>
      </c>
      <c r="AB900" t="s">
        <v>409</v>
      </c>
      <c r="AC900" t="s">
        <v>409</v>
      </c>
      <c r="AD900" t="s">
        <v>261</v>
      </c>
      <c r="AE900">
        <v>11334824</v>
      </c>
      <c r="AH900" t="s">
        <v>262</v>
      </c>
      <c r="AI900" t="s">
        <v>262</v>
      </c>
      <c r="AJ900" t="s">
        <v>261</v>
      </c>
      <c r="AK900" t="s">
        <v>261</v>
      </c>
      <c r="AM900" t="s">
        <v>262</v>
      </c>
      <c r="AN900" t="s">
        <v>2755</v>
      </c>
    </row>
    <row r="901" spans="1:40" x14ac:dyDescent="0.35">
      <c r="A901">
        <v>4793929</v>
      </c>
      <c r="B901" t="s">
        <v>2756</v>
      </c>
      <c r="C901" t="str">
        <f>"9783110480115"</f>
        <v>9783110480115</v>
      </c>
      <c r="D901" t="str">
        <f>"9783110488739"</f>
        <v>9783110488739</v>
      </c>
      <c r="E901" t="s">
        <v>346</v>
      </c>
      <c r="F901" t="s">
        <v>346</v>
      </c>
      <c r="G901" s="1">
        <v>42681</v>
      </c>
      <c r="H901" s="1">
        <v>42765</v>
      </c>
      <c r="I901" t="s">
        <v>189</v>
      </c>
      <c r="J901">
        <v>1</v>
      </c>
      <c r="K901" t="s">
        <v>2641</v>
      </c>
      <c r="L901" t="s">
        <v>2757</v>
      </c>
      <c r="M901" t="s">
        <v>578</v>
      </c>
    </row>
    <row r="902" spans="1:40" x14ac:dyDescent="0.35">
      <c r="A902">
        <v>4800217</v>
      </c>
      <c r="B902" t="s">
        <v>2758</v>
      </c>
      <c r="C902" t="str">
        <f>"9781439914410"</f>
        <v>9781439914410</v>
      </c>
      <c r="D902" t="str">
        <f>"9781439914434"</f>
        <v>9781439914434</v>
      </c>
      <c r="E902" t="s">
        <v>321</v>
      </c>
      <c r="F902" t="s">
        <v>321</v>
      </c>
      <c r="G902" s="1">
        <v>42797</v>
      </c>
      <c r="H902" s="1">
        <v>42771</v>
      </c>
      <c r="I902" t="s">
        <v>189</v>
      </c>
      <c r="J902">
        <v>1</v>
      </c>
      <c r="L902" t="s">
        <v>2759</v>
      </c>
      <c r="M902" t="s">
        <v>239</v>
      </c>
    </row>
    <row r="903" spans="1:40" x14ac:dyDescent="0.35">
      <c r="A903">
        <v>4803047</v>
      </c>
      <c r="B903" t="s">
        <v>2760</v>
      </c>
      <c r="C903" t="str">
        <f>"9782759226146"</f>
        <v>9782759226146</v>
      </c>
      <c r="D903" t="str">
        <f>"9782759226153"</f>
        <v>9782759226153</v>
      </c>
      <c r="E903" t="s">
        <v>1928</v>
      </c>
      <c r="F903" t="s">
        <v>1928</v>
      </c>
      <c r="G903" s="1">
        <v>42917</v>
      </c>
      <c r="H903" s="1">
        <v>42776</v>
      </c>
      <c r="I903" t="s">
        <v>189</v>
      </c>
      <c r="K903" t="s">
        <v>2029</v>
      </c>
      <c r="L903" t="s">
        <v>2761</v>
      </c>
    </row>
    <row r="904" spans="1:40" x14ac:dyDescent="0.35">
      <c r="A904">
        <v>4803179</v>
      </c>
      <c r="B904" t="s">
        <v>2762</v>
      </c>
      <c r="C904" t="str">
        <f>""</f>
        <v/>
      </c>
      <c r="D904" t="str">
        <f>"9782759226221"</f>
        <v>9782759226221</v>
      </c>
      <c r="E904" t="s">
        <v>1928</v>
      </c>
      <c r="F904" t="s">
        <v>1928</v>
      </c>
      <c r="G904" s="1">
        <v>42719</v>
      </c>
      <c r="H904" s="1">
        <v>42776</v>
      </c>
      <c r="I904" t="s">
        <v>189</v>
      </c>
      <c r="K904" t="s">
        <v>2029</v>
      </c>
      <c r="L904" t="s">
        <v>2763</v>
      </c>
    </row>
    <row r="905" spans="1:40" x14ac:dyDescent="0.35">
      <c r="A905">
        <v>4804396</v>
      </c>
      <c r="B905" t="s">
        <v>2764</v>
      </c>
      <c r="C905" t="str">
        <f>"9783110464313"</f>
        <v>9783110464313</v>
      </c>
      <c r="D905" t="str">
        <f>"9783110464337"</f>
        <v>9783110464337</v>
      </c>
      <c r="E905" t="s">
        <v>415</v>
      </c>
      <c r="F905" t="s">
        <v>415</v>
      </c>
      <c r="G905" s="1">
        <v>42723</v>
      </c>
      <c r="H905" s="1">
        <v>42779</v>
      </c>
      <c r="I905" t="s">
        <v>189</v>
      </c>
      <c r="J905">
        <v>1</v>
      </c>
      <c r="K905" t="s">
        <v>2765</v>
      </c>
      <c r="L905" t="s">
        <v>2766</v>
      </c>
    </row>
    <row r="906" spans="1:40" x14ac:dyDescent="0.35">
      <c r="A906">
        <v>4804411</v>
      </c>
      <c r="B906" t="s">
        <v>2767</v>
      </c>
      <c r="C906" t="str">
        <f>"9783110462777"</f>
        <v>9783110462777</v>
      </c>
      <c r="D906" t="str">
        <f>"9783110467925"</f>
        <v>9783110467925</v>
      </c>
      <c r="E906" t="s">
        <v>415</v>
      </c>
      <c r="F906" t="s">
        <v>415</v>
      </c>
      <c r="G906" s="1">
        <v>42723</v>
      </c>
      <c r="H906" s="1">
        <v>42779</v>
      </c>
      <c r="I906" t="s">
        <v>189</v>
      </c>
      <c r="J906">
        <v>1</v>
      </c>
      <c r="K906" t="s">
        <v>2768</v>
      </c>
      <c r="L906" t="s">
        <v>2769</v>
      </c>
    </row>
    <row r="907" spans="1:40" x14ac:dyDescent="0.35">
      <c r="A907">
        <v>4810088</v>
      </c>
      <c r="B907" t="s">
        <v>2770</v>
      </c>
      <c r="C907" t="str">
        <f>"9783110473773"</f>
        <v>9783110473773</v>
      </c>
      <c r="D907" t="str">
        <f>"9783110473780"</f>
        <v>9783110473780</v>
      </c>
      <c r="E907" t="s">
        <v>415</v>
      </c>
      <c r="F907" t="s">
        <v>659</v>
      </c>
      <c r="G907" s="1">
        <v>42604</v>
      </c>
      <c r="H907" s="1">
        <v>42786</v>
      </c>
      <c r="I907" t="s">
        <v>189</v>
      </c>
      <c r="J907">
        <v>1</v>
      </c>
      <c r="L907" t="s">
        <v>14</v>
      </c>
    </row>
    <row r="908" spans="1:40" x14ac:dyDescent="0.35">
      <c r="A908">
        <v>4811261</v>
      </c>
      <c r="B908" t="s">
        <v>2771</v>
      </c>
      <c r="C908" t="str">
        <f>"9780822363002"</f>
        <v>9780822363002</v>
      </c>
      <c r="D908" t="str">
        <f>"9780822373414"</f>
        <v>9780822373414</v>
      </c>
      <c r="E908" t="s">
        <v>687</v>
      </c>
      <c r="F908" t="s">
        <v>687</v>
      </c>
      <c r="G908" s="1">
        <v>42796</v>
      </c>
      <c r="H908" s="1">
        <v>42789</v>
      </c>
      <c r="I908" t="s">
        <v>189</v>
      </c>
      <c r="J908">
        <v>1</v>
      </c>
      <c r="L908" t="s">
        <v>2772</v>
      </c>
      <c r="M908" t="s">
        <v>2413</v>
      </c>
    </row>
    <row r="909" spans="1:40" x14ac:dyDescent="0.35">
      <c r="A909">
        <v>4811262</v>
      </c>
      <c r="B909" t="s">
        <v>2773</v>
      </c>
      <c r="C909" t="str">
        <f>"9780822363019"</f>
        <v>9780822363019</v>
      </c>
      <c r="D909" t="str">
        <f>"9780822373407"</f>
        <v>9780822373407</v>
      </c>
      <c r="E909" t="s">
        <v>687</v>
      </c>
      <c r="F909" t="s">
        <v>687</v>
      </c>
      <c r="G909" s="1">
        <v>42804</v>
      </c>
      <c r="H909" s="1">
        <v>42789</v>
      </c>
      <c r="I909" t="s">
        <v>189</v>
      </c>
      <c r="J909">
        <v>1</v>
      </c>
      <c r="L909" t="s">
        <v>2774</v>
      </c>
      <c r="M909" t="s">
        <v>239</v>
      </c>
    </row>
    <row r="910" spans="1:40" x14ac:dyDescent="0.35">
      <c r="A910">
        <v>4812837</v>
      </c>
      <c r="B910" t="s">
        <v>2775</v>
      </c>
      <c r="C910" t="str">
        <f>"9783110472042"</f>
        <v>9783110472042</v>
      </c>
      <c r="D910" t="str">
        <f>"9783110472059"</f>
        <v>9783110472059</v>
      </c>
      <c r="E910" t="s">
        <v>415</v>
      </c>
      <c r="F910" t="s">
        <v>659</v>
      </c>
      <c r="G910" s="1">
        <v>42541</v>
      </c>
      <c r="H910" s="1">
        <v>42792</v>
      </c>
      <c r="I910" t="s">
        <v>189</v>
      </c>
      <c r="J910">
        <v>1</v>
      </c>
      <c r="L910" t="s">
        <v>2776</v>
      </c>
    </row>
    <row r="911" spans="1:40" x14ac:dyDescent="0.35">
      <c r="A911">
        <v>4812841</v>
      </c>
      <c r="B911" t="s">
        <v>2777</v>
      </c>
      <c r="C911" t="str">
        <f>"9783110485905"</f>
        <v>9783110485905</v>
      </c>
      <c r="D911" t="str">
        <f>"9783110485912"</f>
        <v>9783110485912</v>
      </c>
      <c r="E911" t="s">
        <v>415</v>
      </c>
      <c r="F911" t="s">
        <v>659</v>
      </c>
      <c r="G911" s="1">
        <v>42695</v>
      </c>
      <c r="H911" s="1">
        <v>42792</v>
      </c>
      <c r="I911" t="s">
        <v>189</v>
      </c>
      <c r="J911">
        <v>1</v>
      </c>
      <c r="L911" t="s">
        <v>2778</v>
      </c>
      <c r="M911" t="s">
        <v>676</v>
      </c>
      <c r="N911" t="s">
        <v>2779</v>
      </c>
      <c r="O911" t="s">
        <v>2780</v>
      </c>
      <c r="P911" t="s">
        <v>2781</v>
      </c>
    </row>
    <row r="912" spans="1:40" x14ac:dyDescent="0.35">
      <c r="A912">
        <v>4813411</v>
      </c>
      <c r="B912" t="s">
        <v>2782</v>
      </c>
      <c r="C912" t="str">
        <f>"9781438464039"</f>
        <v>9781438464039</v>
      </c>
      <c r="D912" t="str">
        <f>"9781438464046"</f>
        <v>9781438464046</v>
      </c>
      <c r="E912" t="s">
        <v>2073</v>
      </c>
      <c r="F912" t="s">
        <v>2074</v>
      </c>
      <c r="G912" s="1">
        <v>42795</v>
      </c>
      <c r="H912" s="1">
        <v>42795</v>
      </c>
      <c r="I912" t="s">
        <v>189</v>
      </c>
      <c r="J912">
        <v>1</v>
      </c>
      <c r="K912" t="s">
        <v>2075</v>
      </c>
      <c r="L912" t="s">
        <v>2783</v>
      </c>
      <c r="M912" t="s">
        <v>988</v>
      </c>
    </row>
    <row r="913" spans="1:40" x14ac:dyDescent="0.35">
      <c r="A913">
        <v>4813518</v>
      </c>
      <c r="B913" t="s">
        <v>2784</v>
      </c>
      <c r="C913" t="str">
        <f>"9780822362548"</f>
        <v>9780822362548</v>
      </c>
      <c r="D913" t="str">
        <f>"9780822373599"</f>
        <v>9780822373599</v>
      </c>
      <c r="E913" t="s">
        <v>687</v>
      </c>
      <c r="F913" t="s">
        <v>687</v>
      </c>
      <c r="G913" s="1">
        <v>42811</v>
      </c>
      <c r="H913" s="1">
        <v>42795</v>
      </c>
      <c r="I913" t="s">
        <v>189</v>
      </c>
      <c r="J913">
        <v>1</v>
      </c>
      <c r="L913" t="s">
        <v>2785</v>
      </c>
      <c r="M913" t="s">
        <v>2680</v>
      </c>
    </row>
    <row r="914" spans="1:40" x14ac:dyDescent="0.35">
      <c r="A914">
        <v>4815439</v>
      </c>
      <c r="B914" t="s">
        <v>2786</v>
      </c>
      <c r="C914" t="str">
        <f>"9780822363064"</f>
        <v>9780822363064</v>
      </c>
      <c r="D914" t="str">
        <f>"9780822373360"</f>
        <v>9780822373360</v>
      </c>
      <c r="E914" t="s">
        <v>687</v>
      </c>
      <c r="F914" t="s">
        <v>687</v>
      </c>
      <c r="G914" s="1">
        <v>42811</v>
      </c>
      <c r="H914" s="1">
        <v>42796</v>
      </c>
      <c r="I914" t="s">
        <v>189</v>
      </c>
      <c r="J914">
        <v>1</v>
      </c>
      <c r="L914" t="s">
        <v>2787</v>
      </c>
      <c r="M914" t="s">
        <v>282</v>
      </c>
    </row>
    <row r="915" spans="1:40" x14ac:dyDescent="0.35">
      <c r="A915">
        <v>4821391</v>
      </c>
      <c r="B915" t="s">
        <v>2788</v>
      </c>
      <c r="C915" t="str">
        <f>"9780822363026"</f>
        <v>9780822363026</v>
      </c>
      <c r="D915" t="str">
        <f>"9780822373391"</f>
        <v>9780822373391</v>
      </c>
      <c r="E915" t="s">
        <v>687</v>
      </c>
      <c r="F915" t="s">
        <v>687</v>
      </c>
      <c r="G915" s="1">
        <v>42832</v>
      </c>
      <c r="H915" s="1">
        <v>42805</v>
      </c>
      <c r="I915" t="s">
        <v>189</v>
      </c>
      <c r="J915">
        <v>1</v>
      </c>
      <c r="L915" t="s">
        <v>2789</v>
      </c>
    </row>
    <row r="916" spans="1:40" x14ac:dyDescent="0.35">
      <c r="A916">
        <v>4822074</v>
      </c>
      <c r="B916" t="s">
        <v>2790</v>
      </c>
      <c r="C916" t="str">
        <f>"9788376560465"</f>
        <v>9788376560465</v>
      </c>
      <c r="D916" t="str">
        <f>"9788376560472"</f>
        <v>9788376560472</v>
      </c>
      <c r="E916" t="s">
        <v>415</v>
      </c>
      <c r="F916" t="s">
        <v>659</v>
      </c>
      <c r="G916" s="1">
        <v>42723</v>
      </c>
      <c r="H916" s="1">
        <v>42807</v>
      </c>
      <c r="I916" t="s">
        <v>189</v>
      </c>
      <c r="J916">
        <v>1</v>
      </c>
      <c r="L916" t="s">
        <v>2791</v>
      </c>
    </row>
    <row r="917" spans="1:40" x14ac:dyDescent="0.35">
      <c r="A917">
        <v>4822100</v>
      </c>
      <c r="B917" t="s">
        <v>2792</v>
      </c>
      <c r="C917" t="str">
        <f>"9783110471731"</f>
        <v>9783110471731</v>
      </c>
      <c r="D917" t="str">
        <f>"9783110471748"</f>
        <v>9783110471748</v>
      </c>
      <c r="E917" t="s">
        <v>415</v>
      </c>
      <c r="F917" t="s">
        <v>659</v>
      </c>
      <c r="G917" s="1">
        <v>42422</v>
      </c>
      <c r="H917" s="1">
        <v>42807</v>
      </c>
      <c r="I917" t="s">
        <v>189</v>
      </c>
      <c r="J917">
        <v>1</v>
      </c>
      <c r="L917" t="s">
        <v>2793</v>
      </c>
    </row>
    <row r="918" spans="1:40" x14ac:dyDescent="0.35">
      <c r="A918">
        <v>4822105</v>
      </c>
      <c r="B918" t="s">
        <v>2794</v>
      </c>
      <c r="C918" t="str">
        <f>"9783110484595"</f>
        <v>9783110484595</v>
      </c>
      <c r="D918" t="str">
        <f>"9783110484663"</f>
        <v>9783110484663</v>
      </c>
      <c r="E918" t="s">
        <v>415</v>
      </c>
      <c r="F918" t="s">
        <v>415</v>
      </c>
      <c r="G918" s="1">
        <v>42800</v>
      </c>
      <c r="H918" s="1">
        <v>42807</v>
      </c>
      <c r="I918" t="s">
        <v>189</v>
      </c>
      <c r="J918">
        <v>1</v>
      </c>
      <c r="L918" t="s">
        <v>2795</v>
      </c>
      <c r="M918" t="s">
        <v>219</v>
      </c>
      <c r="N918" t="s">
        <v>2796</v>
      </c>
      <c r="O918">
        <v>808</v>
      </c>
      <c r="P918" t="s">
        <v>2797</v>
      </c>
    </row>
    <row r="919" spans="1:40" x14ac:dyDescent="0.35">
      <c r="A919">
        <v>4831155</v>
      </c>
      <c r="B919" t="s">
        <v>2798</v>
      </c>
      <c r="C919" t="str">
        <f>"9781783742493"</f>
        <v>9781783742493</v>
      </c>
      <c r="D919" t="str">
        <f>"9781783742509"</f>
        <v>9781783742509</v>
      </c>
      <c r="E919" t="s">
        <v>1807</v>
      </c>
      <c r="F919" t="s">
        <v>1807</v>
      </c>
      <c r="G919" s="1">
        <v>42786</v>
      </c>
      <c r="H919" s="1">
        <v>42825</v>
      </c>
      <c r="I919" t="s">
        <v>189</v>
      </c>
      <c r="J919">
        <v>1</v>
      </c>
      <c r="L919" t="s">
        <v>2799</v>
      </c>
      <c r="M919" t="s">
        <v>2800</v>
      </c>
      <c r="Q919" t="s">
        <v>260</v>
      </c>
      <c r="R919" t="s">
        <v>261</v>
      </c>
      <c r="S919" t="s">
        <v>261</v>
      </c>
      <c r="T919" t="s">
        <v>261</v>
      </c>
      <c r="U919" t="s">
        <v>261</v>
      </c>
      <c r="V919" t="s">
        <v>262</v>
      </c>
      <c r="W919" t="s">
        <v>261</v>
      </c>
      <c r="X919" t="s">
        <v>261</v>
      </c>
      <c r="Y919" t="s">
        <v>261</v>
      </c>
      <c r="Z919" t="s">
        <v>409</v>
      </c>
      <c r="AA919" t="s">
        <v>409</v>
      </c>
      <c r="AB919" t="s">
        <v>409</v>
      </c>
      <c r="AC919" t="s">
        <v>409</v>
      </c>
      <c r="AD919" t="s">
        <v>262</v>
      </c>
      <c r="AE919">
        <v>11368441</v>
      </c>
      <c r="AH919" t="s">
        <v>262</v>
      </c>
      <c r="AI919" t="s">
        <v>262</v>
      </c>
      <c r="AJ919" t="s">
        <v>261</v>
      </c>
      <c r="AK919" t="s">
        <v>261</v>
      </c>
      <c r="AM919" t="s">
        <v>262</v>
      </c>
      <c r="AN919" t="s">
        <v>2801</v>
      </c>
    </row>
    <row r="920" spans="1:40" x14ac:dyDescent="0.35">
      <c r="A920">
        <v>4831156</v>
      </c>
      <c r="B920" t="s">
        <v>2802</v>
      </c>
      <c r="C920" t="str">
        <f>"9781783742646"</f>
        <v>9781783742646</v>
      </c>
      <c r="D920" t="str">
        <f>"9781783742653"</f>
        <v>9781783742653</v>
      </c>
      <c r="E920" t="s">
        <v>1807</v>
      </c>
      <c r="F920" t="s">
        <v>1807</v>
      </c>
      <c r="G920" s="1">
        <v>42786</v>
      </c>
      <c r="H920" s="1">
        <v>42824</v>
      </c>
      <c r="I920" t="s">
        <v>189</v>
      </c>
      <c r="J920">
        <v>1</v>
      </c>
      <c r="K920" t="s">
        <v>2114</v>
      </c>
      <c r="L920" t="s">
        <v>2115</v>
      </c>
    </row>
    <row r="921" spans="1:40" x14ac:dyDescent="0.35">
      <c r="A921">
        <v>4831157</v>
      </c>
      <c r="B921" t="s">
        <v>2803</v>
      </c>
      <c r="C921" t="str">
        <f>"9781783743094"</f>
        <v>9781783743094</v>
      </c>
      <c r="D921" t="str">
        <f>"9781783743100"</f>
        <v>9781783743100</v>
      </c>
      <c r="E921" t="s">
        <v>1807</v>
      </c>
      <c r="F921" t="s">
        <v>1807</v>
      </c>
      <c r="G921" s="1">
        <v>42751</v>
      </c>
      <c r="H921" s="1">
        <v>42824</v>
      </c>
      <c r="I921" t="s">
        <v>189</v>
      </c>
      <c r="J921">
        <v>1</v>
      </c>
      <c r="K921" t="s">
        <v>2124</v>
      </c>
      <c r="L921" t="s">
        <v>2125</v>
      </c>
    </row>
    <row r="922" spans="1:40" x14ac:dyDescent="0.35">
      <c r="A922">
        <v>4831158</v>
      </c>
      <c r="B922" t="s">
        <v>2804</v>
      </c>
      <c r="C922" t="str">
        <f>"9781783742691"</f>
        <v>9781783742691</v>
      </c>
      <c r="D922" t="str">
        <f>"9781783742707"</f>
        <v>9781783742707</v>
      </c>
      <c r="E922" t="s">
        <v>1807</v>
      </c>
      <c r="F922" t="s">
        <v>1807</v>
      </c>
      <c r="G922" s="1">
        <v>42809</v>
      </c>
      <c r="H922" s="1">
        <v>42824</v>
      </c>
      <c r="I922" t="s">
        <v>189</v>
      </c>
      <c r="J922">
        <v>1</v>
      </c>
      <c r="K922" t="s">
        <v>1851</v>
      </c>
      <c r="L922" t="s">
        <v>2805</v>
      </c>
      <c r="M922" t="s">
        <v>210</v>
      </c>
      <c r="Q922" t="s">
        <v>260</v>
      </c>
      <c r="R922" t="s">
        <v>261</v>
      </c>
      <c r="S922" t="s">
        <v>261</v>
      </c>
      <c r="T922" t="s">
        <v>261</v>
      </c>
      <c r="U922" t="s">
        <v>261</v>
      </c>
      <c r="V922" t="s">
        <v>262</v>
      </c>
      <c r="W922" t="s">
        <v>261</v>
      </c>
      <c r="X922" t="s">
        <v>261</v>
      </c>
      <c r="Y922" t="s">
        <v>261</v>
      </c>
      <c r="Z922" t="s">
        <v>409</v>
      </c>
      <c r="AA922" t="s">
        <v>409</v>
      </c>
      <c r="AB922" t="s">
        <v>409</v>
      </c>
      <c r="AC922" t="s">
        <v>409</v>
      </c>
      <c r="AD922" t="s">
        <v>262</v>
      </c>
      <c r="AE922">
        <v>11367272</v>
      </c>
      <c r="AH922" t="s">
        <v>262</v>
      </c>
      <c r="AI922" t="s">
        <v>262</v>
      </c>
      <c r="AJ922" t="s">
        <v>261</v>
      </c>
      <c r="AK922" t="s">
        <v>261</v>
      </c>
      <c r="AM922" t="s">
        <v>262</v>
      </c>
      <c r="AN922" t="s">
        <v>2806</v>
      </c>
    </row>
    <row r="923" spans="1:40" x14ac:dyDescent="0.35">
      <c r="A923">
        <v>4831159</v>
      </c>
      <c r="B923" t="s">
        <v>2807</v>
      </c>
      <c r="C923" t="str">
        <f>"9781783743049"</f>
        <v>9781783743049</v>
      </c>
      <c r="D923" t="str">
        <f>"9781783743056"</f>
        <v>9781783743056</v>
      </c>
      <c r="E923" t="s">
        <v>1807</v>
      </c>
      <c r="F923" t="s">
        <v>1807</v>
      </c>
      <c r="G923" s="1">
        <v>42758</v>
      </c>
      <c r="H923" s="1">
        <v>42824</v>
      </c>
      <c r="I923" t="s">
        <v>189</v>
      </c>
      <c r="J923">
        <v>1</v>
      </c>
      <c r="L923" t="s">
        <v>2808</v>
      </c>
    </row>
    <row r="924" spans="1:40" x14ac:dyDescent="0.35">
      <c r="A924">
        <v>4845337</v>
      </c>
      <c r="B924" t="s">
        <v>2809</v>
      </c>
      <c r="C924" t="str">
        <f>"9782759226177"</f>
        <v>9782759226177</v>
      </c>
      <c r="D924" t="str">
        <f>"9782759226191"</f>
        <v>9782759226191</v>
      </c>
      <c r="E924" t="s">
        <v>1928</v>
      </c>
      <c r="F924" t="s">
        <v>1928</v>
      </c>
      <c r="G924" s="1">
        <v>42917</v>
      </c>
      <c r="H924" s="1">
        <v>42861</v>
      </c>
      <c r="I924" t="s">
        <v>189</v>
      </c>
      <c r="K924" t="s">
        <v>1929</v>
      </c>
      <c r="L924" t="s">
        <v>2810</v>
      </c>
    </row>
    <row r="925" spans="1:40" x14ac:dyDescent="0.35">
      <c r="A925">
        <v>4845339</v>
      </c>
      <c r="B925" t="s">
        <v>2811</v>
      </c>
      <c r="C925" t="str">
        <f>"9782759226269"</f>
        <v>9782759226269</v>
      </c>
      <c r="D925" t="str">
        <f>"9782759226283"</f>
        <v>9782759226283</v>
      </c>
      <c r="E925" t="s">
        <v>1928</v>
      </c>
      <c r="F925" t="s">
        <v>1928</v>
      </c>
      <c r="G925" s="1">
        <v>42845</v>
      </c>
      <c r="H925" s="1">
        <v>42861</v>
      </c>
      <c r="I925" t="s">
        <v>189</v>
      </c>
      <c r="K925" t="s">
        <v>2575</v>
      </c>
      <c r="L925" t="s">
        <v>2812</v>
      </c>
    </row>
    <row r="926" spans="1:40" x14ac:dyDescent="0.35">
      <c r="A926">
        <v>4853759</v>
      </c>
      <c r="B926" t="s">
        <v>2813</v>
      </c>
      <c r="C926" t="str">
        <f>"9789462982598"</f>
        <v>9789462982598</v>
      </c>
      <c r="D926" t="str">
        <f>"9789048532636"</f>
        <v>9789048532636</v>
      </c>
      <c r="E926" t="s">
        <v>361</v>
      </c>
      <c r="F926" t="s">
        <v>361</v>
      </c>
      <c r="G926" s="1">
        <v>42803</v>
      </c>
      <c r="H926" s="1">
        <v>42859</v>
      </c>
      <c r="I926" t="s">
        <v>189</v>
      </c>
      <c r="J926">
        <v>1</v>
      </c>
      <c r="K926" t="s">
        <v>2814</v>
      </c>
      <c r="L926" t="s">
        <v>2815</v>
      </c>
    </row>
    <row r="927" spans="1:40" x14ac:dyDescent="0.35">
      <c r="A927">
        <v>4858439</v>
      </c>
      <c r="B927" t="s">
        <v>2816</v>
      </c>
      <c r="C927" t="str">
        <f>"9780822369615"</f>
        <v>9780822369615</v>
      </c>
      <c r="D927" t="str">
        <f>"9780822372912"</f>
        <v>9780822372912</v>
      </c>
      <c r="E927" t="s">
        <v>687</v>
      </c>
      <c r="F927" t="s">
        <v>687</v>
      </c>
      <c r="G927" s="1">
        <v>42870</v>
      </c>
      <c r="H927" s="1">
        <v>42870</v>
      </c>
      <c r="I927" t="s">
        <v>189</v>
      </c>
      <c r="J927">
        <v>1</v>
      </c>
      <c r="L927" t="s">
        <v>2817</v>
      </c>
      <c r="M927" t="s">
        <v>329</v>
      </c>
      <c r="N927" t="s">
        <v>2818</v>
      </c>
      <c r="O927" s="2">
        <v>306097281</v>
      </c>
      <c r="Q927" t="s">
        <v>260</v>
      </c>
      <c r="R927" t="s">
        <v>261</v>
      </c>
      <c r="S927" t="s">
        <v>261</v>
      </c>
      <c r="T927" t="s">
        <v>261</v>
      </c>
      <c r="U927" t="s">
        <v>261</v>
      </c>
      <c r="V927" t="s">
        <v>262</v>
      </c>
      <c r="W927" t="s">
        <v>261</v>
      </c>
      <c r="X927" t="s">
        <v>261</v>
      </c>
      <c r="Y927" t="s">
        <v>261</v>
      </c>
      <c r="Z927" t="s">
        <v>409</v>
      </c>
      <c r="AB927" t="s">
        <v>409</v>
      </c>
      <c r="AC927" t="s">
        <v>409</v>
      </c>
      <c r="AD927" t="s">
        <v>262</v>
      </c>
      <c r="AE927">
        <v>11384890</v>
      </c>
      <c r="AF927">
        <v>1011116</v>
      </c>
      <c r="AH927" t="s">
        <v>262</v>
      </c>
      <c r="AI927" t="s">
        <v>262</v>
      </c>
      <c r="AJ927" t="s">
        <v>261</v>
      </c>
      <c r="AK927" t="s">
        <v>261</v>
      </c>
      <c r="AM927" t="s">
        <v>262</v>
      </c>
      <c r="AN927" t="s">
        <v>2819</v>
      </c>
    </row>
    <row r="928" spans="1:40" x14ac:dyDescent="0.35">
      <c r="A928">
        <v>4864836</v>
      </c>
      <c r="B928" t="s">
        <v>2820</v>
      </c>
      <c r="C928" t="str">
        <f>"9782759208869"</f>
        <v>9782759208869</v>
      </c>
      <c r="D928" t="str">
        <f>"9782759208876"</f>
        <v>9782759208876</v>
      </c>
      <c r="E928" t="s">
        <v>1928</v>
      </c>
      <c r="F928" t="s">
        <v>1928</v>
      </c>
      <c r="G928" s="1">
        <v>40179</v>
      </c>
      <c r="H928" s="1">
        <v>43038</v>
      </c>
      <c r="I928" t="s">
        <v>189</v>
      </c>
      <c r="K928" t="s">
        <v>1936</v>
      </c>
      <c r="L928" t="s">
        <v>91</v>
      </c>
    </row>
    <row r="929" spans="1:40" x14ac:dyDescent="0.35">
      <c r="A929">
        <v>4873061</v>
      </c>
      <c r="B929" t="s">
        <v>2821</v>
      </c>
      <c r="C929" t="str">
        <f>""</f>
        <v/>
      </c>
      <c r="D929" t="str">
        <f>"9782759227198"</f>
        <v>9782759227198</v>
      </c>
      <c r="E929" t="s">
        <v>1928</v>
      </c>
      <c r="F929" t="s">
        <v>1928</v>
      </c>
      <c r="G929" s="1">
        <v>42887</v>
      </c>
      <c r="H929" s="1">
        <v>42894</v>
      </c>
      <c r="I929" t="s">
        <v>189</v>
      </c>
      <c r="K929" t="s">
        <v>1948</v>
      </c>
      <c r="L929" t="s">
        <v>2822</v>
      </c>
    </row>
    <row r="930" spans="1:40" x14ac:dyDescent="0.35">
      <c r="A930">
        <v>4901448</v>
      </c>
      <c r="B930" t="s">
        <v>2823</v>
      </c>
      <c r="C930" t="str">
        <f>"9781783740888"</f>
        <v>9781783740888</v>
      </c>
      <c r="D930" t="str">
        <f>"9781783740895"</f>
        <v>9781783740895</v>
      </c>
      <c r="E930" t="s">
        <v>1807</v>
      </c>
      <c r="F930" t="s">
        <v>1807</v>
      </c>
      <c r="G930" s="1">
        <v>42846</v>
      </c>
      <c r="H930" s="1">
        <v>42924</v>
      </c>
      <c r="I930" t="s">
        <v>189</v>
      </c>
      <c r="J930">
        <v>1</v>
      </c>
      <c r="L930" t="s">
        <v>2824</v>
      </c>
    </row>
    <row r="931" spans="1:40" x14ac:dyDescent="0.35">
      <c r="A931">
        <v>4901449</v>
      </c>
      <c r="B931" t="s">
        <v>2825</v>
      </c>
      <c r="C931" t="str">
        <f>"9781783743797"</f>
        <v>9781783743797</v>
      </c>
      <c r="D931" t="str">
        <f>"9781783743803"</f>
        <v>9781783743803</v>
      </c>
      <c r="E931" t="s">
        <v>1807</v>
      </c>
      <c r="F931" t="s">
        <v>1807</v>
      </c>
      <c r="G931" s="1">
        <v>42909</v>
      </c>
      <c r="H931" s="1">
        <v>42924</v>
      </c>
      <c r="I931" t="s">
        <v>189</v>
      </c>
      <c r="J931">
        <v>1</v>
      </c>
      <c r="K931" t="s">
        <v>2114</v>
      </c>
      <c r="L931" t="s">
        <v>2826</v>
      </c>
    </row>
    <row r="932" spans="1:40" x14ac:dyDescent="0.35">
      <c r="A932">
        <v>4901450</v>
      </c>
      <c r="B932" t="s">
        <v>2827</v>
      </c>
      <c r="C932" t="str">
        <f>"9781783743247"</f>
        <v>9781783743247</v>
      </c>
      <c r="D932" t="str">
        <f>"9781783743254"</f>
        <v>9781783743254</v>
      </c>
      <c r="E932" t="s">
        <v>1807</v>
      </c>
      <c r="F932" t="s">
        <v>1807</v>
      </c>
      <c r="G932" s="1">
        <v>42884</v>
      </c>
      <c r="H932" s="1">
        <v>42924</v>
      </c>
      <c r="I932" t="s">
        <v>189</v>
      </c>
      <c r="J932">
        <v>1</v>
      </c>
      <c r="K932" t="s">
        <v>1851</v>
      </c>
      <c r="L932" t="s">
        <v>2828</v>
      </c>
    </row>
    <row r="933" spans="1:40" x14ac:dyDescent="0.35">
      <c r="A933">
        <v>4901451</v>
      </c>
      <c r="B933" t="s">
        <v>2829</v>
      </c>
      <c r="C933" t="str">
        <f>"9781783743292"</f>
        <v>9781783743292</v>
      </c>
      <c r="D933" t="str">
        <f>"9781783743308"</f>
        <v>9781783743308</v>
      </c>
      <c r="E933" t="s">
        <v>1807</v>
      </c>
      <c r="F933" t="s">
        <v>1807</v>
      </c>
      <c r="G933" s="1">
        <v>42901</v>
      </c>
      <c r="H933" s="1">
        <v>42941</v>
      </c>
      <c r="I933" t="s">
        <v>189</v>
      </c>
      <c r="J933">
        <v>1</v>
      </c>
      <c r="L933" t="s">
        <v>2830</v>
      </c>
    </row>
    <row r="934" spans="1:40" x14ac:dyDescent="0.35">
      <c r="A934">
        <v>4901452</v>
      </c>
      <c r="B934" t="s">
        <v>2831</v>
      </c>
      <c r="C934" t="str">
        <f>"9781783743445"</f>
        <v>9781783743445</v>
      </c>
      <c r="D934" t="str">
        <f>"9781783743452"</f>
        <v>9781783743452</v>
      </c>
      <c r="E934" t="s">
        <v>1807</v>
      </c>
      <c r="F934" t="s">
        <v>1807</v>
      </c>
      <c r="G934" s="1">
        <v>42856</v>
      </c>
      <c r="H934" s="1">
        <v>42924</v>
      </c>
      <c r="I934" t="s">
        <v>189</v>
      </c>
      <c r="J934">
        <v>1</v>
      </c>
      <c r="K934" t="s">
        <v>2114</v>
      </c>
      <c r="L934" t="s">
        <v>2832</v>
      </c>
    </row>
    <row r="935" spans="1:40" x14ac:dyDescent="0.35">
      <c r="A935">
        <v>4901459</v>
      </c>
      <c r="B935" t="s">
        <v>2833</v>
      </c>
      <c r="C935" t="str">
        <f>"9781783743193"</f>
        <v>9781783743193</v>
      </c>
      <c r="D935" t="str">
        <f>"9781783743209"</f>
        <v>9781783743209</v>
      </c>
      <c r="E935" t="s">
        <v>1807</v>
      </c>
      <c r="F935" t="s">
        <v>1807</v>
      </c>
      <c r="G935" s="1">
        <v>42870</v>
      </c>
      <c r="H935" s="1">
        <v>42924</v>
      </c>
      <c r="I935" t="s">
        <v>189</v>
      </c>
      <c r="J935">
        <v>1</v>
      </c>
      <c r="K935" t="s">
        <v>1866</v>
      </c>
      <c r="L935" t="s">
        <v>2834</v>
      </c>
    </row>
    <row r="936" spans="1:40" x14ac:dyDescent="0.35">
      <c r="A936">
        <v>4901620</v>
      </c>
      <c r="B936" t="s">
        <v>2835</v>
      </c>
      <c r="C936" t="str">
        <f>""</f>
        <v/>
      </c>
      <c r="D936" t="str">
        <f>"9782759227310"</f>
        <v>9782759227310</v>
      </c>
      <c r="E936" t="s">
        <v>1928</v>
      </c>
      <c r="F936" t="s">
        <v>1928</v>
      </c>
      <c r="G936" s="1">
        <v>42919</v>
      </c>
      <c r="H936" s="1">
        <v>42923</v>
      </c>
      <c r="I936" t="s">
        <v>189</v>
      </c>
      <c r="K936" t="s">
        <v>2568</v>
      </c>
      <c r="L936" t="s">
        <v>2836</v>
      </c>
    </row>
    <row r="937" spans="1:40" x14ac:dyDescent="0.35">
      <c r="A937">
        <v>4914163</v>
      </c>
      <c r="B937" t="s">
        <v>2837</v>
      </c>
      <c r="C937" t="str">
        <f>"9781439914328"</f>
        <v>9781439914328</v>
      </c>
      <c r="D937" t="str">
        <f>"9781439914342"</f>
        <v>9781439914342</v>
      </c>
      <c r="E937" t="s">
        <v>321</v>
      </c>
      <c r="F937" t="s">
        <v>321</v>
      </c>
      <c r="G937" s="1">
        <v>42870</v>
      </c>
      <c r="H937" s="1">
        <v>42930</v>
      </c>
      <c r="I937" t="s">
        <v>189</v>
      </c>
      <c r="J937">
        <v>1</v>
      </c>
      <c r="K937" t="s">
        <v>2838</v>
      </c>
      <c r="L937" t="s">
        <v>2839</v>
      </c>
      <c r="M937" t="s">
        <v>329</v>
      </c>
      <c r="N937" t="s">
        <v>2840</v>
      </c>
      <c r="O937" t="s">
        <v>2841</v>
      </c>
      <c r="P937" t="s">
        <v>2842</v>
      </c>
      <c r="Q937" t="s">
        <v>260</v>
      </c>
      <c r="R937" t="s">
        <v>261</v>
      </c>
      <c r="S937" t="s">
        <v>261</v>
      </c>
      <c r="T937" t="s">
        <v>261</v>
      </c>
      <c r="U937" t="s">
        <v>261</v>
      </c>
      <c r="V937" t="s">
        <v>262</v>
      </c>
      <c r="W937" t="s">
        <v>261</v>
      </c>
      <c r="X937" t="s">
        <v>261</v>
      </c>
      <c r="Y937" t="s">
        <v>261</v>
      </c>
      <c r="Z937" t="s">
        <v>409</v>
      </c>
      <c r="AA937" t="s">
        <v>409</v>
      </c>
      <c r="AB937" t="s">
        <v>409</v>
      </c>
      <c r="AC937" t="s">
        <v>409</v>
      </c>
      <c r="AD937" t="s">
        <v>262</v>
      </c>
      <c r="AE937">
        <v>11412411</v>
      </c>
      <c r="AF937">
        <v>1021988</v>
      </c>
      <c r="AH937" t="s">
        <v>262</v>
      </c>
      <c r="AI937" t="s">
        <v>262</v>
      </c>
      <c r="AJ937" t="s">
        <v>261</v>
      </c>
      <c r="AK937" t="s">
        <v>261</v>
      </c>
      <c r="AM937" t="s">
        <v>262</v>
      </c>
      <c r="AN937" t="s">
        <v>2843</v>
      </c>
    </row>
    <row r="938" spans="1:40" x14ac:dyDescent="0.35">
      <c r="A938">
        <v>4915237</v>
      </c>
      <c r="B938" t="s">
        <v>2844</v>
      </c>
      <c r="C938" t="str">
        <f>"9789027212498"</f>
        <v>9789027212498</v>
      </c>
      <c r="D938" t="str">
        <f>"9789027265739"</f>
        <v>9789027265739</v>
      </c>
      <c r="E938" t="s">
        <v>1372</v>
      </c>
      <c r="F938" t="s">
        <v>1372</v>
      </c>
      <c r="G938" s="1">
        <v>42886</v>
      </c>
      <c r="H938" s="1">
        <v>44210</v>
      </c>
      <c r="I938" t="s">
        <v>189</v>
      </c>
      <c r="J938">
        <v>1</v>
      </c>
      <c r="L938" t="s">
        <v>2845</v>
      </c>
    </row>
    <row r="939" spans="1:40" x14ac:dyDescent="0.35">
      <c r="A939">
        <v>4983489</v>
      </c>
      <c r="B939" t="s">
        <v>2846</v>
      </c>
      <c r="C939" t="str">
        <f>"9789027244567"</f>
        <v>9789027244567</v>
      </c>
      <c r="D939" t="str">
        <f>"9789027265890"</f>
        <v>9789027265890</v>
      </c>
      <c r="E939" t="s">
        <v>1372</v>
      </c>
      <c r="F939" t="s">
        <v>1372</v>
      </c>
      <c r="G939" s="1">
        <v>42928</v>
      </c>
      <c r="H939" s="1">
        <v>42972</v>
      </c>
      <c r="I939" t="s">
        <v>189</v>
      </c>
      <c r="J939">
        <v>1</v>
      </c>
      <c r="K939" t="s">
        <v>2847</v>
      </c>
      <c r="L939" t="s">
        <v>2848</v>
      </c>
      <c r="M939" t="s">
        <v>329</v>
      </c>
      <c r="N939" t="s">
        <v>2849</v>
      </c>
      <c r="O939" s="2">
        <v>398209953</v>
      </c>
      <c r="P939" t="s">
        <v>2850</v>
      </c>
      <c r="Q939" t="s">
        <v>260</v>
      </c>
      <c r="R939" t="s">
        <v>261</v>
      </c>
      <c r="S939" t="s">
        <v>261</v>
      </c>
      <c r="T939" t="s">
        <v>261</v>
      </c>
      <c r="U939" t="s">
        <v>261</v>
      </c>
      <c r="V939" t="s">
        <v>262</v>
      </c>
      <c r="W939" t="s">
        <v>261</v>
      </c>
      <c r="X939" t="s">
        <v>261</v>
      </c>
      <c r="Y939" t="s">
        <v>261</v>
      </c>
      <c r="Z939" t="s">
        <v>409</v>
      </c>
      <c r="AA939" t="s">
        <v>409</v>
      </c>
      <c r="AB939" t="s">
        <v>409</v>
      </c>
      <c r="AC939" t="s">
        <v>409</v>
      </c>
      <c r="AD939" t="s">
        <v>262</v>
      </c>
      <c r="AE939">
        <v>11428704</v>
      </c>
      <c r="AH939" t="s">
        <v>262</v>
      </c>
      <c r="AI939" t="s">
        <v>262</v>
      </c>
      <c r="AJ939" t="s">
        <v>261</v>
      </c>
      <c r="AK939" t="s">
        <v>261</v>
      </c>
      <c r="AM939" t="s">
        <v>262</v>
      </c>
      <c r="AN939" t="s">
        <v>2851</v>
      </c>
    </row>
    <row r="940" spans="1:40" x14ac:dyDescent="0.35">
      <c r="A940">
        <v>4983510</v>
      </c>
      <c r="B940" t="s">
        <v>2852</v>
      </c>
      <c r="C940" t="str">
        <f>"9789027252760"</f>
        <v>9789027252760</v>
      </c>
      <c r="D940" t="str">
        <f>"9789027265807"</f>
        <v>9789027265807</v>
      </c>
      <c r="E940" t="s">
        <v>1372</v>
      </c>
      <c r="F940" t="s">
        <v>1372</v>
      </c>
      <c r="G940" s="1">
        <v>42942</v>
      </c>
      <c r="H940" s="1">
        <v>42971</v>
      </c>
      <c r="I940" t="s">
        <v>189</v>
      </c>
      <c r="J940">
        <v>1</v>
      </c>
      <c r="K940" t="s">
        <v>2853</v>
      </c>
      <c r="L940" t="s">
        <v>2854</v>
      </c>
    </row>
    <row r="941" spans="1:40" x14ac:dyDescent="0.35">
      <c r="A941">
        <v>5046618</v>
      </c>
      <c r="B941" t="s">
        <v>2855</v>
      </c>
      <c r="C941" t="str">
        <f>"9789462981362"</f>
        <v>9789462981362</v>
      </c>
      <c r="D941" t="str">
        <f>"9789048531011"</f>
        <v>9789048531011</v>
      </c>
      <c r="E941" t="s">
        <v>361</v>
      </c>
      <c r="F941" t="s">
        <v>361</v>
      </c>
      <c r="G941" s="1">
        <v>42787</v>
      </c>
      <c r="H941" s="1">
        <v>42992</v>
      </c>
      <c r="I941" t="s">
        <v>189</v>
      </c>
      <c r="J941">
        <v>1</v>
      </c>
      <c r="L941" t="s">
        <v>2856</v>
      </c>
    </row>
    <row r="942" spans="1:40" x14ac:dyDescent="0.35">
      <c r="A942">
        <v>5106141</v>
      </c>
      <c r="B942" t="s">
        <v>2857</v>
      </c>
      <c r="C942" t="str">
        <f>"9783110533453"</f>
        <v>9783110533453</v>
      </c>
      <c r="D942" t="str">
        <f>"9783110534511"</f>
        <v>9783110534511</v>
      </c>
      <c r="E942" t="s">
        <v>415</v>
      </c>
      <c r="F942" t="s">
        <v>415</v>
      </c>
      <c r="G942" s="1">
        <v>43018</v>
      </c>
      <c r="H942" s="1">
        <v>43039</v>
      </c>
      <c r="I942" t="s">
        <v>189</v>
      </c>
      <c r="J942">
        <v>3</v>
      </c>
      <c r="K942" t="s">
        <v>2858</v>
      </c>
      <c r="L942" t="s">
        <v>2859</v>
      </c>
      <c r="M942" t="s">
        <v>199</v>
      </c>
      <c r="N942" t="s">
        <v>2860</v>
      </c>
      <c r="O942" t="s">
        <v>2861</v>
      </c>
      <c r="P942" t="s">
        <v>2862</v>
      </c>
      <c r="Q942" t="s">
        <v>408</v>
      </c>
      <c r="R942" t="s">
        <v>261</v>
      </c>
      <c r="S942" t="s">
        <v>261</v>
      </c>
      <c r="T942" t="s">
        <v>261</v>
      </c>
      <c r="U942" t="s">
        <v>261</v>
      </c>
      <c r="V942" t="s">
        <v>262</v>
      </c>
      <c r="W942" t="s">
        <v>261</v>
      </c>
      <c r="X942" t="s">
        <v>261</v>
      </c>
      <c r="Y942" t="s">
        <v>261</v>
      </c>
      <c r="Z942" t="s">
        <v>409</v>
      </c>
      <c r="AA942" t="s">
        <v>409</v>
      </c>
      <c r="AB942" t="s">
        <v>409</v>
      </c>
      <c r="AC942" t="s">
        <v>409</v>
      </c>
      <c r="AD942" t="s">
        <v>262</v>
      </c>
      <c r="AE942">
        <v>11462160</v>
      </c>
      <c r="AH942" t="s">
        <v>262</v>
      </c>
      <c r="AI942" t="s">
        <v>262</v>
      </c>
      <c r="AJ942" t="s">
        <v>261</v>
      </c>
      <c r="AK942" t="s">
        <v>261</v>
      </c>
      <c r="AM942" t="s">
        <v>262</v>
      </c>
      <c r="AN942" t="s">
        <v>2863</v>
      </c>
    </row>
    <row r="943" spans="1:40" x14ac:dyDescent="0.35">
      <c r="A943">
        <v>5115277</v>
      </c>
      <c r="B943" t="s">
        <v>2864</v>
      </c>
      <c r="C943" t="str">
        <f>"9781783743490"</f>
        <v>9781783743490</v>
      </c>
      <c r="D943" t="str">
        <f>"9781783743506"</f>
        <v>9781783743506</v>
      </c>
      <c r="E943" t="s">
        <v>1807</v>
      </c>
      <c r="F943" t="s">
        <v>1807</v>
      </c>
      <c r="G943" s="1">
        <v>42926</v>
      </c>
      <c r="H943" s="1">
        <v>43039</v>
      </c>
      <c r="I943" t="s">
        <v>189</v>
      </c>
      <c r="J943">
        <v>1</v>
      </c>
      <c r="L943" t="s">
        <v>2865</v>
      </c>
    </row>
    <row r="944" spans="1:40" x14ac:dyDescent="0.35">
      <c r="A944">
        <v>5115278</v>
      </c>
      <c r="B944" t="s">
        <v>2866</v>
      </c>
      <c r="C944" t="str">
        <f>"9781783743698"</f>
        <v>9781783743698</v>
      </c>
      <c r="D944" t="str">
        <f>"9781783743704"</f>
        <v>9781783743704</v>
      </c>
      <c r="E944" t="s">
        <v>1807</v>
      </c>
      <c r="F944" t="s">
        <v>1807</v>
      </c>
      <c r="G944" s="1">
        <v>43017</v>
      </c>
      <c r="H944" s="1">
        <v>43039</v>
      </c>
      <c r="I944" t="s">
        <v>189</v>
      </c>
      <c r="J944">
        <v>1</v>
      </c>
      <c r="L944" t="s">
        <v>2867</v>
      </c>
      <c r="M944" t="s">
        <v>210</v>
      </c>
      <c r="Q944" t="s">
        <v>260</v>
      </c>
      <c r="R944" t="s">
        <v>261</v>
      </c>
      <c r="S944" t="s">
        <v>261</v>
      </c>
      <c r="T944" t="s">
        <v>261</v>
      </c>
      <c r="U944" t="s">
        <v>261</v>
      </c>
      <c r="V944" t="s">
        <v>262</v>
      </c>
      <c r="W944" t="s">
        <v>261</v>
      </c>
      <c r="X944" t="s">
        <v>261</v>
      </c>
      <c r="Y944" t="s">
        <v>261</v>
      </c>
      <c r="Z944" t="s">
        <v>409</v>
      </c>
      <c r="AA944" t="s">
        <v>409</v>
      </c>
      <c r="AB944" t="s">
        <v>409</v>
      </c>
      <c r="AC944" t="s">
        <v>409</v>
      </c>
      <c r="AD944" t="s">
        <v>262</v>
      </c>
      <c r="AE944">
        <v>11462226</v>
      </c>
      <c r="AH944" t="s">
        <v>262</v>
      </c>
      <c r="AI944" t="s">
        <v>262</v>
      </c>
      <c r="AJ944" t="s">
        <v>261</v>
      </c>
      <c r="AK944" t="s">
        <v>261</v>
      </c>
      <c r="AM944" t="s">
        <v>262</v>
      </c>
      <c r="AN944" t="s">
        <v>2868</v>
      </c>
    </row>
    <row r="945" spans="1:40" x14ac:dyDescent="0.35">
      <c r="A945">
        <v>5115280</v>
      </c>
      <c r="B945" t="s">
        <v>2869</v>
      </c>
      <c r="C945" t="str">
        <f>"9781783743896"</f>
        <v>9781783743896</v>
      </c>
      <c r="D945" t="str">
        <f>"9781783743902"</f>
        <v>9781783743902</v>
      </c>
      <c r="E945" t="s">
        <v>1807</v>
      </c>
      <c r="F945" t="s">
        <v>1807</v>
      </c>
      <c r="G945" s="1">
        <v>42947</v>
      </c>
      <c r="H945" s="1">
        <v>43039</v>
      </c>
      <c r="I945" t="s">
        <v>189</v>
      </c>
      <c r="J945">
        <v>1</v>
      </c>
      <c r="L945" t="s">
        <v>2870</v>
      </c>
    </row>
    <row r="946" spans="1:40" x14ac:dyDescent="0.35">
      <c r="A946">
        <v>5115281</v>
      </c>
      <c r="B946" t="s">
        <v>2871</v>
      </c>
      <c r="C946" t="str">
        <f>"9781783743995"</f>
        <v>9781783743995</v>
      </c>
      <c r="D946" t="str">
        <f>"9781783744008"</f>
        <v>9781783744008</v>
      </c>
      <c r="E946" t="s">
        <v>1807</v>
      </c>
      <c r="F946" t="s">
        <v>1807</v>
      </c>
      <c r="G946" s="1">
        <v>42968</v>
      </c>
      <c r="H946" s="1">
        <v>43039</v>
      </c>
      <c r="I946" t="s">
        <v>189</v>
      </c>
      <c r="J946">
        <v>1</v>
      </c>
      <c r="K946" t="s">
        <v>2114</v>
      </c>
      <c r="L946" t="s">
        <v>2832</v>
      </c>
    </row>
    <row r="947" spans="1:40" x14ac:dyDescent="0.35">
      <c r="A947">
        <v>5115282</v>
      </c>
      <c r="B947" t="s">
        <v>2872</v>
      </c>
      <c r="C947" t="str">
        <f>"9781783744046"</f>
        <v>9781783744046</v>
      </c>
      <c r="D947" t="str">
        <f>"9781783744053"</f>
        <v>9781783744053</v>
      </c>
      <c r="E947" t="s">
        <v>1807</v>
      </c>
      <c r="F947" t="s">
        <v>1807</v>
      </c>
      <c r="G947" s="1">
        <v>43024</v>
      </c>
      <c r="H947" s="1">
        <v>43039</v>
      </c>
      <c r="I947" t="s">
        <v>189</v>
      </c>
      <c r="J947">
        <v>1</v>
      </c>
      <c r="L947" t="s">
        <v>2873</v>
      </c>
      <c r="M947" t="s">
        <v>329</v>
      </c>
      <c r="O947" t="s">
        <v>2874</v>
      </c>
      <c r="Q947" t="s">
        <v>260</v>
      </c>
      <c r="R947" t="s">
        <v>261</v>
      </c>
      <c r="S947" t="s">
        <v>261</v>
      </c>
      <c r="T947" t="s">
        <v>261</v>
      </c>
      <c r="U947" t="s">
        <v>261</v>
      </c>
      <c r="V947" t="s">
        <v>262</v>
      </c>
      <c r="W947" t="s">
        <v>261</v>
      </c>
      <c r="X947" t="s">
        <v>261</v>
      </c>
      <c r="Y947" t="s">
        <v>261</v>
      </c>
      <c r="Z947" t="s">
        <v>409</v>
      </c>
      <c r="AA947" t="s">
        <v>409</v>
      </c>
      <c r="AB947" t="s">
        <v>409</v>
      </c>
      <c r="AC947" t="s">
        <v>409</v>
      </c>
      <c r="AD947" t="s">
        <v>262</v>
      </c>
      <c r="AE947">
        <v>11462229</v>
      </c>
      <c r="AH947" t="s">
        <v>262</v>
      </c>
      <c r="AI947" t="s">
        <v>262</v>
      </c>
      <c r="AJ947" t="s">
        <v>261</v>
      </c>
      <c r="AK947" t="s">
        <v>261</v>
      </c>
      <c r="AM947" t="s">
        <v>262</v>
      </c>
      <c r="AN947" t="s">
        <v>2875</v>
      </c>
    </row>
    <row r="948" spans="1:40" x14ac:dyDescent="0.35">
      <c r="A948">
        <v>5115283</v>
      </c>
      <c r="B948" t="s">
        <v>2876</v>
      </c>
      <c r="C948" t="str">
        <f>"9781783742240"</f>
        <v>9781783742240</v>
      </c>
      <c r="D948" t="str">
        <f>"9781783742257"</f>
        <v>9781783742257</v>
      </c>
      <c r="E948" t="s">
        <v>1807</v>
      </c>
      <c r="F948" t="s">
        <v>1807</v>
      </c>
      <c r="G948" s="1">
        <v>42986</v>
      </c>
      <c r="H948" s="1">
        <v>43039</v>
      </c>
      <c r="I948" t="s">
        <v>189</v>
      </c>
      <c r="J948">
        <v>1</v>
      </c>
      <c r="L948" t="s">
        <v>2877</v>
      </c>
      <c r="M948" t="s">
        <v>219</v>
      </c>
      <c r="Q948" t="s">
        <v>260</v>
      </c>
      <c r="R948" t="s">
        <v>261</v>
      </c>
      <c r="S948" t="s">
        <v>261</v>
      </c>
      <c r="T948" t="s">
        <v>261</v>
      </c>
      <c r="U948" t="s">
        <v>261</v>
      </c>
      <c r="V948" t="s">
        <v>262</v>
      </c>
      <c r="W948" t="s">
        <v>261</v>
      </c>
      <c r="X948" t="s">
        <v>261</v>
      </c>
      <c r="Y948" t="s">
        <v>261</v>
      </c>
      <c r="Z948" t="s">
        <v>409</v>
      </c>
      <c r="AA948" t="s">
        <v>409</v>
      </c>
      <c r="AB948" t="s">
        <v>409</v>
      </c>
      <c r="AC948" t="s">
        <v>409</v>
      </c>
      <c r="AD948" t="s">
        <v>262</v>
      </c>
      <c r="AE948">
        <v>11462230</v>
      </c>
      <c r="AH948" t="s">
        <v>262</v>
      </c>
      <c r="AI948" t="s">
        <v>262</v>
      </c>
      <c r="AJ948" t="s">
        <v>261</v>
      </c>
      <c r="AK948" t="s">
        <v>261</v>
      </c>
      <c r="AM948" t="s">
        <v>262</v>
      </c>
      <c r="AN948" t="s">
        <v>2878</v>
      </c>
    </row>
    <row r="949" spans="1:40" x14ac:dyDescent="0.35">
      <c r="A949">
        <v>5149154</v>
      </c>
      <c r="B949" t="s">
        <v>2879</v>
      </c>
      <c r="C949" t="str">
        <f>"9781438466873"</f>
        <v>9781438466873</v>
      </c>
      <c r="D949" t="str">
        <f>"9781438466897"</f>
        <v>9781438466897</v>
      </c>
      <c r="E949" t="s">
        <v>2073</v>
      </c>
      <c r="F949" t="s">
        <v>2074</v>
      </c>
      <c r="G949" s="1">
        <v>43070</v>
      </c>
      <c r="H949" s="1">
        <v>43055</v>
      </c>
      <c r="I949" t="s">
        <v>189</v>
      </c>
      <c r="J949">
        <v>1</v>
      </c>
      <c r="K949" t="s">
        <v>2075</v>
      </c>
      <c r="L949" t="s">
        <v>2880</v>
      </c>
      <c r="M949" t="s">
        <v>210</v>
      </c>
      <c r="N949" t="s">
        <v>2881</v>
      </c>
      <c r="O949" t="s">
        <v>2882</v>
      </c>
      <c r="P949" t="s">
        <v>2883</v>
      </c>
    </row>
    <row r="950" spans="1:40" x14ac:dyDescent="0.35">
      <c r="A950">
        <v>5153913</v>
      </c>
      <c r="B950" t="s">
        <v>2884</v>
      </c>
      <c r="C950" t="str">
        <f>"9783110194777"</f>
        <v>9783110194777</v>
      </c>
      <c r="D950" t="str">
        <f>"9783110216943"</f>
        <v>9783110216943</v>
      </c>
      <c r="E950" t="s">
        <v>346</v>
      </c>
      <c r="F950" t="s">
        <v>346</v>
      </c>
      <c r="G950" s="1">
        <v>43454</v>
      </c>
      <c r="H950" s="1">
        <v>43501</v>
      </c>
      <c r="I950" t="s">
        <v>189</v>
      </c>
      <c r="J950">
        <v>1</v>
      </c>
      <c r="L950" t="s">
        <v>2885</v>
      </c>
    </row>
    <row r="951" spans="1:40" x14ac:dyDescent="0.35">
      <c r="A951">
        <v>5163005</v>
      </c>
      <c r="B951" t="s">
        <v>2886</v>
      </c>
      <c r="C951" t="str">
        <f>"9789027200204"</f>
        <v>9789027200204</v>
      </c>
      <c r="D951" t="str">
        <f>"9789027264503"</f>
        <v>9789027264503</v>
      </c>
      <c r="E951" t="s">
        <v>1372</v>
      </c>
      <c r="F951" t="s">
        <v>1372</v>
      </c>
      <c r="G951" s="1">
        <v>43083</v>
      </c>
      <c r="H951" s="1">
        <v>43067</v>
      </c>
      <c r="I951" t="s">
        <v>189</v>
      </c>
      <c r="J951">
        <v>1</v>
      </c>
      <c r="K951" t="s">
        <v>2887</v>
      </c>
      <c r="L951" t="s">
        <v>2888</v>
      </c>
      <c r="M951" t="s">
        <v>676</v>
      </c>
      <c r="N951" t="s">
        <v>2889</v>
      </c>
      <c r="O951" s="2">
        <v>439317</v>
      </c>
      <c r="Q951" t="s">
        <v>260</v>
      </c>
      <c r="R951" t="s">
        <v>261</v>
      </c>
      <c r="S951" t="s">
        <v>261</v>
      </c>
      <c r="T951" t="s">
        <v>261</v>
      </c>
      <c r="U951" t="s">
        <v>261</v>
      </c>
      <c r="V951" t="s">
        <v>262</v>
      </c>
      <c r="W951" t="s">
        <v>261</v>
      </c>
      <c r="X951" t="s">
        <v>261</v>
      </c>
      <c r="Y951" t="s">
        <v>261</v>
      </c>
      <c r="Z951" t="s">
        <v>409</v>
      </c>
      <c r="AA951" t="s">
        <v>409</v>
      </c>
      <c r="AB951" t="s">
        <v>409</v>
      </c>
      <c r="AC951" t="s">
        <v>409</v>
      </c>
      <c r="AD951" t="s">
        <v>262</v>
      </c>
      <c r="AE951">
        <v>11474143</v>
      </c>
      <c r="AH951" t="s">
        <v>262</v>
      </c>
      <c r="AI951" t="s">
        <v>262</v>
      </c>
      <c r="AJ951" t="s">
        <v>261</v>
      </c>
      <c r="AK951" t="s">
        <v>261</v>
      </c>
      <c r="AM951" t="s">
        <v>262</v>
      </c>
      <c r="AN951" t="s">
        <v>2890</v>
      </c>
    </row>
    <row r="952" spans="1:40" x14ac:dyDescent="0.35">
      <c r="A952">
        <v>5163009</v>
      </c>
      <c r="B952" t="s">
        <v>2891</v>
      </c>
      <c r="C952" t="str">
        <f>"9789027257253"</f>
        <v>9789027257253</v>
      </c>
      <c r="D952" t="str">
        <f>"9789027264879"</f>
        <v>9789027264879</v>
      </c>
      <c r="E952" t="s">
        <v>1372</v>
      </c>
      <c r="F952" t="s">
        <v>1372</v>
      </c>
      <c r="G952" s="1">
        <v>43090</v>
      </c>
      <c r="H952" s="1">
        <v>43067</v>
      </c>
      <c r="I952" t="s">
        <v>189</v>
      </c>
      <c r="J952">
        <v>1</v>
      </c>
      <c r="K952" t="s">
        <v>2892</v>
      </c>
      <c r="L952" t="s">
        <v>2893</v>
      </c>
    </row>
    <row r="953" spans="1:40" x14ac:dyDescent="0.35">
      <c r="A953">
        <v>5173432</v>
      </c>
      <c r="B953" t="s">
        <v>2894</v>
      </c>
      <c r="C953" t="str">
        <f>"9780822369226"</f>
        <v>9780822369226</v>
      </c>
      <c r="D953" t="str">
        <f>"9780822372363"</f>
        <v>9780822372363</v>
      </c>
      <c r="E953" t="s">
        <v>687</v>
      </c>
      <c r="F953" t="s">
        <v>687</v>
      </c>
      <c r="G953" s="1">
        <v>43091</v>
      </c>
      <c r="H953" s="1">
        <v>43075</v>
      </c>
      <c r="I953" t="s">
        <v>189</v>
      </c>
      <c r="J953">
        <v>1</v>
      </c>
      <c r="L953" t="s">
        <v>2895</v>
      </c>
      <c r="M953" t="s">
        <v>219</v>
      </c>
      <c r="N953" t="s">
        <v>841</v>
      </c>
      <c r="O953" s="2">
        <v>80993358</v>
      </c>
      <c r="Q953" t="s">
        <v>260</v>
      </c>
      <c r="R953" t="s">
        <v>261</v>
      </c>
      <c r="S953" t="s">
        <v>261</v>
      </c>
      <c r="T953" t="s">
        <v>261</v>
      </c>
      <c r="U953" t="s">
        <v>261</v>
      </c>
      <c r="V953" t="s">
        <v>262</v>
      </c>
      <c r="W953" t="s">
        <v>261</v>
      </c>
      <c r="X953" t="s">
        <v>261</v>
      </c>
      <c r="Y953" t="s">
        <v>261</v>
      </c>
      <c r="Z953" t="s">
        <v>409</v>
      </c>
      <c r="AB953" t="s">
        <v>409</v>
      </c>
      <c r="AC953" t="s">
        <v>409</v>
      </c>
      <c r="AD953" t="s">
        <v>262</v>
      </c>
      <c r="AE953">
        <v>11478176</v>
      </c>
      <c r="AH953" t="s">
        <v>262</v>
      </c>
      <c r="AI953" t="s">
        <v>262</v>
      </c>
      <c r="AJ953" t="s">
        <v>261</v>
      </c>
      <c r="AK953" t="s">
        <v>261</v>
      </c>
      <c r="AM953" t="s">
        <v>262</v>
      </c>
      <c r="AN953" t="s">
        <v>2896</v>
      </c>
    </row>
    <row r="954" spans="1:40" x14ac:dyDescent="0.35">
      <c r="A954">
        <v>5181675</v>
      </c>
      <c r="B954" t="s">
        <v>2897</v>
      </c>
      <c r="C954" t="str">
        <f>"9789027212559"</f>
        <v>9789027212559</v>
      </c>
      <c r="D954" t="str">
        <f>"9789027264640"</f>
        <v>9789027264640</v>
      </c>
      <c r="E954" t="s">
        <v>1372</v>
      </c>
      <c r="F954" t="s">
        <v>1372</v>
      </c>
      <c r="G954" s="1">
        <v>43090</v>
      </c>
      <c r="H954" s="1">
        <v>43096</v>
      </c>
      <c r="I954" t="s">
        <v>189</v>
      </c>
      <c r="J954">
        <v>1</v>
      </c>
      <c r="L954" t="s">
        <v>2898</v>
      </c>
    </row>
    <row r="955" spans="1:40" x14ac:dyDescent="0.35">
      <c r="A955">
        <v>5188465</v>
      </c>
      <c r="B955" t="s">
        <v>2899</v>
      </c>
      <c r="C955" t="str">
        <f>"9781780409139"</f>
        <v>9781780409139</v>
      </c>
      <c r="D955" t="str">
        <f>"9781780409146"</f>
        <v>9781780409146</v>
      </c>
      <c r="E955" t="s">
        <v>1784</v>
      </c>
      <c r="F955" t="s">
        <v>1784</v>
      </c>
      <c r="G955" s="1">
        <v>43084</v>
      </c>
      <c r="H955" s="1">
        <v>43092</v>
      </c>
      <c r="I955" t="s">
        <v>189</v>
      </c>
      <c r="J955">
        <v>1</v>
      </c>
      <c r="L955" t="s">
        <v>34</v>
      </c>
    </row>
    <row r="956" spans="1:40" x14ac:dyDescent="0.35">
      <c r="A956">
        <v>5210801</v>
      </c>
      <c r="B956" t="s">
        <v>2900</v>
      </c>
      <c r="C956" t="str">
        <f>"9781438467856"</f>
        <v>9781438467856</v>
      </c>
      <c r="D956" t="str">
        <f>"9781438467863"</f>
        <v>9781438467863</v>
      </c>
      <c r="E956" t="s">
        <v>2073</v>
      </c>
      <c r="F956" t="s">
        <v>2074</v>
      </c>
      <c r="G956" s="1">
        <v>43079</v>
      </c>
      <c r="H956" s="1">
        <v>43099</v>
      </c>
      <c r="I956" t="s">
        <v>189</v>
      </c>
      <c r="J956">
        <v>1</v>
      </c>
      <c r="K956" t="s">
        <v>2075</v>
      </c>
      <c r="L956" t="s">
        <v>2901</v>
      </c>
      <c r="M956" t="s">
        <v>239</v>
      </c>
    </row>
    <row r="957" spans="1:40" x14ac:dyDescent="0.35">
      <c r="A957">
        <v>5211463</v>
      </c>
      <c r="B957" t="s">
        <v>2902</v>
      </c>
      <c r="C957" t="str">
        <f>"9781439914595"</f>
        <v>9781439914595</v>
      </c>
      <c r="D957" t="str">
        <f>"9781439914618"</f>
        <v>9781439914618</v>
      </c>
      <c r="E957" t="s">
        <v>321</v>
      </c>
      <c r="F957" t="s">
        <v>321</v>
      </c>
      <c r="G957" s="1">
        <v>43132</v>
      </c>
      <c r="H957" s="1">
        <v>43103</v>
      </c>
      <c r="I957" t="s">
        <v>189</v>
      </c>
      <c r="J957">
        <v>1</v>
      </c>
      <c r="L957" t="s">
        <v>2903</v>
      </c>
      <c r="M957" t="s">
        <v>329</v>
      </c>
      <c r="N957" t="s">
        <v>2904</v>
      </c>
      <c r="O957" t="s">
        <v>2905</v>
      </c>
      <c r="P957" t="s">
        <v>2906</v>
      </c>
    </row>
    <row r="958" spans="1:40" x14ac:dyDescent="0.35">
      <c r="A958">
        <v>5216067</v>
      </c>
      <c r="B958" t="s">
        <v>2907</v>
      </c>
      <c r="C958" t="str">
        <f>"9781783744220"</f>
        <v>9781783744220</v>
      </c>
      <c r="D958" t="str">
        <f>"9781783744237"</f>
        <v>9781783744237</v>
      </c>
      <c r="E958" t="s">
        <v>1807</v>
      </c>
      <c r="F958" t="s">
        <v>1807</v>
      </c>
      <c r="G958" s="1">
        <v>43080</v>
      </c>
      <c r="H958" s="1">
        <v>43111</v>
      </c>
      <c r="I958" t="s">
        <v>189</v>
      </c>
      <c r="J958">
        <v>1</v>
      </c>
      <c r="L958" t="s">
        <v>2908</v>
      </c>
      <c r="M958" t="s">
        <v>329</v>
      </c>
      <c r="O958" t="s">
        <v>2909</v>
      </c>
      <c r="Q958" t="s">
        <v>260</v>
      </c>
      <c r="R958" t="s">
        <v>261</v>
      </c>
      <c r="S958" t="s">
        <v>261</v>
      </c>
      <c r="T958" t="s">
        <v>261</v>
      </c>
      <c r="U958" t="s">
        <v>261</v>
      </c>
      <c r="V958" t="s">
        <v>262</v>
      </c>
      <c r="W958" t="s">
        <v>261</v>
      </c>
      <c r="X958" t="s">
        <v>261</v>
      </c>
      <c r="Y958" t="s">
        <v>261</v>
      </c>
      <c r="Z958" t="s">
        <v>409</v>
      </c>
      <c r="AA958" t="s">
        <v>409</v>
      </c>
      <c r="AB958" t="s">
        <v>409</v>
      </c>
      <c r="AC958" t="s">
        <v>409</v>
      </c>
      <c r="AD958" t="s">
        <v>262</v>
      </c>
      <c r="AE958">
        <v>11496557</v>
      </c>
      <c r="AH958" t="s">
        <v>262</v>
      </c>
      <c r="AI958" t="s">
        <v>262</v>
      </c>
      <c r="AJ958" t="s">
        <v>261</v>
      </c>
      <c r="AK958" t="s">
        <v>261</v>
      </c>
      <c r="AM958" t="s">
        <v>262</v>
      </c>
      <c r="AN958" t="s">
        <v>2910</v>
      </c>
    </row>
    <row r="959" spans="1:40" x14ac:dyDescent="0.35">
      <c r="A959">
        <v>5216068</v>
      </c>
      <c r="B959" t="s">
        <v>2911</v>
      </c>
      <c r="C959" t="str">
        <f>"9781783742844"</f>
        <v>9781783742844</v>
      </c>
      <c r="D959" t="str">
        <f>"9781783742851"</f>
        <v>9781783742851</v>
      </c>
      <c r="E959" t="s">
        <v>1807</v>
      </c>
      <c r="F959" t="s">
        <v>1807</v>
      </c>
      <c r="G959" s="1">
        <v>43038</v>
      </c>
      <c r="H959" s="1">
        <v>43111</v>
      </c>
      <c r="I959" t="s">
        <v>189</v>
      </c>
      <c r="J959">
        <v>1</v>
      </c>
      <c r="L959" t="s">
        <v>2912</v>
      </c>
      <c r="M959" t="s">
        <v>199</v>
      </c>
      <c r="Q959" t="s">
        <v>260</v>
      </c>
      <c r="R959" t="s">
        <v>261</v>
      </c>
      <c r="S959" t="s">
        <v>261</v>
      </c>
      <c r="T959" t="s">
        <v>261</v>
      </c>
      <c r="U959" t="s">
        <v>261</v>
      </c>
      <c r="V959" t="s">
        <v>262</v>
      </c>
      <c r="W959" t="s">
        <v>261</v>
      </c>
      <c r="X959" t="s">
        <v>261</v>
      </c>
      <c r="Y959" t="s">
        <v>261</v>
      </c>
      <c r="Z959" t="s">
        <v>409</v>
      </c>
      <c r="AA959" t="s">
        <v>409</v>
      </c>
      <c r="AB959" t="s">
        <v>409</v>
      </c>
      <c r="AC959" t="s">
        <v>409</v>
      </c>
      <c r="AD959" t="s">
        <v>262</v>
      </c>
      <c r="AE959">
        <v>11496558</v>
      </c>
      <c r="AH959" t="s">
        <v>262</v>
      </c>
      <c r="AI959" t="s">
        <v>262</v>
      </c>
      <c r="AJ959" t="s">
        <v>261</v>
      </c>
      <c r="AK959" t="s">
        <v>261</v>
      </c>
      <c r="AM959" t="s">
        <v>262</v>
      </c>
      <c r="AN959" t="s">
        <v>2913</v>
      </c>
    </row>
    <row r="960" spans="1:40" x14ac:dyDescent="0.35">
      <c r="A960">
        <v>5216069</v>
      </c>
      <c r="B960" t="s">
        <v>2914</v>
      </c>
      <c r="C960" t="str">
        <f>"9781783743391"</f>
        <v>9781783743391</v>
      </c>
      <c r="D960" t="str">
        <f>"9781783743407"</f>
        <v>9781783743407</v>
      </c>
      <c r="E960" t="s">
        <v>1807</v>
      </c>
      <c r="F960" t="s">
        <v>1807</v>
      </c>
      <c r="G960" s="1">
        <v>43052</v>
      </c>
      <c r="H960" s="1">
        <v>43111</v>
      </c>
      <c r="I960" t="s">
        <v>189</v>
      </c>
      <c r="J960">
        <v>1</v>
      </c>
      <c r="L960" t="s">
        <v>2915</v>
      </c>
    </row>
    <row r="961" spans="1:40" x14ac:dyDescent="0.35">
      <c r="A961">
        <v>5216070</v>
      </c>
      <c r="B961" t="s">
        <v>2916</v>
      </c>
      <c r="C961" t="str">
        <f>"9781783743599"</f>
        <v>9781783743599</v>
      </c>
      <c r="D961" t="str">
        <f>"9781783743605"</f>
        <v>9781783743605</v>
      </c>
      <c r="E961" t="s">
        <v>1807</v>
      </c>
      <c r="F961" t="s">
        <v>1807</v>
      </c>
      <c r="G961" s="1">
        <v>43073</v>
      </c>
      <c r="H961" s="1">
        <v>43111</v>
      </c>
      <c r="I961" t="s">
        <v>189</v>
      </c>
      <c r="J961">
        <v>1</v>
      </c>
      <c r="L961" t="s">
        <v>2383</v>
      </c>
    </row>
    <row r="962" spans="1:40" x14ac:dyDescent="0.35">
      <c r="A962">
        <v>5216071</v>
      </c>
      <c r="B962" t="s">
        <v>2917</v>
      </c>
      <c r="C962" t="str">
        <f>"9781783743742"</f>
        <v>9781783743742</v>
      </c>
      <c r="D962" t="str">
        <f>"9781783743759"</f>
        <v>9781783743759</v>
      </c>
      <c r="E962" t="s">
        <v>1807</v>
      </c>
      <c r="F962" t="s">
        <v>1807</v>
      </c>
      <c r="G962" s="1">
        <v>43066</v>
      </c>
      <c r="H962" s="1">
        <v>43111</v>
      </c>
      <c r="I962" t="s">
        <v>189</v>
      </c>
      <c r="J962">
        <v>1</v>
      </c>
      <c r="L962" t="s">
        <v>2918</v>
      </c>
    </row>
    <row r="963" spans="1:40" x14ac:dyDescent="0.35">
      <c r="A963">
        <v>5216072</v>
      </c>
      <c r="B963" t="s">
        <v>2919</v>
      </c>
      <c r="C963" t="str">
        <f>"9781783744114"</f>
        <v>9781783744114</v>
      </c>
      <c r="D963" t="str">
        <f>"9781783744121"</f>
        <v>9781783744121</v>
      </c>
      <c r="E963" t="s">
        <v>1807</v>
      </c>
      <c r="F963" t="s">
        <v>1807</v>
      </c>
      <c r="G963" s="1">
        <v>43087</v>
      </c>
      <c r="H963" s="1">
        <v>43111</v>
      </c>
      <c r="I963" t="s">
        <v>189</v>
      </c>
      <c r="J963">
        <v>1</v>
      </c>
      <c r="L963" t="s">
        <v>2920</v>
      </c>
      <c r="M963" t="s">
        <v>199</v>
      </c>
    </row>
    <row r="964" spans="1:40" x14ac:dyDescent="0.35">
      <c r="A964">
        <v>5216073</v>
      </c>
      <c r="B964" t="s">
        <v>2921</v>
      </c>
      <c r="C964" t="str">
        <f>"9781783743841"</f>
        <v>9781783743841</v>
      </c>
      <c r="D964" t="str">
        <f>"9781783743858"</f>
        <v>9781783743858</v>
      </c>
      <c r="E964" t="s">
        <v>1807</v>
      </c>
      <c r="F964" t="s">
        <v>1807</v>
      </c>
      <c r="G964" s="1">
        <v>43038</v>
      </c>
      <c r="H964" s="1">
        <v>43111</v>
      </c>
      <c r="I964" t="s">
        <v>189</v>
      </c>
      <c r="J964">
        <v>1</v>
      </c>
      <c r="K964" t="s">
        <v>1866</v>
      </c>
      <c r="L964" t="s">
        <v>2922</v>
      </c>
    </row>
    <row r="965" spans="1:40" x14ac:dyDescent="0.35">
      <c r="A965">
        <v>5216297</v>
      </c>
      <c r="B965" t="s">
        <v>2923</v>
      </c>
      <c r="C965" t="str">
        <f>"9789089649447"</f>
        <v>9789089649447</v>
      </c>
      <c r="D965" t="str">
        <f>"9789048528387"</f>
        <v>9789048528387</v>
      </c>
      <c r="E965" t="s">
        <v>361</v>
      </c>
      <c r="F965" t="s">
        <v>361</v>
      </c>
      <c r="G965" s="1">
        <v>42975</v>
      </c>
      <c r="H965" s="1">
        <v>43111</v>
      </c>
      <c r="I965" t="s">
        <v>189</v>
      </c>
      <c r="J965">
        <v>1</v>
      </c>
      <c r="K965" t="s">
        <v>2924</v>
      </c>
      <c r="L965" t="s">
        <v>2925</v>
      </c>
      <c r="M965" t="s">
        <v>219</v>
      </c>
      <c r="N965" t="s">
        <v>2926</v>
      </c>
      <c r="Q965" t="s">
        <v>260</v>
      </c>
      <c r="R965" t="s">
        <v>261</v>
      </c>
      <c r="S965" t="s">
        <v>261</v>
      </c>
      <c r="T965" t="s">
        <v>261</v>
      </c>
      <c r="U965" t="s">
        <v>261</v>
      </c>
      <c r="V965" t="s">
        <v>262</v>
      </c>
      <c r="W965" t="s">
        <v>261</v>
      </c>
      <c r="X965" t="s">
        <v>261</v>
      </c>
      <c r="Y965" t="s">
        <v>261</v>
      </c>
      <c r="Z965" t="s">
        <v>409</v>
      </c>
      <c r="AA965" t="s">
        <v>409</v>
      </c>
      <c r="AB965" t="s">
        <v>409</v>
      </c>
      <c r="AC965" t="s">
        <v>409</v>
      </c>
      <c r="AD965" t="s">
        <v>262</v>
      </c>
      <c r="AE965">
        <v>11496565</v>
      </c>
      <c r="AH965" t="s">
        <v>262</v>
      </c>
      <c r="AI965" t="s">
        <v>262</v>
      </c>
      <c r="AJ965" t="s">
        <v>261</v>
      </c>
      <c r="AK965" t="s">
        <v>261</v>
      </c>
      <c r="AM965" t="s">
        <v>262</v>
      </c>
      <c r="AN965" t="s">
        <v>2927</v>
      </c>
    </row>
    <row r="966" spans="1:40" x14ac:dyDescent="0.35">
      <c r="A966">
        <v>5219276</v>
      </c>
      <c r="B966" t="s">
        <v>2928</v>
      </c>
      <c r="C966" t="str">
        <f>"9789089647191"</f>
        <v>9789089647191</v>
      </c>
      <c r="D966" t="str">
        <f>"9789048524518"</f>
        <v>9789048524518</v>
      </c>
      <c r="E966" t="s">
        <v>361</v>
      </c>
      <c r="F966" t="s">
        <v>361</v>
      </c>
      <c r="G966" s="1">
        <v>42814</v>
      </c>
      <c r="H966" s="1">
        <v>43118</v>
      </c>
      <c r="I966" t="s">
        <v>189</v>
      </c>
      <c r="J966">
        <v>1</v>
      </c>
      <c r="K966" t="s">
        <v>1205</v>
      </c>
      <c r="L966" t="s">
        <v>2929</v>
      </c>
      <c r="M966" t="s">
        <v>578</v>
      </c>
      <c r="N966" t="s">
        <v>781</v>
      </c>
      <c r="Q966" t="s">
        <v>260</v>
      </c>
      <c r="R966" t="s">
        <v>261</v>
      </c>
      <c r="S966" t="s">
        <v>261</v>
      </c>
      <c r="T966" t="s">
        <v>261</v>
      </c>
      <c r="U966" t="s">
        <v>261</v>
      </c>
      <c r="V966" t="s">
        <v>262</v>
      </c>
      <c r="W966" t="s">
        <v>261</v>
      </c>
      <c r="X966" t="s">
        <v>261</v>
      </c>
      <c r="Y966" t="s">
        <v>261</v>
      </c>
      <c r="Z966" t="s">
        <v>409</v>
      </c>
      <c r="AA966" t="s">
        <v>409</v>
      </c>
      <c r="AB966" t="s">
        <v>409</v>
      </c>
      <c r="AC966" t="s">
        <v>409</v>
      </c>
      <c r="AD966" t="s">
        <v>262</v>
      </c>
      <c r="AE966">
        <v>11499396</v>
      </c>
      <c r="AH966" t="s">
        <v>262</v>
      </c>
      <c r="AI966" t="s">
        <v>262</v>
      </c>
      <c r="AJ966" t="s">
        <v>261</v>
      </c>
      <c r="AK966" t="s">
        <v>261</v>
      </c>
      <c r="AM966" t="s">
        <v>262</v>
      </c>
      <c r="AN966" t="s">
        <v>2930</v>
      </c>
    </row>
    <row r="967" spans="1:40" x14ac:dyDescent="0.35">
      <c r="A967">
        <v>5231729</v>
      </c>
      <c r="B967" t="s">
        <v>2931</v>
      </c>
      <c r="C967" t="str">
        <f>"9789462986046"</f>
        <v>9789462986046</v>
      </c>
      <c r="D967" t="str">
        <f>"9789048537280"</f>
        <v>9789048537280</v>
      </c>
      <c r="E967" t="s">
        <v>361</v>
      </c>
      <c r="F967" t="s">
        <v>361</v>
      </c>
      <c r="G967" s="1">
        <v>43084</v>
      </c>
      <c r="H967" s="1">
        <v>43126</v>
      </c>
      <c r="I967" t="s">
        <v>189</v>
      </c>
      <c r="J967">
        <v>1</v>
      </c>
      <c r="L967" t="s">
        <v>2932</v>
      </c>
      <c r="M967" t="s">
        <v>329</v>
      </c>
      <c r="N967" t="s">
        <v>2933</v>
      </c>
      <c r="Q967" t="s">
        <v>260</v>
      </c>
      <c r="R967" t="s">
        <v>261</v>
      </c>
      <c r="S967" t="s">
        <v>261</v>
      </c>
      <c r="T967" t="s">
        <v>261</v>
      </c>
      <c r="U967" t="s">
        <v>261</v>
      </c>
      <c r="V967" t="s">
        <v>262</v>
      </c>
      <c r="W967" t="s">
        <v>261</v>
      </c>
      <c r="X967" t="s">
        <v>261</v>
      </c>
      <c r="Y967" t="s">
        <v>261</v>
      </c>
      <c r="Z967" t="s">
        <v>409</v>
      </c>
      <c r="AA967" t="s">
        <v>409</v>
      </c>
      <c r="AB967" t="s">
        <v>409</v>
      </c>
      <c r="AC967" t="s">
        <v>409</v>
      </c>
      <c r="AD967" t="s">
        <v>262</v>
      </c>
      <c r="AE967">
        <v>11502549</v>
      </c>
      <c r="AH967" t="s">
        <v>262</v>
      </c>
      <c r="AI967" t="s">
        <v>262</v>
      </c>
      <c r="AJ967" t="s">
        <v>261</v>
      </c>
      <c r="AK967" t="s">
        <v>261</v>
      </c>
      <c r="AM967" t="s">
        <v>262</v>
      </c>
      <c r="AN967" t="s">
        <v>2934</v>
      </c>
    </row>
    <row r="968" spans="1:40" x14ac:dyDescent="0.35">
      <c r="A968">
        <v>5231730</v>
      </c>
      <c r="B968" t="s">
        <v>2935</v>
      </c>
      <c r="C968" t="str">
        <f>"9789462982277"</f>
        <v>9789462982277</v>
      </c>
      <c r="D968" t="str">
        <f>"9789048532179"</f>
        <v>9789048532179</v>
      </c>
      <c r="E968" t="s">
        <v>361</v>
      </c>
      <c r="F968" t="s">
        <v>361</v>
      </c>
      <c r="G968" s="1">
        <v>43070</v>
      </c>
      <c r="H968" s="1">
        <v>43126</v>
      </c>
      <c r="I968" t="s">
        <v>189</v>
      </c>
      <c r="J968">
        <v>1</v>
      </c>
      <c r="K968" t="s">
        <v>2936</v>
      </c>
      <c r="L968" t="s">
        <v>2937</v>
      </c>
      <c r="M968" t="s">
        <v>578</v>
      </c>
      <c r="N968" t="s">
        <v>781</v>
      </c>
      <c r="O968" t="s">
        <v>2938</v>
      </c>
      <c r="Q968" t="s">
        <v>260</v>
      </c>
      <c r="R968" t="s">
        <v>261</v>
      </c>
      <c r="S968" t="s">
        <v>261</v>
      </c>
      <c r="T968" t="s">
        <v>261</v>
      </c>
      <c r="U968" t="s">
        <v>261</v>
      </c>
      <c r="V968" t="s">
        <v>262</v>
      </c>
      <c r="W968" t="s">
        <v>261</v>
      </c>
      <c r="X968" t="s">
        <v>261</v>
      </c>
      <c r="Y968" t="s">
        <v>261</v>
      </c>
      <c r="Z968" t="s">
        <v>409</v>
      </c>
      <c r="AA968" t="s">
        <v>409</v>
      </c>
      <c r="AB968" t="s">
        <v>409</v>
      </c>
      <c r="AC968" t="s">
        <v>409</v>
      </c>
      <c r="AD968" t="s">
        <v>262</v>
      </c>
      <c r="AE968">
        <v>11502550</v>
      </c>
      <c r="AH968" t="s">
        <v>262</v>
      </c>
      <c r="AI968" t="s">
        <v>262</v>
      </c>
      <c r="AJ968" t="s">
        <v>261</v>
      </c>
      <c r="AK968" t="s">
        <v>261</v>
      </c>
      <c r="AM968" t="s">
        <v>262</v>
      </c>
      <c r="AN968" t="s">
        <v>2939</v>
      </c>
    </row>
    <row r="969" spans="1:40" x14ac:dyDescent="0.35">
      <c r="A969">
        <v>5240698</v>
      </c>
      <c r="B969" t="s">
        <v>2940</v>
      </c>
      <c r="C969" t="str">
        <f>"9780822369356"</f>
        <v>9780822369356</v>
      </c>
      <c r="D969" t="str">
        <f>"9780822372400"</f>
        <v>9780822372400</v>
      </c>
      <c r="E969" t="s">
        <v>687</v>
      </c>
      <c r="F969" t="s">
        <v>687</v>
      </c>
      <c r="G969" s="1">
        <v>43138</v>
      </c>
      <c r="H969" s="1">
        <v>43126</v>
      </c>
      <c r="I969" t="s">
        <v>189</v>
      </c>
      <c r="J969">
        <v>1</v>
      </c>
      <c r="L969" t="s">
        <v>2941</v>
      </c>
      <c r="M969" t="s">
        <v>578</v>
      </c>
      <c r="N969" t="s">
        <v>2942</v>
      </c>
      <c r="O969" t="s">
        <v>2943</v>
      </c>
      <c r="Q969" t="s">
        <v>260</v>
      </c>
      <c r="R969" t="s">
        <v>261</v>
      </c>
      <c r="S969" t="s">
        <v>261</v>
      </c>
      <c r="T969" t="s">
        <v>261</v>
      </c>
      <c r="U969" t="s">
        <v>261</v>
      </c>
      <c r="V969" t="s">
        <v>262</v>
      </c>
      <c r="W969" t="s">
        <v>261</v>
      </c>
      <c r="X969" t="s">
        <v>261</v>
      </c>
      <c r="Y969" t="s">
        <v>261</v>
      </c>
      <c r="Z969" t="s">
        <v>409</v>
      </c>
      <c r="AB969" t="s">
        <v>409</v>
      </c>
      <c r="AC969" t="s">
        <v>409</v>
      </c>
      <c r="AD969" t="s">
        <v>262</v>
      </c>
      <c r="AE969">
        <v>11502709</v>
      </c>
      <c r="AH969" t="s">
        <v>262</v>
      </c>
      <c r="AI969" t="s">
        <v>262</v>
      </c>
      <c r="AJ969" t="s">
        <v>261</v>
      </c>
      <c r="AK969" t="s">
        <v>261</v>
      </c>
      <c r="AM969" t="s">
        <v>262</v>
      </c>
      <c r="AN969" t="s">
        <v>2944</v>
      </c>
    </row>
    <row r="970" spans="1:40" x14ac:dyDescent="0.35">
      <c r="A970">
        <v>5253046</v>
      </c>
      <c r="B970" t="s">
        <v>2945</v>
      </c>
      <c r="C970" t="str">
        <f>"9781783740536"</f>
        <v>9781783740536</v>
      </c>
      <c r="D970" t="str">
        <f>"9781783740543"</f>
        <v>9781783740543</v>
      </c>
      <c r="E970" t="s">
        <v>1807</v>
      </c>
      <c r="F970" t="s">
        <v>1807</v>
      </c>
      <c r="G970" s="1">
        <v>41966</v>
      </c>
      <c r="H970" s="1">
        <v>43132</v>
      </c>
      <c r="I970" t="s">
        <v>189</v>
      </c>
      <c r="J970">
        <v>1</v>
      </c>
      <c r="L970" t="s">
        <v>2946</v>
      </c>
      <c r="M970" t="s">
        <v>964</v>
      </c>
    </row>
    <row r="971" spans="1:40" x14ac:dyDescent="0.35">
      <c r="A971">
        <v>5253047</v>
      </c>
      <c r="B971" t="s">
        <v>2947</v>
      </c>
      <c r="C971" t="str">
        <f>"9781783740680"</f>
        <v>9781783740680</v>
      </c>
      <c r="D971" t="str">
        <f>"9781783740697"</f>
        <v>9781783740697</v>
      </c>
      <c r="E971" t="s">
        <v>1807</v>
      </c>
      <c r="F971" t="s">
        <v>1807</v>
      </c>
      <c r="G971" s="1">
        <v>41925</v>
      </c>
      <c r="H971" s="1">
        <v>43132</v>
      </c>
      <c r="I971" t="s">
        <v>189</v>
      </c>
      <c r="J971">
        <v>1</v>
      </c>
      <c r="L971" t="s">
        <v>2948</v>
      </c>
      <c r="M971" t="s">
        <v>578</v>
      </c>
    </row>
    <row r="972" spans="1:40" x14ac:dyDescent="0.35">
      <c r="A972">
        <v>5253048</v>
      </c>
      <c r="B972" t="s">
        <v>2949</v>
      </c>
      <c r="C972" t="str">
        <f>"9781783740734"</f>
        <v>9781783740734</v>
      </c>
      <c r="D972" t="str">
        <f>"9781783740741"</f>
        <v>9781783740741</v>
      </c>
      <c r="E972" t="s">
        <v>1807</v>
      </c>
      <c r="F972" t="s">
        <v>1807</v>
      </c>
      <c r="G972" s="1">
        <v>41903</v>
      </c>
      <c r="H972" s="1">
        <v>43132</v>
      </c>
      <c r="I972" t="s">
        <v>189</v>
      </c>
      <c r="J972">
        <v>1</v>
      </c>
      <c r="L972" t="s">
        <v>2950</v>
      </c>
      <c r="M972" t="s">
        <v>199</v>
      </c>
      <c r="Q972" t="s">
        <v>260</v>
      </c>
      <c r="R972" t="s">
        <v>261</v>
      </c>
      <c r="S972" t="s">
        <v>261</v>
      </c>
      <c r="T972" t="s">
        <v>261</v>
      </c>
      <c r="U972" t="s">
        <v>261</v>
      </c>
      <c r="V972" t="s">
        <v>262</v>
      </c>
      <c r="W972" t="s">
        <v>261</v>
      </c>
      <c r="X972" t="s">
        <v>261</v>
      </c>
      <c r="Y972" t="s">
        <v>261</v>
      </c>
      <c r="Z972" t="s">
        <v>409</v>
      </c>
      <c r="AA972" t="s">
        <v>409</v>
      </c>
      <c r="AB972" t="s">
        <v>409</v>
      </c>
      <c r="AC972" t="s">
        <v>409</v>
      </c>
      <c r="AD972" t="s">
        <v>262</v>
      </c>
      <c r="AE972">
        <v>11504552</v>
      </c>
      <c r="AH972" t="s">
        <v>262</v>
      </c>
      <c r="AI972" t="s">
        <v>262</v>
      </c>
      <c r="AJ972" t="s">
        <v>261</v>
      </c>
      <c r="AK972" t="s">
        <v>261</v>
      </c>
      <c r="AM972" t="s">
        <v>262</v>
      </c>
      <c r="AN972" t="s">
        <v>2951</v>
      </c>
    </row>
    <row r="973" spans="1:40" x14ac:dyDescent="0.35">
      <c r="A973">
        <v>5253049</v>
      </c>
      <c r="B973" t="s">
        <v>2952</v>
      </c>
      <c r="C973" t="str">
        <f>"9781783740932"</f>
        <v>9781783740932</v>
      </c>
      <c r="D973" t="str">
        <f>"9781783740949"</f>
        <v>9781783740949</v>
      </c>
      <c r="E973" t="s">
        <v>1807</v>
      </c>
      <c r="F973" t="s">
        <v>1807</v>
      </c>
      <c r="G973" s="1">
        <v>41980</v>
      </c>
      <c r="H973" s="1">
        <v>43132</v>
      </c>
      <c r="I973" t="s">
        <v>189</v>
      </c>
      <c r="J973">
        <v>1</v>
      </c>
      <c r="L973" t="s">
        <v>2953</v>
      </c>
    </row>
    <row r="974" spans="1:40" x14ac:dyDescent="0.35">
      <c r="A974">
        <v>5253050</v>
      </c>
      <c r="B974" t="s">
        <v>2954</v>
      </c>
      <c r="C974" t="str">
        <f>"9781909254862"</f>
        <v>9781909254862</v>
      </c>
      <c r="D974" t="str">
        <f>"9781909254879"</f>
        <v>9781909254879</v>
      </c>
      <c r="E974" t="s">
        <v>1807</v>
      </c>
      <c r="F974" t="s">
        <v>1807</v>
      </c>
      <c r="G974" s="1">
        <v>41967</v>
      </c>
      <c r="H974" s="1">
        <v>43132</v>
      </c>
      <c r="I974" t="s">
        <v>189</v>
      </c>
      <c r="J974">
        <v>1</v>
      </c>
      <c r="K974" t="s">
        <v>1866</v>
      </c>
      <c r="L974" t="s">
        <v>2955</v>
      </c>
    </row>
    <row r="975" spans="1:40" x14ac:dyDescent="0.35">
      <c r="A975">
        <v>5255601</v>
      </c>
      <c r="B975" t="s">
        <v>2956</v>
      </c>
      <c r="C975" t="str">
        <f>"9782759226375"</f>
        <v>9782759226375</v>
      </c>
      <c r="D975" t="str">
        <f>"9782759226399"</f>
        <v>9782759226399</v>
      </c>
      <c r="E975" t="s">
        <v>1928</v>
      </c>
      <c r="F975" t="s">
        <v>1928</v>
      </c>
      <c r="G975" s="1">
        <v>43111</v>
      </c>
      <c r="H975" s="1">
        <v>43133</v>
      </c>
      <c r="I975" t="s">
        <v>189</v>
      </c>
      <c r="K975" t="s">
        <v>1948</v>
      </c>
      <c r="L975" t="s">
        <v>2957</v>
      </c>
    </row>
    <row r="976" spans="1:40" x14ac:dyDescent="0.35">
      <c r="A976">
        <v>5255604</v>
      </c>
      <c r="B976" t="s">
        <v>2958</v>
      </c>
      <c r="C976" t="str">
        <f>"9782759227365"</f>
        <v>9782759227365</v>
      </c>
      <c r="D976" t="str">
        <f>"9782759227389"</f>
        <v>9782759227389</v>
      </c>
      <c r="E976" t="s">
        <v>1928</v>
      </c>
      <c r="F976" t="s">
        <v>1928</v>
      </c>
      <c r="G976" s="1">
        <v>43104</v>
      </c>
      <c r="H976" s="1">
        <v>43133</v>
      </c>
      <c r="I976" t="s">
        <v>189</v>
      </c>
      <c r="K976" t="s">
        <v>1948</v>
      </c>
      <c r="L976" t="s">
        <v>2959</v>
      </c>
      <c r="Q976" t="s">
        <v>1827</v>
      </c>
      <c r="R976" t="s">
        <v>261</v>
      </c>
      <c r="S976" t="s">
        <v>261</v>
      </c>
      <c r="T976" t="s">
        <v>261</v>
      </c>
      <c r="U976" t="s">
        <v>262</v>
      </c>
      <c r="V976" t="s">
        <v>262</v>
      </c>
      <c r="W976" t="s">
        <v>261</v>
      </c>
      <c r="X976" t="s">
        <v>262</v>
      </c>
      <c r="Y976" t="s">
        <v>261</v>
      </c>
      <c r="Z976" t="s">
        <v>409</v>
      </c>
      <c r="AA976" t="s">
        <v>409</v>
      </c>
      <c r="AB976" t="s">
        <v>409</v>
      </c>
      <c r="AC976" t="s">
        <v>409</v>
      </c>
      <c r="AD976" t="s">
        <v>261</v>
      </c>
      <c r="AE976">
        <v>11506054</v>
      </c>
      <c r="AH976" t="s">
        <v>262</v>
      </c>
      <c r="AI976" t="s">
        <v>262</v>
      </c>
      <c r="AJ976" t="s">
        <v>261</v>
      </c>
      <c r="AK976" t="s">
        <v>261</v>
      </c>
      <c r="AM976" t="s">
        <v>262</v>
      </c>
      <c r="AN976" t="s">
        <v>2960</v>
      </c>
    </row>
    <row r="977" spans="1:40" x14ac:dyDescent="0.35">
      <c r="A977">
        <v>5295007</v>
      </c>
      <c r="B977" t="s">
        <v>2961</v>
      </c>
      <c r="C977" t="str">
        <f>"9780822370130"</f>
        <v>9780822370130</v>
      </c>
      <c r="D977" t="str">
        <f>"9780822372165"</f>
        <v>9780822372165</v>
      </c>
      <c r="E977" t="s">
        <v>687</v>
      </c>
      <c r="F977" t="s">
        <v>687</v>
      </c>
      <c r="G977" s="1">
        <v>43144</v>
      </c>
      <c r="H977" s="1">
        <v>43147</v>
      </c>
      <c r="I977" t="s">
        <v>189</v>
      </c>
      <c r="J977">
        <v>1</v>
      </c>
      <c r="L977" t="s">
        <v>2962</v>
      </c>
      <c r="M977" t="s">
        <v>199</v>
      </c>
    </row>
    <row r="978" spans="1:40" x14ac:dyDescent="0.35">
      <c r="A978">
        <v>5295010</v>
      </c>
      <c r="B978" t="s">
        <v>2963</v>
      </c>
      <c r="C978" t="str">
        <f>"9780822370413"</f>
        <v>9780822370413</v>
      </c>
      <c r="D978" t="str">
        <f>"9780822372042"</f>
        <v>9780822372042</v>
      </c>
      <c r="E978" t="s">
        <v>687</v>
      </c>
      <c r="F978" t="s">
        <v>687</v>
      </c>
      <c r="G978" s="1">
        <v>43161</v>
      </c>
      <c r="H978" s="1">
        <v>43147</v>
      </c>
      <c r="I978" t="s">
        <v>189</v>
      </c>
      <c r="J978">
        <v>1</v>
      </c>
      <c r="K978" t="s">
        <v>2503</v>
      </c>
      <c r="L978" t="s">
        <v>2964</v>
      </c>
      <c r="M978" t="s">
        <v>199</v>
      </c>
      <c r="N978" t="s">
        <v>2965</v>
      </c>
      <c r="O978" s="2">
        <v>12860951</v>
      </c>
      <c r="Q978" t="s">
        <v>260</v>
      </c>
      <c r="R978" t="s">
        <v>261</v>
      </c>
      <c r="S978" t="s">
        <v>261</v>
      </c>
      <c r="T978" t="s">
        <v>261</v>
      </c>
      <c r="U978" t="s">
        <v>261</v>
      </c>
      <c r="V978" t="s">
        <v>262</v>
      </c>
      <c r="W978" t="s">
        <v>261</v>
      </c>
      <c r="X978" t="s">
        <v>261</v>
      </c>
      <c r="Y978" t="s">
        <v>261</v>
      </c>
      <c r="Z978" t="s">
        <v>409</v>
      </c>
      <c r="AB978" t="s">
        <v>409</v>
      </c>
      <c r="AC978" t="s">
        <v>409</v>
      </c>
      <c r="AD978" t="s">
        <v>262</v>
      </c>
      <c r="AE978">
        <v>11512422</v>
      </c>
      <c r="AH978" t="s">
        <v>262</v>
      </c>
      <c r="AI978" t="s">
        <v>262</v>
      </c>
      <c r="AJ978" t="s">
        <v>261</v>
      </c>
      <c r="AK978" t="s">
        <v>261</v>
      </c>
      <c r="AM978" t="s">
        <v>262</v>
      </c>
      <c r="AN978" t="s">
        <v>2966</v>
      </c>
    </row>
    <row r="979" spans="1:40" x14ac:dyDescent="0.35">
      <c r="A979">
        <v>5322539</v>
      </c>
      <c r="B979" t="s">
        <v>2967</v>
      </c>
      <c r="C979" t="str">
        <f>"9780822370741"</f>
        <v>9780822370741</v>
      </c>
      <c r="D979" t="str">
        <f>"9780822371823"</f>
        <v>9780822371823</v>
      </c>
      <c r="E979" t="s">
        <v>687</v>
      </c>
      <c r="F979" t="s">
        <v>687</v>
      </c>
      <c r="G979" s="1">
        <v>43194</v>
      </c>
      <c r="H979" s="1">
        <v>43176</v>
      </c>
      <c r="I979" t="s">
        <v>189</v>
      </c>
      <c r="J979">
        <v>1</v>
      </c>
      <c r="K979" t="s">
        <v>2968</v>
      </c>
      <c r="L979" t="s">
        <v>2969</v>
      </c>
      <c r="M979" t="s">
        <v>329</v>
      </c>
      <c r="N979" t="s">
        <v>2970</v>
      </c>
      <c r="O979" s="2">
        <v>306461096897</v>
      </c>
      <c r="Q979" t="s">
        <v>260</v>
      </c>
      <c r="R979" t="s">
        <v>261</v>
      </c>
      <c r="S979" t="s">
        <v>261</v>
      </c>
      <c r="T979" t="s">
        <v>261</v>
      </c>
      <c r="U979" t="s">
        <v>261</v>
      </c>
      <c r="V979" t="s">
        <v>262</v>
      </c>
      <c r="W979" t="s">
        <v>261</v>
      </c>
      <c r="X979" t="s">
        <v>261</v>
      </c>
      <c r="Y979" t="s">
        <v>261</v>
      </c>
      <c r="Z979" t="s">
        <v>409</v>
      </c>
      <c r="AB979" t="s">
        <v>409</v>
      </c>
      <c r="AC979" t="s">
        <v>409</v>
      </c>
      <c r="AD979" t="s">
        <v>262</v>
      </c>
      <c r="AE979">
        <v>11525865</v>
      </c>
      <c r="AH979" t="s">
        <v>262</v>
      </c>
      <c r="AI979" t="s">
        <v>262</v>
      </c>
      <c r="AJ979" t="s">
        <v>261</v>
      </c>
      <c r="AK979" t="s">
        <v>261</v>
      </c>
      <c r="AM979" t="s">
        <v>262</v>
      </c>
      <c r="AN979" t="s">
        <v>2971</v>
      </c>
    </row>
    <row r="980" spans="1:40" x14ac:dyDescent="0.35">
      <c r="A980">
        <v>5341488</v>
      </c>
      <c r="B980" t="s">
        <v>2972</v>
      </c>
      <c r="C980" t="str">
        <f>"9780822370475"</f>
        <v>9780822370475</v>
      </c>
      <c r="D980" t="str">
        <f>"9780822371984"</f>
        <v>9780822371984</v>
      </c>
      <c r="E980" t="s">
        <v>687</v>
      </c>
      <c r="F980" t="s">
        <v>687</v>
      </c>
      <c r="G980" s="1">
        <v>43193</v>
      </c>
      <c r="H980" s="1">
        <v>43203</v>
      </c>
      <c r="I980" t="s">
        <v>189</v>
      </c>
      <c r="J980">
        <v>1</v>
      </c>
      <c r="L980" t="s">
        <v>2973</v>
      </c>
      <c r="M980" t="s">
        <v>282</v>
      </c>
    </row>
    <row r="981" spans="1:40" x14ac:dyDescent="0.35">
      <c r="A981">
        <v>5347036</v>
      </c>
      <c r="B981" t="s">
        <v>2974</v>
      </c>
      <c r="C981" t="str">
        <f>""</f>
        <v/>
      </c>
      <c r="D981" t="str">
        <f>"9789176853276"</f>
        <v>9789176853276</v>
      </c>
      <c r="E981" t="s">
        <v>2975</v>
      </c>
      <c r="F981" t="s">
        <v>2975</v>
      </c>
      <c r="G981" s="1">
        <v>43173</v>
      </c>
      <c r="H981" s="1">
        <v>43206</v>
      </c>
      <c r="I981" t="s">
        <v>189</v>
      </c>
      <c r="J981">
        <v>1</v>
      </c>
      <c r="L981" t="s">
        <v>2976</v>
      </c>
      <c r="Q981" t="s">
        <v>260</v>
      </c>
      <c r="R981" t="s">
        <v>261</v>
      </c>
      <c r="S981" t="s">
        <v>261</v>
      </c>
      <c r="T981" t="s">
        <v>261</v>
      </c>
      <c r="U981" t="s">
        <v>261</v>
      </c>
      <c r="V981" t="s">
        <v>262</v>
      </c>
      <c r="W981" t="s">
        <v>261</v>
      </c>
      <c r="X981" t="s">
        <v>261</v>
      </c>
      <c r="Y981" t="s">
        <v>261</v>
      </c>
      <c r="AD981" t="s">
        <v>261</v>
      </c>
      <c r="AE981">
        <v>11544358</v>
      </c>
      <c r="AH981" t="s">
        <v>262</v>
      </c>
      <c r="AI981" t="s">
        <v>261</v>
      </c>
      <c r="AJ981" t="s">
        <v>261</v>
      </c>
      <c r="AK981" t="s">
        <v>261</v>
      </c>
      <c r="AM981" t="s">
        <v>262</v>
      </c>
      <c r="AN981" t="s">
        <v>2977</v>
      </c>
    </row>
    <row r="982" spans="1:40" x14ac:dyDescent="0.35">
      <c r="A982">
        <v>5352681</v>
      </c>
      <c r="B982" t="s">
        <v>2978</v>
      </c>
      <c r="C982" t="str">
        <f>"9789089649829"</f>
        <v>9789089649829</v>
      </c>
      <c r="D982" t="str">
        <f>"9789048528981"</f>
        <v>9789048528981</v>
      </c>
      <c r="E982" t="s">
        <v>361</v>
      </c>
      <c r="F982" t="s">
        <v>361</v>
      </c>
      <c r="G982" s="1">
        <v>43161</v>
      </c>
      <c r="H982" s="1">
        <v>43211</v>
      </c>
      <c r="I982" t="s">
        <v>189</v>
      </c>
      <c r="J982">
        <v>1</v>
      </c>
      <c r="K982" t="s">
        <v>2979</v>
      </c>
      <c r="L982" t="s">
        <v>57</v>
      </c>
    </row>
    <row r="983" spans="1:40" x14ac:dyDescent="0.35">
      <c r="A983">
        <v>5355720</v>
      </c>
      <c r="B983" t="s">
        <v>2980</v>
      </c>
      <c r="C983" t="str">
        <f>"9781783743544"</f>
        <v>9781783743544</v>
      </c>
      <c r="D983" t="str">
        <f>"9781783743551"</f>
        <v>9781783743551</v>
      </c>
      <c r="E983" t="s">
        <v>1807</v>
      </c>
      <c r="F983" t="s">
        <v>1807</v>
      </c>
      <c r="G983" s="1">
        <v>43137</v>
      </c>
      <c r="H983" s="1">
        <v>43216</v>
      </c>
      <c r="I983" t="s">
        <v>189</v>
      </c>
      <c r="J983">
        <v>1</v>
      </c>
      <c r="L983" t="s">
        <v>2981</v>
      </c>
    </row>
    <row r="984" spans="1:40" x14ac:dyDescent="0.35">
      <c r="A984">
        <v>5355721</v>
      </c>
      <c r="B984" t="s">
        <v>2982</v>
      </c>
      <c r="C984" t="str">
        <f>"9781783743148"</f>
        <v>9781783743148</v>
      </c>
      <c r="D984" t="str">
        <f>"9781783743155"</f>
        <v>9781783743155</v>
      </c>
      <c r="E984" t="s">
        <v>1807</v>
      </c>
      <c r="F984" t="s">
        <v>1807</v>
      </c>
      <c r="G984" s="1">
        <v>43139</v>
      </c>
      <c r="H984" s="1">
        <v>43216</v>
      </c>
      <c r="I984" t="s">
        <v>189</v>
      </c>
      <c r="J984">
        <v>1</v>
      </c>
      <c r="L984" t="s">
        <v>2983</v>
      </c>
      <c r="M984" t="s">
        <v>219</v>
      </c>
      <c r="Q984" t="s">
        <v>260</v>
      </c>
      <c r="R984" t="s">
        <v>261</v>
      </c>
      <c r="S984" t="s">
        <v>261</v>
      </c>
      <c r="T984" t="s">
        <v>261</v>
      </c>
      <c r="U984" t="s">
        <v>261</v>
      </c>
      <c r="V984" t="s">
        <v>262</v>
      </c>
      <c r="W984" t="s">
        <v>261</v>
      </c>
      <c r="X984" t="s">
        <v>261</v>
      </c>
      <c r="Y984" t="s">
        <v>261</v>
      </c>
      <c r="Z984" t="s">
        <v>409</v>
      </c>
      <c r="AA984" t="s">
        <v>409</v>
      </c>
      <c r="AB984" t="s">
        <v>409</v>
      </c>
      <c r="AC984" t="s">
        <v>409</v>
      </c>
      <c r="AD984" t="s">
        <v>262</v>
      </c>
      <c r="AE984">
        <v>11549651</v>
      </c>
      <c r="AH984" t="s">
        <v>262</v>
      </c>
      <c r="AI984" t="s">
        <v>262</v>
      </c>
      <c r="AJ984" t="s">
        <v>261</v>
      </c>
      <c r="AK984" t="s">
        <v>261</v>
      </c>
      <c r="AM984" t="s">
        <v>262</v>
      </c>
      <c r="AN984" t="s">
        <v>2984</v>
      </c>
    </row>
    <row r="985" spans="1:40" x14ac:dyDescent="0.35">
      <c r="A985">
        <v>5355722</v>
      </c>
      <c r="B985" t="s">
        <v>2985</v>
      </c>
      <c r="C985" t="str">
        <f>"9781783743643"</f>
        <v>9781783743643</v>
      </c>
      <c r="D985" t="str">
        <f>"9781783743650"</f>
        <v>9781783743650</v>
      </c>
      <c r="E985" t="s">
        <v>1807</v>
      </c>
      <c r="F985" t="s">
        <v>1807</v>
      </c>
      <c r="G985" s="1">
        <v>43151</v>
      </c>
      <c r="H985" s="1">
        <v>43216</v>
      </c>
      <c r="I985" t="s">
        <v>189</v>
      </c>
      <c r="J985">
        <v>1</v>
      </c>
      <c r="L985" t="s">
        <v>2986</v>
      </c>
      <c r="M985" t="s">
        <v>582</v>
      </c>
    </row>
    <row r="986" spans="1:40" x14ac:dyDescent="0.35">
      <c r="A986">
        <v>5355723</v>
      </c>
      <c r="B986" t="s">
        <v>2987</v>
      </c>
      <c r="C986" t="str">
        <f>"9781783742998"</f>
        <v>9781783742998</v>
      </c>
      <c r="D986" t="str">
        <f>"9781783743001"</f>
        <v>9781783743001</v>
      </c>
      <c r="E986" t="s">
        <v>1807</v>
      </c>
      <c r="F986" t="s">
        <v>1807</v>
      </c>
      <c r="G986" s="1">
        <v>43166</v>
      </c>
      <c r="H986" s="1">
        <v>43216</v>
      </c>
      <c r="I986" t="s">
        <v>189</v>
      </c>
      <c r="J986">
        <v>1</v>
      </c>
      <c r="L986" t="s">
        <v>2988</v>
      </c>
      <c r="M986" t="s">
        <v>199</v>
      </c>
    </row>
    <row r="987" spans="1:40" x14ac:dyDescent="0.35">
      <c r="A987">
        <v>5355724</v>
      </c>
      <c r="B987" t="s">
        <v>2989</v>
      </c>
      <c r="C987" t="str">
        <f>"9781783744558"</f>
        <v>9781783744558</v>
      </c>
      <c r="D987" t="str">
        <f>"9781783744565"</f>
        <v>9781783744565</v>
      </c>
      <c r="E987" t="s">
        <v>1807</v>
      </c>
      <c r="F987" t="s">
        <v>1807</v>
      </c>
      <c r="G987" s="1">
        <v>43181</v>
      </c>
      <c r="H987" s="1">
        <v>43216</v>
      </c>
      <c r="I987" t="s">
        <v>189</v>
      </c>
      <c r="J987">
        <v>1</v>
      </c>
      <c r="K987" t="s">
        <v>1808</v>
      </c>
      <c r="L987" t="s">
        <v>1809</v>
      </c>
      <c r="M987" t="s">
        <v>219</v>
      </c>
      <c r="Q987" t="s">
        <v>260</v>
      </c>
      <c r="R987" t="s">
        <v>261</v>
      </c>
      <c r="S987" t="s">
        <v>261</v>
      </c>
      <c r="T987" t="s">
        <v>261</v>
      </c>
      <c r="U987" t="s">
        <v>261</v>
      </c>
      <c r="V987" t="s">
        <v>262</v>
      </c>
      <c r="W987" t="s">
        <v>261</v>
      </c>
      <c r="X987" t="s">
        <v>261</v>
      </c>
      <c r="Y987" t="s">
        <v>261</v>
      </c>
      <c r="Z987" t="s">
        <v>409</v>
      </c>
      <c r="AA987" t="s">
        <v>409</v>
      </c>
      <c r="AB987" t="s">
        <v>409</v>
      </c>
      <c r="AC987" t="s">
        <v>409</v>
      </c>
      <c r="AD987" t="s">
        <v>262</v>
      </c>
      <c r="AE987">
        <v>11549654</v>
      </c>
      <c r="AH987" t="s">
        <v>262</v>
      </c>
      <c r="AI987" t="s">
        <v>262</v>
      </c>
      <c r="AJ987" t="s">
        <v>261</v>
      </c>
      <c r="AK987" t="s">
        <v>261</v>
      </c>
      <c r="AM987" t="s">
        <v>262</v>
      </c>
      <c r="AN987" t="s">
        <v>2990</v>
      </c>
    </row>
    <row r="988" spans="1:40" x14ac:dyDescent="0.35">
      <c r="A988">
        <v>5355725</v>
      </c>
      <c r="B988" t="s">
        <v>2991</v>
      </c>
      <c r="C988" t="str">
        <f>"9781783744749"</f>
        <v>9781783744749</v>
      </c>
      <c r="D988" t="str">
        <f>"9781783744756"</f>
        <v>9781783744756</v>
      </c>
      <c r="E988" t="s">
        <v>1807</v>
      </c>
      <c r="F988" t="s">
        <v>1807</v>
      </c>
      <c r="G988" s="1">
        <v>43206</v>
      </c>
      <c r="H988" s="1">
        <v>43216</v>
      </c>
      <c r="I988" t="s">
        <v>189</v>
      </c>
      <c r="J988">
        <v>1</v>
      </c>
      <c r="K988" t="s">
        <v>2992</v>
      </c>
      <c r="L988" t="s">
        <v>2993</v>
      </c>
    </row>
    <row r="989" spans="1:40" x14ac:dyDescent="0.35">
      <c r="A989">
        <v>5355726</v>
      </c>
      <c r="B989" t="s">
        <v>2994</v>
      </c>
      <c r="C989" t="str">
        <f>"9781783743346"</f>
        <v>9781783743346</v>
      </c>
      <c r="D989" t="str">
        <f>"9781783743353"</f>
        <v>9781783743353</v>
      </c>
      <c r="E989" t="s">
        <v>1807</v>
      </c>
      <c r="F989" t="s">
        <v>1807</v>
      </c>
      <c r="G989" s="1">
        <v>43207</v>
      </c>
      <c r="H989" s="1">
        <v>43216</v>
      </c>
      <c r="I989" t="s">
        <v>189</v>
      </c>
      <c r="J989">
        <v>1</v>
      </c>
      <c r="L989" t="s">
        <v>2995</v>
      </c>
    </row>
    <row r="990" spans="1:40" x14ac:dyDescent="0.35">
      <c r="A990">
        <v>5355727</v>
      </c>
      <c r="B990" t="s">
        <v>2996</v>
      </c>
      <c r="C990" t="str">
        <f>"9781783744695"</f>
        <v>9781783744695</v>
      </c>
      <c r="D990" t="str">
        <f>"9781783744701"</f>
        <v>9781783744701</v>
      </c>
      <c r="E990" t="s">
        <v>1807</v>
      </c>
      <c r="F990" t="s">
        <v>1807</v>
      </c>
      <c r="G990" s="1">
        <v>43215</v>
      </c>
      <c r="H990" s="1">
        <v>43216</v>
      </c>
      <c r="I990" t="s">
        <v>189</v>
      </c>
      <c r="J990">
        <v>1</v>
      </c>
      <c r="K990" t="s">
        <v>1866</v>
      </c>
      <c r="L990" t="s">
        <v>2997</v>
      </c>
    </row>
    <row r="991" spans="1:40" x14ac:dyDescent="0.35">
      <c r="A991">
        <v>5356954</v>
      </c>
      <c r="B991" t="s">
        <v>2998</v>
      </c>
      <c r="C991" t="str">
        <f>"9789027200693"</f>
        <v>9789027200693</v>
      </c>
      <c r="D991" t="str">
        <f>"9789027264107"</f>
        <v>9789027264107</v>
      </c>
      <c r="E991" t="s">
        <v>1372</v>
      </c>
      <c r="F991" t="s">
        <v>1372</v>
      </c>
      <c r="G991" s="1">
        <v>43242</v>
      </c>
      <c r="H991" s="1">
        <v>43228</v>
      </c>
      <c r="I991" t="s">
        <v>189</v>
      </c>
      <c r="J991">
        <v>1</v>
      </c>
      <c r="K991" t="s">
        <v>2847</v>
      </c>
      <c r="L991" t="s">
        <v>2999</v>
      </c>
    </row>
    <row r="992" spans="1:40" x14ac:dyDescent="0.35">
      <c r="A992">
        <v>5380632</v>
      </c>
      <c r="B992" t="s">
        <v>3000</v>
      </c>
      <c r="C992" t="str">
        <f>"9783110545302"</f>
        <v>9783110545302</v>
      </c>
      <c r="D992" t="str">
        <f>"9783110546316"</f>
        <v>9783110546316</v>
      </c>
      <c r="E992" t="s">
        <v>346</v>
      </c>
      <c r="F992" t="s">
        <v>346</v>
      </c>
      <c r="G992" s="1">
        <v>43801</v>
      </c>
      <c r="H992" s="1">
        <v>44353</v>
      </c>
      <c r="I992" t="s">
        <v>189</v>
      </c>
      <c r="J992">
        <v>1</v>
      </c>
      <c r="K992" t="s">
        <v>3001</v>
      </c>
      <c r="L992" t="s">
        <v>3002</v>
      </c>
    </row>
    <row r="993" spans="1:40" x14ac:dyDescent="0.35">
      <c r="A993">
        <v>5388042</v>
      </c>
      <c r="B993" t="s">
        <v>3003</v>
      </c>
      <c r="C993" t="str">
        <f>"9781501516009"</f>
        <v>9781501516009</v>
      </c>
      <c r="D993" t="str">
        <f>"9781501516023"</f>
        <v>9781501516023</v>
      </c>
      <c r="E993" t="s">
        <v>346</v>
      </c>
      <c r="F993" t="s">
        <v>2637</v>
      </c>
      <c r="G993" s="1">
        <v>44018</v>
      </c>
      <c r="H993" s="1">
        <v>44722</v>
      </c>
      <c r="I993" t="s">
        <v>189</v>
      </c>
      <c r="J993">
        <v>1</v>
      </c>
      <c r="K993" t="s">
        <v>2357</v>
      </c>
      <c r="L993" t="s">
        <v>2666</v>
      </c>
    </row>
    <row r="994" spans="1:40" x14ac:dyDescent="0.35">
      <c r="A994">
        <v>5388062</v>
      </c>
      <c r="B994" t="s">
        <v>3004</v>
      </c>
      <c r="C994" t="str">
        <f>"9783110536652"</f>
        <v>9783110536652</v>
      </c>
      <c r="D994" t="str">
        <f>"9783110536690"</f>
        <v>9783110536690</v>
      </c>
      <c r="E994" t="s">
        <v>415</v>
      </c>
      <c r="F994" t="s">
        <v>415</v>
      </c>
      <c r="G994" s="1">
        <v>43333</v>
      </c>
      <c r="H994" s="1">
        <v>44722</v>
      </c>
      <c r="I994" t="s">
        <v>189</v>
      </c>
      <c r="J994">
        <v>1</v>
      </c>
      <c r="L994" t="s">
        <v>3005</v>
      </c>
    </row>
    <row r="995" spans="1:40" x14ac:dyDescent="0.35">
      <c r="A995">
        <v>5388106</v>
      </c>
      <c r="B995" t="s">
        <v>3006</v>
      </c>
      <c r="C995" t="str">
        <f>"9783110539134"</f>
        <v>9783110539134</v>
      </c>
      <c r="D995" t="str">
        <f>"9783110540048"</f>
        <v>9783110540048</v>
      </c>
      <c r="E995" t="s">
        <v>415</v>
      </c>
      <c r="F995" t="s">
        <v>415</v>
      </c>
      <c r="G995" s="1">
        <v>43073</v>
      </c>
      <c r="H995" s="1">
        <v>44722</v>
      </c>
      <c r="I995" t="s">
        <v>189</v>
      </c>
      <c r="J995">
        <v>1</v>
      </c>
      <c r="K995" t="s">
        <v>3007</v>
      </c>
      <c r="L995" t="s">
        <v>3008</v>
      </c>
      <c r="M995" t="s">
        <v>1354</v>
      </c>
    </row>
    <row r="996" spans="1:40" x14ac:dyDescent="0.35">
      <c r="A996">
        <v>5389606</v>
      </c>
      <c r="B996" t="s">
        <v>3009</v>
      </c>
      <c r="C996" t="str">
        <f>"9780822370727"</f>
        <v>9780822370727</v>
      </c>
      <c r="D996" t="str">
        <f>"9780822371847"</f>
        <v>9780822371847</v>
      </c>
      <c r="E996" t="s">
        <v>687</v>
      </c>
      <c r="F996" t="s">
        <v>687</v>
      </c>
      <c r="G996" s="1">
        <v>43238</v>
      </c>
      <c r="H996" s="1">
        <v>43232</v>
      </c>
      <c r="I996" t="s">
        <v>189</v>
      </c>
      <c r="J996">
        <v>1</v>
      </c>
      <c r="L996" t="s">
        <v>3010</v>
      </c>
      <c r="M996" t="s">
        <v>329</v>
      </c>
      <c r="N996" t="s">
        <v>3011</v>
      </c>
      <c r="O996" t="s">
        <v>747</v>
      </c>
      <c r="Q996" t="s">
        <v>260</v>
      </c>
      <c r="R996" t="s">
        <v>261</v>
      </c>
      <c r="S996" t="s">
        <v>261</v>
      </c>
      <c r="T996" t="s">
        <v>261</v>
      </c>
      <c r="U996" t="s">
        <v>261</v>
      </c>
      <c r="V996" t="s">
        <v>262</v>
      </c>
      <c r="W996" t="s">
        <v>261</v>
      </c>
      <c r="X996" t="s">
        <v>261</v>
      </c>
      <c r="Y996" t="s">
        <v>261</v>
      </c>
      <c r="Z996" t="s">
        <v>409</v>
      </c>
      <c r="AB996" t="s">
        <v>409</v>
      </c>
      <c r="AC996" t="s">
        <v>409</v>
      </c>
      <c r="AD996" t="s">
        <v>262</v>
      </c>
      <c r="AH996" t="s">
        <v>262</v>
      </c>
      <c r="AI996" t="s">
        <v>262</v>
      </c>
      <c r="AJ996" t="s">
        <v>261</v>
      </c>
      <c r="AK996" t="s">
        <v>261</v>
      </c>
      <c r="AM996" t="s">
        <v>262</v>
      </c>
      <c r="AN996" t="s">
        <v>3012</v>
      </c>
    </row>
    <row r="997" spans="1:40" x14ac:dyDescent="0.35">
      <c r="A997">
        <v>5428863</v>
      </c>
      <c r="B997" t="s">
        <v>3013</v>
      </c>
      <c r="C997" t="str">
        <f>"9783110557534"</f>
        <v>9783110557534</v>
      </c>
      <c r="D997" t="str">
        <f>"9783110557602"</f>
        <v>9783110557602</v>
      </c>
      <c r="E997" t="s">
        <v>415</v>
      </c>
      <c r="F997" t="s">
        <v>415</v>
      </c>
      <c r="G997" s="1">
        <v>43696</v>
      </c>
      <c r="H997" s="1">
        <v>44353</v>
      </c>
      <c r="I997" t="s">
        <v>189</v>
      </c>
      <c r="J997">
        <v>1</v>
      </c>
      <c r="K997" t="s">
        <v>3014</v>
      </c>
      <c r="L997" t="s">
        <v>3015</v>
      </c>
    </row>
    <row r="998" spans="1:40" x14ac:dyDescent="0.35">
      <c r="A998">
        <v>5435775</v>
      </c>
      <c r="B998" t="s">
        <v>3016</v>
      </c>
      <c r="C998" t="str">
        <f>"9783110536874"</f>
        <v>9783110536874</v>
      </c>
      <c r="D998" t="str">
        <f>"9783110536881"</f>
        <v>9783110536881</v>
      </c>
      <c r="E998" t="s">
        <v>415</v>
      </c>
      <c r="F998" t="s">
        <v>415</v>
      </c>
      <c r="G998" s="1">
        <v>43318</v>
      </c>
      <c r="H998" s="1">
        <v>44722</v>
      </c>
      <c r="I998" t="s">
        <v>189</v>
      </c>
      <c r="J998">
        <v>1</v>
      </c>
      <c r="L998" t="s">
        <v>48</v>
      </c>
    </row>
    <row r="999" spans="1:40" x14ac:dyDescent="0.35">
      <c r="A999">
        <v>5447338</v>
      </c>
      <c r="B999" t="s">
        <v>3017</v>
      </c>
      <c r="C999" t="str">
        <f>"9783110543070"</f>
        <v>9783110543070</v>
      </c>
      <c r="D999" t="str">
        <f>"9783110543087"</f>
        <v>9783110543087</v>
      </c>
      <c r="E999" t="s">
        <v>415</v>
      </c>
      <c r="F999" t="s">
        <v>415</v>
      </c>
      <c r="G999" s="1">
        <v>43801</v>
      </c>
      <c r="H999" s="1">
        <v>43847</v>
      </c>
      <c r="I999" t="s">
        <v>189</v>
      </c>
      <c r="J999">
        <v>1</v>
      </c>
      <c r="K999" t="s">
        <v>2442</v>
      </c>
      <c r="L999" t="s">
        <v>3018</v>
      </c>
      <c r="M999" t="s">
        <v>1831</v>
      </c>
    </row>
    <row r="1000" spans="1:40" x14ac:dyDescent="0.35">
      <c r="A1000">
        <v>5447342</v>
      </c>
      <c r="B1000" t="s">
        <v>3019</v>
      </c>
      <c r="C1000" t="str">
        <f>"9783110551686"</f>
        <v>9783110551686</v>
      </c>
      <c r="D1000" t="str">
        <f>"9783110553321"</f>
        <v>9783110553321</v>
      </c>
      <c r="E1000" t="s">
        <v>415</v>
      </c>
      <c r="F1000" t="s">
        <v>415</v>
      </c>
      <c r="G1000" s="1">
        <v>43367</v>
      </c>
      <c r="H1000" s="1">
        <v>44722</v>
      </c>
      <c r="I1000" t="s">
        <v>189</v>
      </c>
      <c r="J1000">
        <v>1</v>
      </c>
      <c r="K1000" t="s">
        <v>3014</v>
      </c>
      <c r="L1000" t="s">
        <v>87</v>
      </c>
      <c r="M1000" t="s">
        <v>199</v>
      </c>
    </row>
    <row r="1001" spans="1:40" x14ac:dyDescent="0.35">
      <c r="A1001">
        <v>5447345</v>
      </c>
      <c r="B1001" t="s">
        <v>3020</v>
      </c>
      <c r="C1001" t="str">
        <f>"9783110563429"</f>
        <v>9783110563429</v>
      </c>
      <c r="D1001" t="str">
        <f>"9783110563436"</f>
        <v>9783110563436</v>
      </c>
      <c r="E1001" t="s">
        <v>415</v>
      </c>
      <c r="F1001" t="s">
        <v>415</v>
      </c>
      <c r="G1001" s="1">
        <v>43381</v>
      </c>
      <c r="H1001" s="1">
        <v>44722</v>
      </c>
      <c r="I1001" t="s">
        <v>189</v>
      </c>
      <c r="J1001">
        <v>1</v>
      </c>
      <c r="L1001" t="s">
        <v>3021</v>
      </c>
    </row>
    <row r="1002" spans="1:40" x14ac:dyDescent="0.35">
      <c r="A1002">
        <v>5447348</v>
      </c>
      <c r="B1002" t="s">
        <v>3022</v>
      </c>
      <c r="C1002" t="str">
        <f>"9781501512636"</f>
        <v>9781501512636</v>
      </c>
      <c r="D1002" t="str">
        <f>"9781501504518"</f>
        <v>9781501504518</v>
      </c>
      <c r="E1002" t="s">
        <v>415</v>
      </c>
      <c r="F1002" t="s">
        <v>2637</v>
      </c>
      <c r="G1002" s="1">
        <v>43494</v>
      </c>
      <c r="H1002" s="1">
        <v>44353</v>
      </c>
      <c r="I1002" t="s">
        <v>189</v>
      </c>
      <c r="J1002">
        <v>1</v>
      </c>
      <c r="K1002" t="s">
        <v>2357</v>
      </c>
      <c r="L1002" t="s">
        <v>3023</v>
      </c>
    </row>
    <row r="1003" spans="1:40" x14ac:dyDescent="0.35">
      <c r="A1003">
        <v>5450459</v>
      </c>
      <c r="B1003" t="s">
        <v>3024</v>
      </c>
      <c r="C1003" t="str">
        <f>"9789027200761"</f>
        <v>9789027200761</v>
      </c>
      <c r="D1003" t="str">
        <f>"9789027264022"</f>
        <v>9789027264022</v>
      </c>
      <c r="E1003" t="s">
        <v>1372</v>
      </c>
      <c r="F1003" t="s">
        <v>1372</v>
      </c>
      <c r="G1003" s="1">
        <v>43304</v>
      </c>
      <c r="H1003" s="1">
        <v>43293</v>
      </c>
      <c r="I1003" t="s">
        <v>189</v>
      </c>
      <c r="J1003">
        <v>1</v>
      </c>
      <c r="K1003" t="s">
        <v>2690</v>
      </c>
      <c r="L1003" t="s">
        <v>3025</v>
      </c>
    </row>
    <row r="1004" spans="1:40" x14ac:dyDescent="0.35">
      <c r="A1004">
        <v>5473315</v>
      </c>
      <c r="B1004" t="s">
        <v>3026</v>
      </c>
      <c r="C1004" t="str">
        <f>"9781438470450"</f>
        <v>9781438470450</v>
      </c>
      <c r="D1004" t="str">
        <f>"9781438470474"</f>
        <v>9781438470474</v>
      </c>
      <c r="E1004" t="s">
        <v>2073</v>
      </c>
      <c r="F1004" t="s">
        <v>2074</v>
      </c>
      <c r="G1004" s="1">
        <v>43313</v>
      </c>
      <c r="H1004" s="1">
        <v>43307</v>
      </c>
      <c r="I1004" t="s">
        <v>189</v>
      </c>
      <c r="J1004">
        <v>1</v>
      </c>
      <c r="K1004" t="s">
        <v>2075</v>
      </c>
      <c r="L1004" t="s">
        <v>3027</v>
      </c>
      <c r="M1004" t="s">
        <v>219</v>
      </c>
      <c r="O1004" t="s">
        <v>3028</v>
      </c>
      <c r="Q1004" t="s">
        <v>260</v>
      </c>
      <c r="R1004" t="s">
        <v>261</v>
      </c>
      <c r="S1004" t="s">
        <v>261</v>
      </c>
      <c r="T1004" t="s">
        <v>261</v>
      </c>
      <c r="U1004" t="s">
        <v>261</v>
      </c>
      <c r="V1004" t="s">
        <v>262</v>
      </c>
      <c r="W1004" t="s">
        <v>261</v>
      </c>
      <c r="X1004" t="s">
        <v>261</v>
      </c>
      <c r="Y1004" t="s">
        <v>261</v>
      </c>
      <c r="Z1004" t="s">
        <v>409</v>
      </c>
      <c r="AA1004" t="s">
        <v>409</v>
      </c>
      <c r="AB1004" t="s">
        <v>409</v>
      </c>
      <c r="AC1004" t="s">
        <v>409</v>
      </c>
      <c r="AD1004" t="s">
        <v>262</v>
      </c>
      <c r="AH1004" t="s">
        <v>262</v>
      </c>
      <c r="AI1004" t="s">
        <v>262</v>
      </c>
      <c r="AJ1004" t="s">
        <v>261</v>
      </c>
      <c r="AK1004" t="s">
        <v>261</v>
      </c>
      <c r="AM1004" t="s">
        <v>262</v>
      </c>
      <c r="AN1004" t="s">
        <v>3029</v>
      </c>
    </row>
    <row r="1005" spans="1:40" x14ac:dyDescent="0.35">
      <c r="A1005">
        <v>5477846</v>
      </c>
      <c r="B1005" t="s">
        <v>3030</v>
      </c>
      <c r="C1005" t="str">
        <f>"9789027201386"</f>
        <v>9789027201386</v>
      </c>
      <c r="D1005" t="str">
        <f>"9789027263599"</f>
        <v>9789027263599</v>
      </c>
      <c r="E1005" t="s">
        <v>1372</v>
      </c>
      <c r="F1005" t="s">
        <v>1372</v>
      </c>
      <c r="G1005" s="1">
        <v>43320</v>
      </c>
      <c r="H1005" s="1">
        <v>43311</v>
      </c>
      <c r="I1005" t="s">
        <v>189</v>
      </c>
      <c r="J1005">
        <v>1</v>
      </c>
      <c r="K1005" t="s">
        <v>2690</v>
      </c>
      <c r="L1005" t="s">
        <v>3031</v>
      </c>
    </row>
    <row r="1006" spans="1:40" x14ac:dyDescent="0.35">
      <c r="A1006">
        <v>5493919</v>
      </c>
      <c r="B1006" t="s">
        <v>3032</v>
      </c>
      <c r="C1006" t="str">
        <f>"9781501511851"</f>
        <v>9781501511851</v>
      </c>
      <c r="D1006" t="str">
        <f>"9781501503870"</f>
        <v>9781501503870</v>
      </c>
      <c r="E1006" t="s">
        <v>346</v>
      </c>
      <c r="F1006" t="s">
        <v>2637</v>
      </c>
      <c r="G1006" s="1">
        <v>42926</v>
      </c>
      <c r="H1006" s="1">
        <v>43333</v>
      </c>
      <c r="I1006" t="s">
        <v>189</v>
      </c>
      <c r="J1006">
        <v>1</v>
      </c>
      <c r="K1006" t="s">
        <v>2357</v>
      </c>
      <c r="L1006" t="s">
        <v>2358</v>
      </c>
    </row>
    <row r="1007" spans="1:40" x14ac:dyDescent="0.35">
      <c r="A1007">
        <v>5493920</v>
      </c>
      <c r="B1007" t="s">
        <v>3033</v>
      </c>
      <c r="C1007" t="str">
        <f>"9781501515705"</f>
        <v>9781501515705</v>
      </c>
      <c r="D1007" t="str">
        <f>"9781501511806"</f>
        <v>9781501511806</v>
      </c>
      <c r="E1007" t="s">
        <v>415</v>
      </c>
      <c r="F1007" t="s">
        <v>2637</v>
      </c>
      <c r="G1007" s="1">
        <v>43062</v>
      </c>
      <c r="H1007" s="1">
        <v>43333</v>
      </c>
      <c r="I1007" t="s">
        <v>189</v>
      </c>
      <c r="J1007">
        <v>1</v>
      </c>
      <c r="K1007" t="s">
        <v>3034</v>
      </c>
      <c r="L1007" t="s">
        <v>3035</v>
      </c>
    </row>
    <row r="1008" spans="1:40" x14ac:dyDescent="0.35">
      <c r="A1008">
        <v>5493940</v>
      </c>
      <c r="B1008" t="s">
        <v>3036</v>
      </c>
      <c r="C1008" t="str">
        <f>"9783110416503"</f>
        <v>9783110416503</v>
      </c>
      <c r="D1008" t="str">
        <f>"9783110416794"</f>
        <v>9783110416794</v>
      </c>
      <c r="E1008" t="s">
        <v>415</v>
      </c>
      <c r="F1008" t="s">
        <v>416</v>
      </c>
      <c r="G1008" s="1">
        <v>42835</v>
      </c>
      <c r="H1008" s="1">
        <v>43333</v>
      </c>
      <c r="I1008" t="s">
        <v>189</v>
      </c>
      <c r="J1008">
        <v>1</v>
      </c>
      <c r="K1008" t="s">
        <v>3037</v>
      </c>
      <c r="L1008" t="s">
        <v>3038</v>
      </c>
    </row>
    <row r="1009" spans="1:40" x14ac:dyDescent="0.35">
      <c r="A1009">
        <v>5493941</v>
      </c>
      <c r="B1009" t="s">
        <v>3039</v>
      </c>
      <c r="C1009" t="str">
        <f>"9783110447019"</f>
        <v>9783110447019</v>
      </c>
      <c r="D1009" t="str">
        <f>"9783110448184"</f>
        <v>9783110448184</v>
      </c>
      <c r="E1009" t="s">
        <v>415</v>
      </c>
      <c r="F1009" t="s">
        <v>415</v>
      </c>
      <c r="G1009" s="1">
        <v>42968</v>
      </c>
      <c r="H1009" s="1">
        <v>43333</v>
      </c>
      <c r="I1009" t="s">
        <v>189</v>
      </c>
      <c r="J1009">
        <v>1</v>
      </c>
      <c r="K1009" t="s">
        <v>2717</v>
      </c>
      <c r="L1009" t="s">
        <v>3040</v>
      </c>
    </row>
    <row r="1010" spans="1:40" x14ac:dyDescent="0.35">
      <c r="A1010">
        <v>5493942</v>
      </c>
      <c r="B1010" t="s">
        <v>3041</v>
      </c>
      <c r="C1010" t="str">
        <f>"9783110456202"</f>
        <v>9783110456202</v>
      </c>
      <c r="D1010" t="str">
        <f>"9783110456806"</f>
        <v>9783110456806</v>
      </c>
      <c r="E1010" t="s">
        <v>415</v>
      </c>
      <c r="F1010" t="s">
        <v>415</v>
      </c>
      <c r="G1010" s="1">
        <v>42989</v>
      </c>
      <c r="H1010" s="1">
        <v>43333</v>
      </c>
      <c r="I1010" t="s">
        <v>189</v>
      </c>
      <c r="J1010">
        <v>1</v>
      </c>
      <c r="L1010" t="s">
        <v>3042</v>
      </c>
    </row>
    <row r="1011" spans="1:40" x14ac:dyDescent="0.35">
      <c r="A1011">
        <v>5493943</v>
      </c>
      <c r="B1011" t="s">
        <v>3043</v>
      </c>
      <c r="C1011" t="str">
        <f>"9783110457421"</f>
        <v>9783110457421</v>
      </c>
      <c r="D1011" t="str">
        <f>"9783110458657"</f>
        <v>9783110458657</v>
      </c>
      <c r="E1011" t="s">
        <v>415</v>
      </c>
      <c r="F1011" t="s">
        <v>415</v>
      </c>
      <c r="G1011" s="1">
        <v>43046</v>
      </c>
      <c r="H1011" s="1">
        <v>43333</v>
      </c>
      <c r="I1011" t="s">
        <v>189</v>
      </c>
      <c r="J1011">
        <v>1</v>
      </c>
      <c r="K1011" t="s">
        <v>3044</v>
      </c>
      <c r="L1011" t="s">
        <v>3045</v>
      </c>
    </row>
    <row r="1012" spans="1:40" x14ac:dyDescent="0.35">
      <c r="A1012">
        <v>5493944</v>
      </c>
      <c r="B1012" t="s">
        <v>3046</v>
      </c>
      <c r="C1012" t="str">
        <f>"9783110464238"</f>
        <v>9783110464238</v>
      </c>
      <c r="D1012" t="str">
        <f>"9783110464252"</f>
        <v>9783110464252</v>
      </c>
      <c r="E1012" t="s">
        <v>415</v>
      </c>
      <c r="F1012" t="s">
        <v>415</v>
      </c>
      <c r="G1012" s="1">
        <v>42912</v>
      </c>
      <c r="H1012" s="1">
        <v>43333</v>
      </c>
      <c r="I1012" t="s">
        <v>189</v>
      </c>
      <c r="J1012">
        <v>1</v>
      </c>
      <c r="K1012" t="s">
        <v>2279</v>
      </c>
      <c r="L1012" t="s">
        <v>3047</v>
      </c>
      <c r="M1012" t="s">
        <v>219</v>
      </c>
      <c r="Q1012" t="s">
        <v>408</v>
      </c>
      <c r="R1012" t="s">
        <v>261</v>
      </c>
      <c r="S1012" t="s">
        <v>261</v>
      </c>
      <c r="T1012" t="s">
        <v>261</v>
      </c>
      <c r="U1012" t="s">
        <v>261</v>
      </c>
      <c r="V1012" t="s">
        <v>262</v>
      </c>
      <c r="W1012" t="s">
        <v>261</v>
      </c>
      <c r="X1012" t="s">
        <v>261</v>
      </c>
      <c r="Y1012" t="s">
        <v>261</v>
      </c>
      <c r="Z1012" t="s">
        <v>409</v>
      </c>
      <c r="AA1012" t="s">
        <v>409</v>
      </c>
      <c r="AB1012" t="s">
        <v>409</v>
      </c>
      <c r="AC1012" t="s">
        <v>409</v>
      </c>
      <c r="AD1012" t="s">
        <v>261</v>
      </c>
      <c r="AH1012" t="s">
        <v>262</v>
      </c>
      <c r="AI1012" t="s">
        <v>262</v>
      </c>
      <c r="AJ1012" t="s">
        <v>261</v>
      </c>
      <c r="AK1012" t="s">
        <v>261</v>
      </c>
      <c r="AM1012" t="s">
        <v>262</v>
      </c>
      <c r="AN1012" t="s">
        <v>3048</v>
      </c>
    </row>
    <row r="1013" spans="1:40" x14ac:dyDescent="0.35">
      <c r="A1013">
        <v>5493945</v>
      </c>
      <c r="B1013" t="s">
        <v>3049</v>
      </c>
      <c r="C1013" t="str">
        <f>"9783110464931"</f>
        <v>9783110464931</v>
      </c>
      <c r="D1013" t="str">
        <f>"9783110466850"</f>
        <v>9783110466850</v>
      </c>
      <c r="E1013" t="s">
        <v>415</v>
      </c>
      <c r="F1013" t="s">
        <v>415</v>
      </c>
      <c r="G1013" s="1">
        <v>42835</v>
      </c>
      <c r="H1013" s="1">
        <v>43333</v>
      </c>
      <c r="I1013" t="s">
        <v>189</v>
      </c>
      <c r="J1013">
        <v>1</v>
      </c>
      <c r="K1013" t="s">
        <v>3050</v>
      </c>
      <c r="L1013" t="s">
        <v>3051</v>
      </c>
    </row>
    <row r="1014" spans="1:40" x14ac:dyDescent="0.35">
      <c r="A1014">
        <v>5493946</v>
      </c>
      <c r="B1014" t="s">
        <v>3052</v>
      </c>
      <c r="C1014" t="str">
        <f>"9783110473841"</f>
        <v>9783110473841</v>
      </c>
      <c r="D1014" t="str">
        <f>"9783110473858"</f>
        <v>9783110473858</v>
      </c>
      <c r="E1014" t="s">
        <v>415</v>
      </c>
      <c r="F1014" t="s">
        <v>659</v>
      </c>
      <c r="G1014" s="1">
        <v>42604</v>
      </c>
      <c r="H1014" s="1">
        <v>43333</v>
      </c>
      <c r="I1014" t="s">
        <v>189</v>
      </c>
      <c r="J1014">
        <v>1</v>
      </c>
      <c r="L1014" t="s">
        <v>14</v>
      </c>
    </row>
    <row r="1015" spans="1:40" x14ac:dyDescent="0.35">
      <c r="A1015">
        <v>5493947</v>
      </c>
      <c r="B1015" t="s">
        <v>3053</v>
      </c>
      <c r="C1015" t="str">
        <f>"9783110477474"</f>
        <v>9783110477474</v>
      </c>
      <c r="D1015" t="str">
        <f>"9783110477498"</f>
        <v>9783110477498</v>
      </c>
      <c r="E1015" t="s">
        <v>346</v>
      </c>
      <c r="F1015" t="s">
        <v>2637</v>
      </c>
      <c r="G1015" s="1">
        <v>42814</v>
      </c>
      <c r="H1015" s="1">
        <v>43333</v>
      </c>
      <c r="I1015" t="s">
        <v>189</v>
      </c>
      <c r="J1015">
        <v>1</v>
      </c>
      <c r="L1015" t="s">
        <v>51</v>
      </c>
    </row>
    <row r="1016" spans="1:40" x14ac:dyDescent="0.35">
      <c r="A1016">
        <v>5493948</v>
      </c>
      <c r="B1016" t="s">
        <v>3054</v>
      </c>
      <c r="C1016" t="str">
        <f>"9783110475364"</f>
        <v>9783110475364</v>
      </c>
      <c r="D1016" t="str">
        <f>"9783110475371"</f>
        <v>9783110475371</v>
      </c>
      <c r="E1016" t="s">
        <v>415</v>
      </c>
      <c r="F1016" t="s">
        <v>415</v>
      </c>
      <c r="G1016" s="1">
        <v>42877</v>
      </c>
      <c r="H1016" s="1">
        <v>43333</v>
      </c>
      <c r="I1016" t="s">
        <v>189</v>
      </c>
      <c r="J1016">
        <v>1</v>
      </c>
      <c r="K1016" t="s">
        <v>3055</v>
      </c>
      <c r="L1016" t="s">
        <v>3056</v>
      </c>
    </row>
    <row r="1017" spans="1:40" x14ac:dyDescent="0.35">
      <c r="A1017">
        <v>5493950</v>
      </c>
      <c r="B1017" t="s">
        <v>3057</v>
      </c>
      <c r="C1017" t="str">
        <f>"9783110480832"</f>
        <v>9783110480832</v>
      </c>
      <c r="D1017" t="str">
        <f>"9783110480849"</f>
        <v>9783110480849</v>
      </c>
      <c r="E1017" t="s">
        <v>415</v>
      </c>
      <c r="F1017" t="s">
        <v>659</v>
      </c>
      <c r="G1017" s="1">
        <v>42485</v>
      </c>
      <c r="H1017" s="1">
        <v>43333</v>
      </c>
      <c r="I1017" t="s">
        <v>189</v>
      </c>
      <c r="J1017">
        <v>1</v>
      </c>
      <c r="L1017" t="s">
        <v>3058</v>
      </c>
    </row>
    <row r="1018" spans="1:40" x14ac:dyDescent="0.35">
      <c r="A1018">
        <v>5493951</v>
      </c>
      <c r="B1018" t="s">
        <v>3059</v>
      </c>
      <c r="C1018" t="str">
        <f>"9783110488395"</f>
        <v>9783110488395</v>
      </c>
      <c r="D1018" t="str">
        <f>"9783110488401"</f>
        <v>9783110488401</v>
      </c>
      <c r="E1018" t="s">
        <v>415</v>
      </c>
      <c r="F1018" t="s">
        <v>659</v>
      </c>
      <c r="G1018" s="1">
        <v>42653</v>
      </c>
      <c r="H1018" s="1">
        <v>43333</v>
      </c>
      <c r="I1018" t="s">
        <v>189</v>
      </c>
      <c r="J1018">
        <v>1</v>
      </c>
      <c r="L1018" t="s">
        <v>3060</v>
      </c>
      <c r="M1018" t="s">
        <v>676</v>
      </c>
      <c r="N1018" t="s">
        <v>3061</v>
      </c>
      <c r="O1018" t="s">
        <v>3062</v>
      </c>
      <c r="Q1018" t="s">
        <v>260</v>
      </c>
      <c r="R1018" t="s">
        <v>261</v>
      </c>
      <c r="S1018" t="s">
        <v>261</v>
      </c>
      <c r="T1018" t="s">
        <v>261</v>
      </c>
      <c r="U1018" t="s">
        <v>261</v>
      </c>
      <c r="V1018" t="s">
        <v>262</v>
      </c>
      <c r="W1018" t="s">
        <v>261</v>
      </c>
      <c r="X1018" t="s">
        <v>261</v>
      </c>
      <c r="Y1018" t="s">
        <v>261</v>
      </c>
      <c r="Z1018" t="s">
        <v>409</v>
      </c>
      <c r="AA1018" t="s">
        <v>409</v>
      </c>
      <c r="AB1018" t="s">
        <v>409</v>
      </c>
      <c r="AC1018" t="s">
        <v>409</v>
      </c>
      <c r="AD1018" t="s">
        <v>261</v>
      </c>
      <c r="AH1018" t="s">
        <v>262</v>
      </c>
      <c r="AI1018" t="s">
        <v>262</v>
      </c>
      <c r="AJ1018" t="s">
        <v>261</v>
      </c>
      <c r="AK1018" t="s">
        <v>261</v>
      </c>
      <c r="AM1018" t="s">
        <v>262</v>
      </c>
      <c r="AN1018" t="s">
        <v>3063</v>
      </c>
    </row>
    <row r="1019" spans="1:40" x14ac:dyDescent="0.35">
      <c r="A1019">
        <v>5493952</v>
      </c>
      <c r="B1019" t="s">
        <v>3064</v>
      </c>
      <c r="C1019" t="str">
        <f>"9783110496598"</f>
        <v>9783110496598</v>
      </c>
      <c r="D1019" t="str">
        <f>"9783110496604"</f>
        <v>9783110496604</v>
      </c>
      <c r="E1019" t="s">
        <v>415</v>
      </c>
      <c r="F1019" t="s">
        <v>415</v>
      </c>
      <c r="G1019" s="1">
        <v>42898</v>
      </c>
      <c r="H1019" s="1">
        <v>43333</v>
      </c>
      <c r="I1019" t="s">
        <v>189</v>
      </c>
      <c r="J1019">
        <v>1</v>
      </c>
      <c r="K1019" t="s">
        <v>3065</v>
      </c>
      <c r="L1019" t="s">
        <v>3066</v>
      </c>
    </row>
    <row r="1020" spans="1:40" x14ac:dyDescent="0.35">
      <c r="A1020">
        <v>5493953</v>
      </c>
      <c r="B1020" t="s">
        <v>3067</v>
      </c>
      <c r="C1020" t="str">
        <f>"9783110480788"</f>
        <v>9783110480788</v>
      </c>
      <c r="D1020" t="str">
        <f>"9783110480795"</f>
        <v>9783110480795</v>
      </c>
      <c r="E1020" t="s">
        <v>415</v>
      </c>
      <c r="F1020" t="s">
        <v>659</v>
      </c>
      <c r="G1020" s="1">
        <v>42625</v>
      </c>
      <c r="H1020" s="1">
        <v>43333</v>
      </c>
      <c r="I1020" t="s">
        <v>189</v>
      </c>
      <c r="J1020">
        <v>1</v>
      </c>
      <c r="L1020" t="s">
        <v>3068</v>
      </c>
      <c r="M1020" t="s">
        <v>964</v>
      </c>
    </row>
    <row r="1021" spans="1:40" x14ac:dyDescent="0.35">
      <c r="A1021">
        <v>5493954</v>
      </c>
      <c r="B1021" t="s">
        <v>3069</v>
      </c>
      <c r="C1021" t="str">
        <f>"9783110497007"</f>
        <v>9783110497007</v>
      </c>
      <c r="D1021" t="str">
        <f>"9783110497656"</f>
        <v>9783110497656</v>
      </c>
      <c r="E1021" t="s">
        <v>415</v>
      </c>
      <c r="F1021" t="s">
        <v>415</v>
      </c>
      <c r="G1021" s="1">
        <v>42835</v>
      </c>
      <c r="H1021" s="1">
        <v>43333</v>
      </c>
      <c r="I1021" t="s">
        <v>189</v>
      </c>
      <c r="J1021">
        <v>1</v>
      </c>
      <c r="K1021" t="s">
        <v>3070</v>
      </c>
      <c r="L1021" t="s">
        <v>3071</v>
      </c>
      <c r="M1021" t="s">
        <v>199</v>
      </c>
      <c r="O1021">
        <v>121</v>
      </c>
      <c r="Q1021" t="s">
        <v>260</v>
      </c>
      <c r="R1021" t="s">
        <v>261</v>
      </c>
      <c r="S1021" t="s">
        <v>261</v>
      </c>
      <c r="T1021" t="s">
        <v>261</v>
      </c>
      <c r="U1021" t="s">
        <v>261</v>
      </c>
      <c r="V1021" t="s">
        <v>262</v>
      </c>
      <c r="W1021" t="s">
        <v>261</v>
      </c>
      <c r="X1021" t="s">
        <v>261</v>
      </c>
      <c r="Y1021" t="s">
        <v>261</v>
      </c>
      <c r="Z1021" t="s">
        <v>409</v>
      </c>
      <c r="AA1021" t="s">
        <v>409</v>
      </c>
      <c r="AB1021" t="s">
        <v>409</v>
      </c>
      <c r="AC1021" t="s">
        <v>409</v>
      </c>
      <c r="AD1021" t="s">
        <v>261</v>
      </c>
      <c r="AH1021" t="s">
        <v>262</v>
      </c>
      <c r="AI1021" t="s">
        <v>262</v>
      </c>
      <c r="AJ1021" t="s">
        <v>261</v>
      </c>
      <c r="AK1021" t="s">
        <v>261</v>
      </c>
      <c r="AM1021" t="s">
        <v>262</v>
      </c>
      <c r="AN1021" t="s">
        <v>3072</v>
      </c>
    </row>
    <row r="1022" spans="1:40" x14ac:dyDescent="0.35">
      <c r="A1022">
        <v>5493955</v>
      </c>
      <c r="B1022" t="s">
        <v>3073</v>
      </c>
      <c r="C1022" t="str">
        <f>"9783110500813"</f>
        <v>9783110500813</v>
      </c>
      <c r="D1022" t="str">
        <f>"9783110500820"</f>
        <v>9783110500820</v>
      </c>
      <c r="E1022" t="s">
        <v>415</v>
      </c>
      <c r="F1022" t="s">
        <v>659</v>
      </c>
      <c r="G1022" s="1">
        <v>42746</v>
      </c>
      <c r="H1022" s="1">
        <v>43333</v>
      </c>
      <c r="I1022" t="s">
        <v>189</v>
      </c>
      <c r="J1022">
        <v>1</v>
      </c>
      <c r="L1022" t="s">
        <v>3074</v>
      </c>
    </row>
    <row r="1023" spans="1:40" x14ac:dyDescent="0.35">
      <c r="A1023">
        <v>5493956</v>
      </c>
      <c r="B1023" t="s">
        <v>3075</v>
      </c>
      <c r="C1023" t="str">
        <f>"9783110500547"</f>
        <v>9783110500547</v>
      </c>
      <c r="D1023" t="str">
        <f>"9783110500882"</f>
        <v>9783110500882</v>
      </c>
      <c r="E1023" t="s">
        <v>346</v>
      </c>
      <c r="F1023" t="s">
        <v>346</v>
      </c>
      <c r="G1023" s="1">
        <v>42835</v>
      </c>
      <c r="H1023" s="1">
        <v>43333</v>
      </c>
      <c r="I1023" t="s">
        <v>189</v>
      </c>
      <c r="J1023">
        <v>1</v>
      </c>
      <c r="K1023" t="s">
        <v>2721</v>
      </c>
      <c r="L1023" t="s">
        <v>3076</v>
      </c>
      <c r="M1023" t="s">
        <v>389</v>
      </c>
      <c r="Q1023" t="s">
        <v>260</v>
      </c>
      <c r="R1023" t="s">
        <v>261</v>
      </c>
      <c r="S1023" t="s">
        <v>261</v>
      </c>
      <c r="T1023" t="s">
        <v>261</v>
      </c>
      <c r="U1023" t="s">
        <v>261</v>
      </c>
      <c r="V1023" t="s">
        <v>262</v>
      </c>
      <c r="W1023" t="s">
        <v>261</v>
      </c>
      <c r="X1023" t="s">
        <v>261</v>
      </c>
      <c r="Y1023" t="s">
        <v>261</v>
      </c>
      <c r="Z1023" t="s">
        <v>409</v>
      </c>
      <c r="AA1023" t="s">
        <v>409</v>
      </c>
      <c r="AB1023" t="s">
        <v>409</v>
      </c>
      <c r="AC1023" t="s">
        <v>409</v>
      </c>
      <c r="AD1023" t="s">
        <v>261</v>
      </c>
      <c r="AH1023" t="s">
        <v>262</v>
      </c>
      <c r="AI1023" t="s">
        <v>262</v>
      </c>
      <c r="AJ1023" t="s">
        <v>261</v>
      </c>
      <c r="AK1023" t="s">
        <v>261</v>
      </c>
      <c r="AM1023" t="s">
        <v>262</v>
      </c>
      <c r="AN1023" t="s">
        <v>3077</v>
      </c>
    </row>
    <row r="1024" spans="1:40" x14ac:dyDescent="0.35">
      <c r="A1024">
        <v>5493957</v>
      </c>
      <c r="B1024" t="s">
        <v>3078</v>
      </c>
      <c r="C1024" t="str">
        <f>"9783110524208"</f>
        <v>9783110524208</v>
      </c>
      <c r="D1024" t="str">
        <f>"9783110516371"</f>
        <v>9783110516371</v>
      </c>
      <c r="E1024" t="s">
        <v>346</v>
      </c>
      <c r="F1024" t="s">
        <v>346</v>
      </c>
      <c r="G1024" s="1">
        <v>42968</v>
      </c>
      <c r="H1024" s="1">
        <v>43333</v>
      </c>
      <c r="I1024" t="s">
        <v>189</v>
      </c>
      <c r="J1024">
        <v>1</v>
      </c>
      <c r="K1024" t="s">
        <v>3079</v>
      </c>
      <c r="L1024" t="s">
        <v>3080</v>
      </c>
    </row>
    <row r="1025" spans="1:40" x14ac:dyDescent="0.35">
      <c r="A1025">
        <v>5493958</v>
      </c>
      <c r="B1025" t="s">
        <v>3081</v>
      </c>
      <c r="C1025" t="str">
        <f>"9783110517316"</f>
        <v>9783110517316</v>
      </c>
      <c r="D1025" t="str">
        <f>"9783110517323"</f>
        <v>9783110517323</v>
      </c>
      <c r="E1025" t="s">
        <v>415</v>
      </c>
      <c r="F1025" t="s">
        <v>659</v>
      </c>
      <c r="G1025" s="1">
        <v>42849</v>
      </c>
      <c r="H1025" s="1">
        <v>43333</v>
      </c>
      <c r="I1025" t="s">
        <v>189</v>
      </c>
      <c r="J1025">
        <v>1</v>
      </c>
      <c r="L1025" t="s">
        <v>3082</v>
      </c>
      <c r="M1025" t="s">
        <v>389</v>
      </c>
      <c r="Q1025" t="s">
        <v>260</v>
      </c>
      <c r="R1025" t="s">
        <v>261</v>
      </c>
      <c r="S1025" t="s">
        <v>261</v>
      </c>
      <c r="T1025" t="s">
        <v>261</v>
      </c>
      <c r="U1025" t="s">
        <v>261</v>
      </c>
      <c r="V1025" t="s">
        <v>262</v>
      </c>
      <c r="W1025" t="s">
        <v>261</v>
      </c>
      <c r="X1025" t="s">
        <v>261</v>
      </c>
      <c r="Y1025" t="s">
        <v>261</v>
      </c>
      <c r="Z1025" t="s">
        <v>409</v>
      </c>
      <c r="AA1025" t="s">
        <v>409</v>
      </c>
      <c r="AB1025" t="s">
        <v>409</v>
      </c>
      <c r="AC1025" t="s">
        <v>409</v>
      </c>
      <c r="AD1025" t="s">
        <v>261</v>
      </c>
      <c r="AH1025" t="s">
        <v>262</v>
      </c>
      <c r="AI1025" t="s">
        <v>262</v>
      </c>
      <c r="AJ1025" t="s">
        <v>261</v>
      </c>
      <c r="AK1025" t="s">
        <v>261</v>
      </c>
      <c r="AM1025" t="s">
        <v>262</v>
      </c>
      <c r="AN1025" t="s">
        <v>3083</v>
      </c>
    </row>
    <row r="1026" spans="1:40" x14ac:dyDescent="0.35">
      <c r="A1026">
        <v>5493959</v>
      </c>
      <c r="B1026" t="s">
        <v>3084</v>
      </c>
      <c r="C1026" t="str">
        <f>"9783110517361"</f>
        <v>9783110517361</v>
      </c>
      <c r="D1026" t="str">
        <f>"9783110517378"</f>
        <v>9783110517378</v>
      </c>
      <c r="E1026" t="s">
        <v>415</v>
      </c>
      <c r="F1026" t="s">
        <v>659</v>
      </c>
      <c r="G1026" s="1">
        <v>42653</v>
      </c>
      <c r="H1026" s="1">
        <v>43333</v>
      </c>
      <c r="I1026" t="s">
        <v>189</v>
      </c>
      <c r="J1026">
        <v>1</v>
      </c>
      <c r="L1026" t="s">
        <v>3085</v>
      </c>
      <c r="M1026" t="s">
        <v>219</v>
      </c>
    </row>
    <row r="1027" spans="1:40" x14ac:dyDescent="0.35">
      <c r="A1027">
        <v>5493960</v>
      </c>
      <c r="B1027" t="s">
        <v>3086</v>
      </c>
      <c r="C1027" t="str">
        <f>"9783110522112"</f>
        <v>9783110522112</v>
      </c>
      <c r="D1027" t="str">
        <f>"9783110522143"</f>
        <v>9783110522143</v>
      </c>
      <c r="E1027" t="s">
        <v>415</v>
      </c>
      <c r="F1027" t="s">
        <v>659</v>
      </c>
      <c r="G1027" s="1">
        <v>42849</v>
      </c>
      <c r="H1027" s="1">
        <v>43333</v>
      </c>
      <c r="I1027" t="s">
        <v>189</v>
      </c>
      <c r="J1027">
        <v>1</v>
      </c>
      <c r="L1027" t="s">
        <v>3087</v>
      </c>
    </row>
    <row r="1028" spans="1:40" x14ac:dyDescent="0.35">
      <c r="A1028">
        <v>5493961</v>
      </c>
      <c r="B1028" t="s">
        <v>3088</v>
      </c>
      <c r="C1028" t="str">
        <f>"9783110527964"</f>
        <v>9783110527964</v>
      </c>
      <c r="D1028" t="str">
        <f>"9783110527971"</f>
        <v>9783110527971</v>
      </c>
      <c r="E1028" t="s">
        <v>415</v>
      </c>
      <c r="F1028" t="s">
        <v>415</v>
      </c>
      <c r="G1028" s="1">
        <v>43031</v>
      </c>
      <c r="H1028" s="1">
        <v>43333</v>
      </c>
      <c r="I1028" t="s">
        <v>189</v>
      </c>
      <c r="J1028">
        <v>1</v>
      </c>
      <c r="K1028" t="s">
        <v>3089</v>
      </c>
      <c r="L1028" t="s">
        <v>3090</v>
      </c>
    </row>
    <row r="1029" spans="1:40" x14ac:dyDescent="0.35">
      <c r="A1029">
        <v>5493962</v>
      </c>
      <c r="B1029" t="s">
        <v>3091</v>
      </c>
      <c r="C1029" t="str">
        <f>"9783110523102"</f>
        <v>9783110523102</v>
      </c>
      <c r="D1029" t="str">
        <f>"9783110528114"</f>
        <v>9783110528114</v>
      </c>
      <c r="E1029" t="s">
        <v>415</v>
      </c>
      <c r="F1029" t="s">
        <v>415</v>
      </c>
      <c r="G1029" s="1">
        <v>42849</v>
      </c>
      <c r="H1029" s="1">
        <v>43333</v>
      </c>
      <c r="I1029" t="s">
        <v>189</v>
      </c>
      <c r="J1029">
        <v>1</v>
      </c>
      <c r="K1029" t="s">
        <v>2279</v>
      </c>
      <c r="L1029" t="s">
        <v>3092</v>
      </c>
    </row>
    <row r="1030" spans="1:40" x14ac:dyDescent="0.35">
      <c r="A1030">
        <v>5493963</v>
      </c>
      <c r="B1030" t="s">
        <v>3093</v>
      </c>
      <c r="C1030" t="str">
        <f>"9783110530490"</f>
        <v>9783110530490</v>
      </c>
      <c r="D1030" t="str">
        <f>"9783110531732"</f>
        <v>9783110531732</v>
      </c>
      <c r="E1030" t="s">
        <v>346</v>
      </c>
      <c r="F1030" t="s">
        <v>346</v>
      </c>
      <c r="G1030" s="1">
        <v>42849</v>
      </c>
      <c r="H1030" s="1">
        <v>43333</v>
      </c>
      <c r="I1030" t="s">
        <v>189</v>
      </c>
      <c r="J1030">
        <v>1</v>
      </c>
      <c r="K1030" t="s">
        <v>2641</v>
      </c>
      <c r="L1030" t="s">
        <v>3094</v>
      </c>
      <c r="M1030" t="s">
        <v>329</v>
      </c>
      <c r="Q1030" t="s">
        <v>408</v>
      </c>
      <c r="R1030" t="s">
        <v>261</v>
      </c>
      <c r="S1030" t="s">
        <v>261</v>
      </c>
      <c r="T1030" t="s">
        <v>261</v>
      </c>
      <c r="U1030" t="s">
        <v>261</v>
      </c>
      <c r="V1030" t="s">
        <v>262</v>
      </c>
      <c r="W1030" t="s">
        <v>261</v>
      </c>
      <c r="X1030" t="s">
        <v>261</v>
      </c>
      <c r="Y1030" t="s">
        <v>261</v>
      </c>
      <c r="Z1030" t="s">
        <v>409</v>
      </c>
      <c r="AA1030" t="s">
        <v>409</v>
      </c>
      <c r="AB1030" t="s">
        <v>409</v>
      </c>
      <c r="AC1030" t="s">
        <v>409</v>
      </c>
      <c r="AD1030" t="s">
        <v>261</v>
      </c>
      <c r="AH1030" t="s">
        <v>262</v>
      </c>
      <c r="AI1030" t="s">
        <v>262</v>
      </c>
      <c r="AJ1030" t="s">
        <v>261</v>
      </c>
      <c r="AK1030" t="s">
        <v>261</v>
      </c>
      <c r="AM1030" t="s">
        <v>262</v>
      </c>
      <c r="AN1030" t="s">
        <v>3095</v>
      </c>
    </row>
    <row r="1031" spans="1:40" x14ac:dyDescent="0.35">
      <c r="A1031">
        <v>5493964</v>
      </c>
      <c r="B1031" t="s">
        <v>3096</v>
      </c>
      <c r="C1031" t="str">
        <f>"9783110529159"</f>
        <v>9783110529159</v>
      </c>
      <c r="D1031" t="str">
        <f>"9783110534597"</f>
        <v>9783110534597</v>
      </c>
      <c r="E1031" t="s">
        <v>346</v>
      </c>
      <c r="F1031" t="s">
        <v>346</v>
      </c>
      <c r="G1031" s="1">
        <v>42968</v>
      </c>
      <c r="H1031" s="1">
        <v>43333</v>
      </c>
      <c r="I1031" t="s">
        <v>189</v>
      </c>
      <c r="J1031">
        <v>1</v>
      </c>
      <c r="K1031" t="s">
        <v>1159</v>
      </c>
      <c r="L1031" t="s">
        <v>3097</v>
      </c>
    </row>
    <row r="1032" spans="1:40" x14ac:dyDescent="0.35">
      <c r="A1032">
        <v>5493965</v>
      </c>
      <c r="B1032" t="s">
        <v>3098</v>
      </c>
      <c r="C1032" t="str">
        <f>"9783110539325"</f>
        <v>9783110539325</v>
      </c>
      <c r="D1032" t="str">
        <f>"9783110539356"</f>
        <v>9783110539356</v>
      </c>
      <c r="E1032" t="s">
        <v>415</v>
      </c>
      <c r="F1032" t="s">
        <v>659</v>
      </c>
      <c r="G1032" s="1">
        <v>42814</v>
      </c>
      <c r="H1032" s="1">
        <v>43333</v>
      </c>
      <c r="I1032" t="s">
        <v>189</v>
      </c>
      <c r="J1032">
        <v>1</v>
      </c>
      <c r="L1032" t="s">
        <v>3099</v>
      </c>
    </row>
    <row r="1033" spans="1:40" x14ac:dyDescent="0.35">
      <c r="A1033">
        <v>5493967</v>
      </c>
      <c r="B1033" t="s">
        <v>3100</v>
      </c>
      <c r="C1033" t="str">
        <f>"9783110540130"</f>
        <v>9783110540130</v>
      </c>
      <c r="D1033" t="str">
        <f>"9783110540147"</f>
        <v>9783110540147</v>
      </c>
      <c r="E1033" t="s">
        <v>415</v>
      </c>
      <c r="F1033" t="s">
        <v>659</v>
      </c>
      <c r="G1033" s="1">
        <v>42849</v>
      </c>
      <c r="H1033" s="1">
        <v>43333</v>
      </c>
      <c r="I1033" t="s">
        <v>189</v>
      </c>
      <c r="J1033">
        <v>1</v>
      </c>
      <c r="L1033" t="s">
        <v>3101</v>
      </c>
      <c r="M1033" t="s">
        <v>1318</v>
      </c>
    </row>
    <row r="1034" spans="1:40" x14ac:dyDescent="0.35">
      <c r="A1034">
        <v>5493968</v>
      </c>
      <c r="B1034" t="s">
        <v>3102</v>
      </c>
      <c r="C1034" t="str">
        <f>"9783110541366"</f>
        <v>9783110541366</v>
      </c>
      <c r="D1034" t="str">
        <f>"9783110541397"</f>
        <v>9783110541397</v>
      </c>
      <c r="E1034" t="s">
        <v>415</v>
      </c>
      <c r="F1034" t="s">
        <v>415</v>
      </c>
      <c r="G1034" s="1">
        <v>43150</v>
      </c>
      <c r="H1034" s="1">
        <v>43333</v>
      </c>
      <c r="I1034" t="s">
        <v>189</v>
      </c>
      <c r="J1034">
        <v>1</v>
      </c>
      <c r="K1034" t="s">
        <v>2442</v>
      </c>
      <c r="L1034" t="s">
        <v>3103</v>
      </c>
    </row>
    <row r="1035" spans="1:40" x14ac:dyDescent="0.35">
      <c r="A1035">
        <v>5493969</v>
      </c>
      <c r="B1035" t="s">
        <v>3104</v>
      </c>
      <c r="C1035" t="str">
        <f>"9783110541403"</f>
        <v>9783110541403</v>
      </c>
      <c r="D1035" t="str">
        <f>"9783110541441"</f>
        <v>9783110541441</v>
      </c>
      <c r="E1035" t="s">
        <v>415</v>
      </c>
      <c r="F1035" t="s">
        <v>415</v>
      </c>
      <c r="G1035" s="1">
        <v>42989</v>
      </c>
      <c r="H1035" s="1">
        <v>43333</v>
      </c>
      <c r="I1035" t="s">
        <v>189</v>
      </c>
      <c r="J1035">
        <v>1</v>
      </c>
      <c r="K1035" t="s">
        <v>2442</v>
      </c>
      <c r="L1035" t="s">
        <v>3105</v>
      </c>
    </row>
    <row r="1036" spans="1:40" x14ac:dyDescent="0.35">
      <c r="A1036">
        <v>5493970</v>
      </c>
      <c r="B1036" t="s">
        <v>3106</v>
      </c>
      <c r="C1036" t="str">
        <f>"9783110546323"</f>
        <v>9783110546323</v>
      </c>
      <c r="D1036" t="str">
        <f>"9783110546330"</f>
        <v>9783110546330</v>
      </c>
      <c r="E1036" t="s">
        <v>415</v>
      </c>
      <c r="F1036" t="s">
        <v>659</v>
      </c>
      <c r="G1036" s="1">
        <v>42849</v>
      </c>
      <c r="H1036" s="1">
        <v>43333</v>
      </c>
      <c r="I1036" t="s">
        <v>189</v>
      </c>
      <c r="J1036">
        <v>1</v>
      </c>
      <c r="L1036" t="s">
        <v>2440</v>
      </c>
    </row>
    <row r="1037" spans="1:40" x14ac:dyDescent="0.35">
      <c r="A1037">
        <v>5493983</v>
      </c>
      <c r="B1037" t="s">
        <v>3107</v>
      </c>
      <c r="C1037" t="str">
        <f>"9783110546392"</f>
        <v>9783110546392</v>
      </c>
      <c r="D1037" t="str">
        <f>"9783110546422"</f>
        <v>9783110546422</v>
      </c>
      <c r="E1037" t="s">
        <v>415</v>
      </c>
      <c r="F1037" t="s">
        <v>415</v>
      </c>
      <c r="G1037" s="1">
        <v>43087</v>
      </c>
      <c r="H1037" s="1">
        <v>43333</v>
      </c>
      <c r="I1037" t="s">
        <v>189</v>
      </c>
      <c r="J1037">
        <v>1</v>
      </c>
      <c r="K1037" t="s">
        <v>2442</v>
      </c>
      <c r="L1037" t="s">
        <v>3108</v>
      </c>
      <c r="M1037" t="s">
        <v>578</v>
      </c>
    </row>
    <row r="1038" spans="1:40" x14ac:dyDescent="0.35">
      <c r="A1038">
        <v>5493984</v>
      </c>
      <c r="B1038" t="s">
        <v>3109</v>
      </c>
      <c r="C1038" t="str">
        <f>"9783110562354"</f>
        <v>9783110562354</v>
      </c>
      <c r="D1038" t="str">
        <f>"9783110562507"</f>
        <v>9783110562507</v>
      </c>
      <c r="E1038" t="s">
        <v>415</v>
      </c>
      <c r="F1038" t="s">
        <v>415</v>
      </c>
      <c r="G1038" s="1">
        <v>43031</v>
      </c>
      <c r="H1038" s="1">
        <v>43333</v>
      </c>
      <c r="I1038" t="s">
        <v>189</v>
      </c>
      <c r="J1038">
        <v>1</v>
      </c>
      <c r="K1038" t="s">
        <v>3110</v>
      </c>
      <c r="L1038" t="s">
        <v>3111</v>
      </c>
    </row>
    <row r="1039" spans="1:40" x14ac:dyDescent="0.35">
      <c r="A1039">
        <v>5493985</v>
      </c>
      <c r="B1039" t="s">
        <v>3112</v>
      </c>
      <c r="C1039" t="str">
        <f>"9783110538519"</f>
        <v>9783110538519</v>
      </c>
      <c r="D1039" t="str">
        <f>"9783110547474"</f>
        <v>9783110547474</v>
      </c>
      <c r="E1039" t="s">
        <v>415</v>
      </c>
      <c r="F1039" t="s">
        <v>415</v>
      </c>
      <c r="G1039" s="1">
        <v>42989</v>
      </c>
      <c r="H1039" s="1">
        <v>43333</v>
      </c>
      <c r="I1039" t="s">
        <v>189</v>
      </c>
      <c r="J1039">
        <v>1</v>
      </c>
      <c r="L1039" t="s">
        <v>3113</v>
      </c>
      <c r="M1039" t="s">
        <v>219</v>
      </c>
      <c r="O1039" t="s">
        <v>3114</v>
      </c>
      <c r="Q1039" t="s">
        <v>260</v>
      </c>
      <c r="R1039" t="s">
        <v>261</v>
      </c>
      <c r="S1039" t="s">
        <v>261</v>
      </c>
      <c r="T1039" t="s">
        <v>261</v>
      </c>
      <c r="U1039" t="s">
        <v>261</v>
      </c>
      <c r="V1039" t="s">
        <v>262</v>
      </c>
      <c r="W1039" t="s">
        <v>261</v>
      </c>
      <c r="X1039" t="s">
        <v>261</v>
      </c>
      <c r="Y1039" t="s">
        <v>261</v>
      </c>
      <c r="Z1039" t="s">
        <v>409</v>
      </c>
      <c r="AA1039" t="s">
        <v>409</v>
      </c>
      <c r="AB1039" t="s">
        <v>409</v>
      </c>
      <c r="AC1039" t="s">
        <v>409</v>
      </c>
      <c r="AD1039" t="s">
        <v>261</v>
      </c>
      <c r="AH1039" t="s">
        <v>262</v>
      </c>
      <c r="AI1039" t="s">
        <v>262</v>
      </c>
      <c r="AJ1039" t="s">
        <v>261</v>
      </c>
      <c r="AK1039" t="s">
        <v>261</v>
      </c>
      <c r="AM1039" t="s">
        <v>262</v>
      </c>
      <c r="AN1039" t="s">
        <v>3115</v>
      </c>
    </row>
    <row r="1040" spans="1:40" x14ac:dyDescent="0.35">
      <c r="A1040">
        <v>5493986</v>
      </c>
      <c r="B1040" t="s">
        <v>3116</v>
      </c>
      <c r="C1040" t="str">
        <f>"9783794044306"</f>
        <v>9783794044306</v>
      </c>
      <c r="D1040" t="str">
        <f>"9783111356655"</f>
        <v>9783111356655</v>
      </c>
      <c r="E1040" t="s">
        <v>415</v>
      </c>
      <c r="F1040" t="s">
        <v>416</v>
      </c>
      <c r="G1040" s="1">
        <v>28126</v>
      </c>
      <c r="H1040" s="1">
        <v>43333</v>
      </c>
      <c r="I1040" t="s">
        <v>189</v>
      </c>
      <c r="J1040">
        <v>1</v>
      </c>
      <c r="K1040" t="s">
        <v>347</v>
      </c>
      <c r="L1040" t="s">
        <v>3117</v>
      </c>
    </row>
    <row r="1041" spans="1:40" x14ac:dyDescent="0.35">
      <c r="A1041">
        <v>5494130</v>
      </c>
      <c r="B1041" t="s">
        <v>3118</v>
      </c>
      <c r="C1041" t="str">
        <f>"9783486568349"</f>
        <v>9783486568349</v>
      </c>
      <c r="D1041" t="str">
        <f>"9783486835441"</f>
        <v>9783486835441</v>
      </c>
      <c r="E1041" t="s">
        <v>415</v>
      </c>
      <c r="F1041" t="s">
        <v>665</v>
      </c>
      <c r="G1041" s="1">
        <v>38315</v>
      </c>
      <c r="H1041" s="1">
        <v>43333</v>
      </c>
      <c r="I1041" t="s">
        <v>189</v>
      </c>
      <c r="J1041">
        <v>1</v>
      </c>
      <c r="K1041" t="s">
        <v>997</v>
      </c>
      <c r="L1041" t="s">
        <v>3119</v>
      </c>
      <c r="M1041" t="s">
        <v>239</v>
      </c>
      <c r="Q1041" t="s">
        <v>408</v>
      </c>
      <c r="R1041" t="s">
        <v>261</v>
      </c>
      <c r="S1041" t="s">
        <v>261</v>
      </c>
      <c r="T1041" t="s">
        <v>261</v>
      </c>
      <c r="U1041" t="s">
        <v>261</v>
      </c>
      <c r="V1041" t="s">
        <v>262</v>
      </c>
      <c r="W1041" t="s">
        <v>261</v>
      </c>
      <c r="X1041" t="s">
        <v>261</v>
      </c>
      <c r="Y1041" t="s">
        <v>261</v>
      </c>
      <c r="Z1041" t="s">
        <v>409</v>
      </c>
      <c r="AA1041" t="s">
        <v>409</v>
      </c>
      <c r="AB1041" t="s">
        <v>409</v>
      </c>
      <c r="AC1041" t="s">
        <v>409</v>
      </c>
      <c r="AD1041" t="s">
        <v>261</v>
      </c>
      <c r="AH1041" t="s">
        <v>262</v>
      </c>
      <c r="AI1041" t="s">
        <v>262</v>
      </c>
      <c r="AJ1041" t="s">
        <v>261</v>
      </c>
      <c r="AK1041" t="s">
        <v>261</v>
      </c>
      <c r="AM1041" t="s">
        <v>262</v>
      </c>
      <c r="AN1041" t="s">
        <v>3120</v>
      </c>
    </row>
    <row r="1042" spans="1:40" x14ac:dyDescent="0.35">
      <c r="A1042">
        <v>5494132</v>
      </c>
      <c r="B1042" t="s">
        <v>3121</v>
      </c>
      <c r="C1042" t="str">
        <f>"9783486992519"</f>
        <v>9783486992519</v>
      </c>
      <c r="D1042" t="str">
        <f>"9783486992526"</f>
        <v>9783486992526</v>
      </c>
      <c r="E1042" t="s">
        <v>415</v>
      </c>
      <c r="F1042" t="s">
        <v>665</v>
      </c>
      <c r="G1042" s="1">
        <v>42321</v>
      </c>
      <c r="H1042" s="1">
        <v>43333</v>
      </c>
      <c r="I1042" t="s">
        <v>189</v>
      </c>
      <c r="J1042">
        <v>1</v>
      </c>
      <c r="K1042" t="s">
        <v>3122</v>
      </c>
      <c r="L1042" t="s">
        <v>3123</v>
      </c>
      <c r="M1042" t="s">
        <v>1248</v>
      </c>
    </row>
    <row r="1043" spans="1:40" x14ac:dyDescent="0.35">
      <c r="A1043">
        <v>5494133</v>
      </c>
      <c r="B1043" t="s">
        <v>3124</v>
      </c>
      <c r="C1043" t="str">
        <f>"9783486992557"</f>
        <v>9783486992557</v>
      </c>
      <c r="D1043" t="str">
        <f>"9783486992564"</f>
        <v>9783486992564</v>
      </c>
      <c r="E1043" t="s">
        <v>415</v>
      </c>
      <c r="F1043" t="s">
        <v>665</v>
      </c>
      <c r="G1043" s="1">
        <v>42306</v>
      </c>
      <c r="H1043" s="1">
        <v>43333</v>
      </c>
      <c r="I1043" t="s">
        <v>189</v>
      </c>
      <c r="J1043">
        <v>1</v>
      </c>
      <c r="K1043" t="s">
        <v>3122</v>
      </c>
      <c r="L1043" t="s">
        <v>3123</v>
      </c>
      <c r="M1043" t="s">
        <v>1248</v>
      </c>
    </row>
    <row r="1044" spans="1:40" x14ac:dyDescent="0.35">
      <c r="A1044">
        <v>5494134</v>
      </c>
      <c r="B1044" t="s">
        <v>3125</v>
      </c>
      <c r="C1044" t="str">
        <f>"9783486992533"</f>
        <v>9783486992533</v>
      </c>
      <c r="D1044" t="str">
        <f>"9783486992540"</f>
        <v>9783486992540</v>
      </c>
      <c r="E1044" t="s">
        <v>415</v>
      </c>
      <c r="F1044" t="s">
        <v>665</v>
      </c>
      <c r="G1044" s="1">
        <v>42306</v>
      </c>
      <c r="H1044" s="1">
        <v>43333</v>
      </c>
      <c r="I1044" t="s">
        <v>189</v>
      </c>
      <c r="J1044">
        <v>1</v>
      </c>
      <c r="K1044" t="s">
        <v>3122</v>
      </c>
      <c r="L1044" t="s">
        <v>3123</v>
      </c>
      <c r="M1044" t="s">
        <v>1248</v>
      </c>
    </row>
    <row r="1045" spans="1:40" x14ac:dyDescent="0.35">
      <c r="A1045">
        <v>5494137</v>
      </c>
      <c r="B1045" t="s">
        <v>3126</v>
      </c>
      <c r="C1045" t="str">
        <f>"9783486992571"</f>
        <v>9783486992571</v>
      </c>
      <c r="D1045" t="str">
        <f>"9783486992588"</f>
        <v>9783486992588</v>
      </c>
      <c r="E1045" t="s">
        <v>415</v>
      </c>
      <c r="F1045" t="s">
        <v>665</v>
      </c>
      <c r="G1045" s="1">
        <v>42306</v>
      </c>
      <c r="H1045" s="1">
        <v>43333</v>
      </c>
      <c r="I1045" t="s">
        <v>189</v>
      </c>
      <c r="J1045">
        <v>1</v>
      </c>
      <c r="K1045" t="s">
        <v>3122</v>
      </c>
      <c r="L1045" t="s">
        <v>3123</v>
      </c>
      <c r="M1045" t="s">
        <v>847</v>
      </c>
    </row>
    <row r="1046" spans="1:40" x14ac:dyDescent="0.35">
      <c r="A1046">
        <v>5494918</v>
      </c>
      <c r="B1046" t="s">
        <v>3127</v>
      </c>
      <c r="C1046" t="str">
        <f>"9783110562385"</f>
        <v>9783110562385</v>
      </c>
      <c r="D1046" t="str">
        <f>"9783110562392"</f>
        <v>9783110562392</v>
      </c>
      <c r="E1046" t="s">
        <v>415</v>
      </c>
      <c r="F1046" t="s">
        <v>659</v>
      </c>
      <c r="G1046" s="1">
        <v>42912</v>
      </c>
      <c r="H1046" s="1">
        <v>43847</v>
      </c>
      <c r="I1046" t="s">
        <v>189</v>
      </c>
      <c r="J1046">
        <v>1</v>
      </c>
      <c r="L1046" t="s">
        <v>3128</v>
      </c>
      <c r="M1046" t="s">
        <v>210</v>
      </c>
      <c r="O1046" t="s">
        <v>3129</v>
      </c>
      <c r="Q1046" t="s">
        <v>260</v>
      </c>
      <c r="R1046" t="s">
        <v>261</v>
      </c>
      <c r="S1046" t="s">
        <v>261</v>
      </c>
      <c r="T1046" t="s">
        <v>261</v>
      </c>
      <c r="U1046" t="s">
        <v>261</v>
      </c>
      <c r="V1046" t="s">
        <v>262</v>
      </c>
      <c r="W1046" t="s">
        <v>261</v>
      </c>
      <c r="X1046" t="s">
        <v>261</v>
      </c>
      <c r="Y1046" t="s">
        <v>261</v>
      </c>
      <c r="Z1046" t="s">
        <v>409</v>
      </c>
      <c r="AA1046" t="s">
        <v>409</v>
      </c>
      <c r="AB1046" t="s">
        <v>409</v>
      </c>
      <c r="AC1046" t="s">
        <v>409</v>
      </c>
      <c r="AD1046" t="s">
        <v>261</v>
      </c>
      <c r="AH1046" t="s">
        <v>262</v>
      </c>
      <c r="AI1046" t="s">
        <v>262</v>
      </c>
      <c r="AJ1046" t="s">
        <v>261</v>
      </c>
      <c r="AK1046" t="s">
        <v>261</v>
      </c>
      <c r="AM1046" t="s">
        <v>262</v>
      </c>
      <c r="AN1046" t="s">
        <v>3130</v>
      </c>
    </row>
    <row r="1047" spans="1:40" x14ac:dyDescent="0.35">
      <c r="A1047">
        <v>5494919</v>
      </c>
      <c r="B1047" t="s">
        <v>3131</v>
      </c>
      <c r="C1047" t="str">
        <f>"9783110439991"</f>
        <v>9783110439991</v>
      </c>
      <c r="D1047" t="str">
        <f>"9783110440003"</f>
        <v>9783110440003</v>
      </c>
      <c r="E1047" t="s">
        <v>415</v>
      </c>
      <c r="F1047" t="s">
        <v>659</v>
      </c>
      <c r="G1047" s="1">
        <v>42261</v>
      </c>
      <c r="H1047" s="1">
        <v>43512</v>
      </c>
      <c r="I1047" t="s">
        <v>189</v>
      </c>
      <c r="J1047">
        <v>1</v>
      </c>
      <c r="L1047" t="s">
        <v>3132</v>
      </c>
      <c r="M1047" t="s">
        <v>239</v>
      </c>
    </row>
    <row r="1048" spans="1:40" x14ac:dyDescent="0.35">
      <c r="A1048">
        <v>5494922</v>
      </c>
      <c r="B1048" t="s">
        <v>3133</v>
      </c>
      <c r="C1048" t="str">
        <f>"9783110537451"</f>
        <v>9783110537451</v>
      </c>
      <c r="D1048" t="str">
        <f>"9783110537482"</f>
        <v>9783110537482</v>
      </c>
      <c r="E1048" t="s">
        <v>415</v>
      </c>
      <c r="F1048" t="s">
        <v>3134</v>
      </c>
      <c r="G1048" s="1">
        <v>43774</v>
      </c>
      <c r="H1048" s="1">
        <v>43847</v>
      </c>
      <c r="I1048" t="s">
        <v>189</v>
      </c>
      <c r="J1048">
        <v>1</v>
      </c>
      <c r="L1048" t="s">
        <v>3135</v>
      </c>
    </row>
    <row r="1049" spans="1:40" x14ac:dyDescent="0.35">
      <c r="A1049">
        <v>5494923</v>
      </c>
      <c r="B1049" t="s">
        <v>3136</v>
      </c>
      <c r="C1049" t="str">
        <f>"9783110574401"</f>
        <v>9783110574401</v>
      </c>
      <c r="D1049" t="str">
        <f>"9783110574432"</f>
        <v>9783110574432</v>
      </c>
      <c r="E1049" t="s">
        <v>415</v>
      </c>
      <c r="F1049" t="s">
        <v>659</v>
      </c>
      <c r="G1049" s="1">
        <v>42989</v>
      </c>
      <c r="H1049" s="1">
        <v>43512</v>
      </c>
      <c r="I1049" t="s">
        <v>189</v>
      </c>
      <c r="J1049">
        <v>1</v>
      </c>
      <c r="L1049" t="s">
        <v>3137</v>
      </c>
      <c r="M1049" t="s">
        <v>847</v>
      </c>
    </row>
    <row r="1050" spans="1:40" x14ac:dyDescent="0.35">
      <c r="A1050">
        <v>5494924</v>
      </c>
      <c r="B1050" t="s">
        <v>3138</v>
      </c>
      <c r="C1050" t="str">
        <f>"9788376560618"</f>
        <v>9788376560618</v>
      </c>
      <c r="D1050" t="str">
        <f>"9788376560625"</f>
        <v>9788376560625</v>
      </c>
      <c r="E1050" t="s">
        <v>415</v>
      </c>
      <c r="F1050" t="s">
        <v>659</v>
      </c>
      <c r="G1050" s="1">
        <v>41569</v>
      </c>
      <c r="H1050" s="1">
        <v>44722</v>
      </c>
      <c r="I1050" t="s">
        <v>189</v>
      </c>
      <c r="J1050">
        <v>1</v>
      </c>
      <c r="L1050" t="s">
        <v>963</v>
      </c>
      <c r="M1050" t="s">
        <v>316</v>
      </c>
      <c r="Q1050" t="s">
        <v>260</v>
      </c>
      <c r="R1050" t="s">
        <v>261</v>
      </c>
      <c r="S1050" t="s">
        <v>261</v>
      </c>
      <c r="T1050" t="s">
        <v>261</v>
      </c>
      <c r="U1050" t="s">
        <v>261</v>
      </c>
      <c r="V1050" t="s">
        <v>262</v>
      </c>
      <c r="W1050" t="s">
        <v>261</v>
      </c>
      <c r="X1050" t="s">
        <v>261</v>
      </c>
      <c r="Y1050" t="s">
        <v>261</v>
      </c>
      <c r="Z1050" t="s">
        <v>409</v>
      </c>
      <c r="AA1050" t="s">
        <v>409</v>
      </c>
      <c r="AB1050" t="s">
        <v>409</v>
      </c>
      <c r="AC1050" t="s">
        <v>409</v>
      </c>
      <c r="AD1050" t="s">
        <v>261</v>
      </c>
      <c r="AH1050" t="s">
        <v>262</v>
      </c>
      <c r="AI1050" t="s">
        <v>262</v>
      </c>
      <c r="AJ1050" t="s">
        <v>261</v>
      </c>
      <c r="AK1050" t="s">
        <v>261</v>
      </c>
      <c r="AM1050" t="s">
        <v>262</v>
      </c>
      <c r="AN1050" t="s">
        <v>3139</v>
      </c>
    </row>
    <row r="1051" spans="1:40" x14ac:dyDescent="0.35">
      <c r="A1051">
        <v>5494925</v>
      </c>
      <c r="B1051" t="s">
        <v>3140</v>
      </c>
      <c r="C1051" t="str">
        <f>"9783110449495"</f>
        <v>9783110449495</v>
      </c>
      <c r="D1051" t="str">
        <f>"9783110449501"</f>
        <v>9783110449501</v>
      </c>
      <c r="E1051" t="s">
        <v>415</v>
      </c>
      <c r="F1051" t="s">
        <v>659</v>
      </c>
      <c r="G1051" s="1">
        <v>42261</v>
      </c>
      <c r="H1051" s="1">
        <v>43512</v>
      </c>
      <c r="I1051" t="s">
        <v>189</v>
      </c>
      <c r="J1051">
        <v>1</v>
      </c>
      <c r="L1051" t="s">
        <v>3141</v>
      </c>
    </row>
    <row r="1052" spans="1:40" x14ac:dyDescent="0.35">
      <c r="A1052">
        <v>5494927</v>
      </c>
      <c r="B1052" t="s">
        <v>3142</v>
      </c>
      <c r="C1052" t="str">
        <f>"9783110448139"</f>
        <v>9783110448139</v>
      </c>
      <c r="D1052" t="str">
        <f>"9783110526288"</f>
        <v>9783110526288</v>
      </c>
      <c r="E1052" t="s">
        <v>415</v>
      </c>
      <c r="F1052" t="s">
        <v>415</v>
      </c>
      <c r="G1052" s="1">
        <v>42835</v>
      </c>
      <c r="H1052" s="1">
        <v>43512</v>
      </c>
      <c r="I1052" t="s">
        <v>189</v>
      </c>
      <c r="J1052">
        <v>1</v>
      </c>
      <c r="L1052" t="s">
        <v>3143</v>
      </c>
    </row>
    <row r="1053" spans="1:40" x14ac:dyDescent="0.35">
      <c r="A1053">
        <v>5494931</v>
      </c>
      <c r="B1053" t="s">
        <v>3144</v>
      </c>
      <c r="C1053" t="str">
        <f>"9783110534337"</f>
        <v>9783110534337</v>
      </c>
      <c r="D1053" t="str">
        <f>"9783110535655"</f>
        <v>9783110535655</v>
      </c>
      <c r="E1053" t="s">
        <v>415</v>
      </c>
      <c r="F1053" t="s">
        <v>415</v>
      </c>
      <c r="G1053" s="1">
        <v>43031</v>
      </c>
      <c r="H1053" s="1">
        <v>43412</v>
      </c>
      <c r="I1053" t="s">
        <v>189</v>
      </c>
      <c r="J1053">
        <v>1</v>
      </c>
      <c r="L1053" t="s">
        <v>3145</v>
      </c>
    </row>
    <row r="1054" spans="1:40" x14ac:dyDescent="0.35">
      <c r="A1054">
        <v>5494938</v>
      </c>
      <c r="B1054" t="s">
        <v>3146</v>
      </c>
      <c r="C1054" t="str">
        <f>"9783110581911"</f>
        <v>9783110581911</v>
      </c>
      <c r="D1054" t="str">
        <f>"9783110581928"</f>
        <v>9783110581928</v>
      </c>
      <c r="E1054" t="s">
        <v>415</v>
      </c>
      <c r="F1054" t="s">
        <v>659</v>
      </c>
      <c r="G1054" s="1">
        <v>43109</v>
      </c>
      <c r="H1054" s="1">
        <v>43512</v>
      </c>
      <c r="I1054" t="s">
        <v>189</v>
      </c>
      <c r="J1054">
        <v>1</v>
      </c>
      <c r="L1054" t="s">
        <v>3147</v>
      </c>
    </row>
    <row r="1055" spans="1:40" x14ac:dyDescent="0.35">
      <c r="A1055">
        <v>5494939</v>
      </c>
      <c r="B1055" t="s">
        <v>3148</v>
      </c>
      <c r="C1055" t="str">
        <f>"9783110471120"</f>
        <v>9783110471120</v>
      </c>
      <c r="D1055" t="str">
        <f>"9783110471137"</f>
        <v>9783110471137</v>
      </c>
      <c r="E1055" t="s">
        <v>415</v>
      </c>
      <c r="F1055" t="s">
        <v>659</v>
      </c>
      <c r="G1055" s="1">
        <v>42541</v>
      </c>
      <c r="H1055" s="1">
        <v>43512</v>
      </c>
      <c r="I1055" t="s">
        <v>189</v>
      </c>
      <c r="J1055">
        <v>1</v>
      </c>
      <c r="L1055" t="s">
        <v>3149</v>
      </c>
    </row>
    <row r="1056" spans="1:40" x14ac:dyDescent="0.35">
      <c r="A1056">
        <v>5494945</v>
      </c>
      <c r="B1056" t="s">
        <v>3150</v>
      </c>
      <c r="C1056" t="str">
        <f>"9783110444964"</f>
        <v>9783110444964</v>
      </c>
      <c r="D1056" t="str">
        <f>"9783110444971"</f>
        <v>9783110444971</v>
      </c>
      <c r="E1056" t="s">
        <v>415</v>
      </c>
      <c r="F1056" t="s">
        <v>659</v>
      </c>
      <c r="G1056" s="1">
        <v>42367</v>
      </c>
      <c r="H1056" s="1">
        <v>43512</v>
      </c>
      <c r="I1056" t="s">
        <v>189</v>
      </c>
      <c r="J1056">
        <v>1</v>
      </c>
      <c r="L1056" t="s">
        <v>3151</v>
      </c>
    </row>
    <row r="1057" spans="1:40" x14ac:dyDescent="0.35">
      <c r="A1057">
        <v>5494946</v>
      </c>
      <c r="B1057" t="s">
        <v>3152</v>
      </c>
      <c r="C1057" t="str">
        <f>"9783110526035"</f>
        <v>9783110526035</v>
      </c>
      <c r="D1057" t="str">
        <f>"9783110526042"</f>
        <v>9783110526042</v>
      </c>
      <c r="E1057" t="s">
        <v>415</v>
      </c>
      <c r="F1057" t="s">
        <v>659</v>
      </c>
      <c r="G1057" s="1">
        <v>42898</v>
      </c>
      <c r="H1057" s="1">
        <v>43512</v>
      </c>
      <c r="I1057" t="s">
        <v>189</v>
      </c>
      <c r="J1057">
        <v>1</v>
      </c>
      <c r="L1057" t="s">
        <v>3153</v>
      </c>
    </row>
    <row r="1058" spans="1:40" x14ac:dyDescent="0.35">
      <c r="A1058">
        <v>5494949</v>
      </c>
      <c r="B1058" t="s">
        <v>3154</v>
      </c>
      <c r="C1058" t="str">
        <f>"9783110550825"</f>
        <v>9783110550825</v>
      </c>
      <c r="D1058" t="str">
        <f>"9783110550832"</f>
        <v>9783110550832</v>
      </c>
      <c r="E1058" t="s">
        <v>415</v>
      </c>
      <c r="F1058" t="s">
        <v>659</v>
      </c>
      <c r="G1058" s="1">
        <v>42968</v>
      </c>
      <c r="H1058" s="1">
        <v>43512</v>
      </c>
      <c r="I1058" t="s">
        <v>189</v>
      </c>
      <c r="J1058">
        <v>1</v>
      </c>
      <c r="L1058" t="s">
        <v>3155</v>
      </c>
      <c r="M1058" t="s">
        <v>1318</v>
      </c>
      <c r="Q1058" t="s">
        <v>260</v>
      </c>
      <c r="R1058" t="s">
        <v>261</v>
      </c>
      <c r="S1058" t="s">
        <v>261</v>
      </c>
      <c r="T1058" t="s">
        <v>261</v>
      </c>
      <c r="U1058" t="s">
        <v>261</v>
      </c>
      <c r="V1058" t="s">
        <v>262</v>
      </c>
      <c r="W1058" t="s">
        <v>261</v>
      </c>
      <c r="X1058" t="s">
        <v>261</v>
      </c>
      <c r="Y1058" t="s">
        <v>261</v>
      </c>
      <c r="Z1058" t="s">
        <v>409</v>
      </c>
      <c r="AA1058" t="s">
        <v>409</v>
      </c>
      <c r="AB1058" t="s">
        <v>409</v>
      </c>
      <c r="AC1058" t="s">
        <v>409</v>
      </c>
      <c r="AD1058" t="s">
        <v>261</v>
      </c>
      <c r="AH1058" t="s">
        <v>262</v>
      </c>
      <c r="AI1058" t="s">
        <v>262</v>
      </c>
      <c r="AJ1058" t="s">
        <v>261</v>
      </c>
      <c r="AK1058" t="s">
        <v>261</v>
      </c>
      <c r="AM1058" t="s">
        <v>262</v>
      </c>
      <c r="AN1058" t="s">
        <v>3156</v>
      </c>
    </row>
    <row r="1059" spans="1:40" x14ac:dyDescent="0.35">
      <c r="A1059">
        <v>5494956</v>
      </c>
      <c r="B1059" t="s">
        <v>3157</v>
      </c>
      <c r="C1059" t="str">
        <f>"9783110452457"</f>
        <v>9783110452457</v>
      </c>
      <c r="D1059" t="str">
        <f>"9783110452464"</f>
        <v>9783110452464</v>
      </c>
      <c r="E1059" t="s">
        <v>415</v>
      </c>
      <c r="F1059" t="s">
        <v>659</v>
      </c>
      <c r="G1059" s="1">
        <v>42247</v>
      </c>
      <c r="H1059" s="1">
        <v>43512</v>
      </c>
      <c r="I1059" t="s">
        <v>189</v>
      </c>
      <c r="J1059">
        <v>1</v>
      </c>
      <c r="L1059" t="s">
        <v>3158</v>
      </c>
      <c r="M1059" t="s">
        <v>1578</v>
      </c>
    </row>
    <row r="1060" spans="1:40" x14ac:dyDescent="0.35">
      <c r="A1060">
        <v>5494957</v>
      </c>
      <c r="B1060" t="s">
        <v>3159</v>
      </c>
      <c r="C1060" t="str">
        <f>"9783110550436"</f>
        <v>9783110550436</v>
      </c>
      <c r="D1060" t="str">
        <f>"9783110550443"</f>
        <v>9783110550443</v>
      </c>
      <c r="E1060" t="s">
        <v>415</v>
      </c>
      <c r="F1060" t="s">
        <v>659</v>
      </c>
      <c r="G1060" s="1">
        <v>42940</v>
      </c>
      <c r="H1060" s="1">
        <v>43512</v>
      </c>
      <c r="I1060" t="s">
        <v>189</v>
      </c>
      <c r="J1060">
        <v>1</v>
      </c>
      <c r="L1060" t="s">
        <v>3160</v>
      </c>
      <c r="M1060" t="s">
        <v>282</v>
      </c>
      <c r="O1060" s="2">
        <v>330015195</v>
      </c>
      <c r="Q1060" t="s">
        <v>260</v>
      </c>
      <c r="R1060" t="s">
        <v>261</v>
      </c>
      <c r="S1060" t="s">
        <v>261</v>
      </c>
      <c r="T1060" t="s">
        <v>261</v>
      </c>
      <c r="U1060" t="s">
        <v>261</v>
      </c>
      <c r="V1060" t="s">
        <v>262</v>
      </c>
      <c r="W1060" t="s">
        <v>261</v>
      </c>
      <c r="X1060" t="s">
        <v>261</v>
      </c>
      <c r="Y1060" t="s">
        <v>261</v>
      </c>
      <c r="Z1060" t="s">
        <v>409</v>
      </c>
      <c r="AA1060" t="s">
        <v>409</v>
      </c>
      <c r="AB1060" t="s">
        <v>409</v>
      </c>
      <c r="AC1060" t="s">
        <v>409</v>
      </c>
      <c r="AD1060" t="s">
        <v>261</v>
      </c>
      <c r="AH1060" t="s">
        <v>262</v>
      </c>
      <c r="AI1060" t="s">
        <v>262</v>
      </c>
      <c r="AJ1060" t="s">
        <v>261</v>
      </c>
      <c r="AK1060" t="s">
        <v>261</v>
      </c>
      <c r="AM1060" t="s">
        <v>262</v>
      </c>
      <c r="AN1060" t="s">
        <v>3161</v>
      </c>
    </row>
    <row r="1061" spans="1:40" x14ac:dyDescent="0.35">
      <c r="A1061">
        <v>5494961</v>
      </c>
      <c r="B1061" t="s">
        <v>3162</v>
      </c>
      <c r="C1061" t="str">
        <f>"9783110550856"</f>
        <v>9783110550856</v>
      </c>
      <c r="D1061" t="str">
        <f>"9783110550887"</f>
        <v>9783110550887</v>
      </c>
      <c r="E1061" t="s">
        <v>415</v>
      </c>
      <c r="F1061" t="s">
        <v>659</v>
      </c>
      <c r="G1061" s="1">
        <v>42863</v>
      </c>
      <c r="H1061" s="1">
        <v>43512</v>
      </c>
      <c r="I1061" t="s">
        <v>189</v>
      </c>
      <c r="J1061">
        <v>1</v>
      </c>
      <c r="L1061" t="s">
        <v>3163</v>
      </c>
      <c r="M1061" t="s">
        <v>1318</v>
      </c>
      <c r="Q1061" t="s">
        <v>260</v>
      </c>
      <c r="R1061" t="s">
        <v>261</v>
      </c>
      <c r="S1061" t="s">
        <v>261</v>
      </c>
      <c r="T1061" t="s">
        <v>261</v>
      </c>
      <c r="U1061" t="s">
        <v>261</v>
      </c>
      <c r="V1061" t="s">
        <v>262</v>
      </c>
      <c r="W1061" t="s">
        <v>261</v>
      </c>
      <c r="X1061" t="s">
        <v>261</v>
      </c>
      <c r="Y1061" t="s">
        <v>261</v>
      </c>
      <c r="Z1061" t="s">
        <v>409</v>
      </c>
      <c r="AA1061" t="s">
        <v>409</v>
      </c>
      <c r="AB1061" t="s">
        <v>409</v>
      </c>
      <c r="AC1061" t="s">
        <v>409</v>
      </c>
      <c r="AD1061" t="s">
        <v>261</v>
      </c>
      <c r="AH1061" t="s">
        <v>262</v>
      </c>
      <c r="AI1061" t="s">
        <v>262</v>
      </c>
      <c r="AJ1061" t="s">
        <v>261</v>
      </c>
      <c r="AK1061" t="s">
        <v>261</v>
      </c>
      <c r="AM1061" t="s">
        <v>262</v>
      </c>
      <c r="AN1061" t="s">
        <v>3164</v>
      </c>
    </row>
    <row r="1062" spans="1:40" x14ac:dyDescent="0.35">
      <c r="A1062">
        <v>5494963</v>
      </c>
      <c r="B1062" t="s">
        <v>3165</v>
      </c>
      <c r="C1062" t="str">
        <f>"9783110524734"</f>
        <v>9783110524734</v>
      </c>
      <c r="D1062" t="str">
        <f>"9783110527094"</f>
        <v>9783110527094</v>
      </c>
      <c r="E1062" t="s">
        <v>415</v>
      </c>
      <c r="F1062" t="s">
        <v>415</v>
      </c>
      <c r="G1062" s="1">
        <v>43262</v>
      </c>
      <c r="H1062" s="1">
        <v>43512</v>
      </c>
      <c r="I1062" t="s">
        <v>189</v>
      </c>
      <c r="J1062">
        <v>1</v>
      </c>
      <c r="L1062" t="s">
        <v>3166</v>
      </c>
    </row>
    <row r="1063" spans="1:40" x14ac:dyDescent="0.35">
      <c r="A1063">
        <v>5494967</v>
      </c>
      <c r="B1063" t="s">
        <v>3167</v>
      </c>
      <c r="C1063" t="str">
        <f>"9783110556483"</f>
        <v>9783110556483</v>
      </c>
      <c r="D1063" t="str">
        <f>"9783110556643"</f>
        <v>9783110556643</v>
      </c>
      <c r="E1063" t="s">
        <v>415</v>
      </c>
      <c r="F1063" t="s">
        <v>659</v>
      </c>
      <c r="G1063" s="1">
        <v>42989</v>
      </c>
      <c r="H1063" s="1">
        <v>43512</v>
      </c>
      <c r="I1063" t="s">
        <v>189</v>
      </c>
      <c r="J1063">
        <v>1</v>
      </c>
      <c r="L1063" t="s">
        <v>3168</v>
      </c>
      <c r="M1063" t="s">
        <v>389</v>
      </c>
      <c r="O1063" t="s">
        <v>3169</v>
      </c>
      <c r="Q1063" t="s">
        <v>260</v>
      </c>
      <c r="R1063" t="s">
        <v>261</v>
      </c>
      <c r="S1063" t="s">
        <v>261</v>
      </c>
      <c r="T1063" t="s">
        <v>261</v>
      </c>
      <c r="U1063" t="s">
        <v>261</v>
      </c>
      <c r="V1063" t="s">
        <v>262</v>
      </c>
      <c r="W1063" t="s">
        <v>261</v>
      </c>
      <c r="X1063" t="s">
        <v>261</v>
      </c>
      <c r="Y1063" t="s">
        <v>261</v>
      </c>
      <c r="Z1063" t="s">
        <v>409</v>
      </c>
      <c r="AA1063" t="s">
        <v>409</v>
      </c>
      <c r="AB1063" t="s">
        <v>409</v>
      </c>
      <c r="AC1063" t="s">
        <v>409</v>
      </c>
      <c r="AD1063" t="s">
        <v>261</v>
      </c>
      <c r="AH1063" t="s">
        <v>262</v>
      </c>
      <c r="AI1063" t="s">
        <v>262</v>
      </c>
      <c r="AJ1063" t="s">
        <v>261</v>
      </c>
      <c r="AK1063" t="s">
        <v>261</v>
      </c>
      <c r="AM1063" t="s">
        <v>262</v>
      </c>
      <c r="AN1063" t="s">
        <v>3170</v>
      </c>
    </row>
    <row r="1064" spans="1:40" x14ac:dyDescent="0.35">
      <c r="A1064">
        <v>5494971</v>
      </c>
      <c r="B1064" t="s">
        <v>3171</v>
      </c>
      <c r="C1064" t="str">
        <f>"9783110569285"</f>
        <v>9783110569285</v>
      </c>
      <c r="D1064" t="str">
        <f>"9783110569315"</f>
        <v>9783110569315</v>
      </c>
      <c r="E1064" t="s">
        <v>415</v>
      </c>
      <c r="F1064" t="s">
        <v>659</v>
      </c>
      <c r="G1064" s="1">
        <v>43031</v>
      </c>
      <c r="H1064" s="1">
        <v>43512</v>
      </c>
      <c r="I1064" t="s">
        <v>189</v>
      </c>
      <c r="J1064">
        <v>1</v>
      </c>
      <c r="L1064" t="s">
        <v>3172</v>
      </c>
      <c r="M1064" t="s">
        <v>239</v>
      </c>
      <c r="O1064" s="2">
        <v>94315102</v>
      </c>
      <c r="Q1064" t="s">
        <v>260</v>
      </c>
      <c r="R1064" t="s">
        <v>261</v>
      </c>
      <c r="S1064" t="s">
        <v>261</v>
      </c>
      <c r="T1064" t="s">
        <v>261</v>
      </c>
      <c r="U1064" t="s">
        <v>261</v>
      </c>
      <c r="V1064" t="s">
        <v>262</v>
      </c>
      <c r="W1064" t="s">
        <v>261</v>
      </c>
      <c r="X1064" t="s">
        <v>261</v>
      </c>
      <c r="Y1064" t="s">
        <v>261</v>
      </c>
      <c r="Z1064" t="s">
        <v>409</v>
      </c>
      <c r="AA1064" t="s">
        <v>409</v>
      </c>
      <c r="AB1064" t="s">
        <v>409</v>
      </c>
      <c r="AC1064" t="s">
        <v>409</v>
      </c>
      <c r="AD1064" t="s">
        <v>261</v>
      </c>
      <c r="AH1064" t="s">
        <v>262</v>
      </c>
      <c r="AI1064" t="s">
        <v>262</v>
      </c>
      <c r="AJ1064" t="s">
        <v>261</v>
      </c>
      <c r="AK1064" t="s">
        <v>261</v>
      </c>
      <c r="AM1064" t="s">
        <v>262</v>
      </c>
      <c r="AN1064" t="s">
        <v>3173</v>
      </c>
    </row>
    <row r="1065" spans="1:40" x14ac:dyDescent="0.35">
      <c r="A1065">
        <v>5494975</v>
      </c>
      <c r="B1065" t="s">
        <v>3174</v>
      </c>
      <c r="C1065" t="str">
        <f>"9783110548365"</f>
        <v>9783110548365</v>
      </c>
      <c r="D1065" t="str">
        <f>"9783110548372"</f>
        <v>9783110548372</v>
      </c>
      <c r="E1065" t="s">
        <v>415</v>
      </c>
      <c r="F1065" t="s">
        <v>659</v>
      </c>
      <c r="G1065" s="1">
        <v>42926</v>
      </c>
      <c r="H1065" s="1">
        <v>43512</v>
      </c>
      <c r="I1065" t="s">
        <v>189</v>
      </c>
      <c r="J1065">
        <v>1</v>
      </c>
      <c r="L1065" t="s">
        <v>3128</v>
      </c>
      <c r="M1065" t="s">
        <v>210</v>
      </c>
      <c r="O1065" t="s">
        <v>3129</v>
      </c>
      <c r="Q1065" t="s">
        <v>260</v>
      </c>
      <c r="R1065" t="s">
        <v>261</v>
      </c>
      <c r="S1065" t="s">
        <v>261</v>
      </c>
      <c r="T1065" t="s">
        <v>261</v>
      </c>
      <c r="U1065" t="s">
        <v>261</v>
      </c>
      <c r="V1065" t="s">
        <v>262</v>
      </c>
      <c r="W1065" t="s">
        <v>261</v>
      </c>
      <c r="X1065" t="s">
        <v>261</v>
      </c>
      <c r="Y1065" t="s">
        <v>261</v>
      </c>
      <c r="Z1065" t="s">
        <v>409</v>
      </c>
      <c r="AA1065" t="s">
        <v>409</v>
      </c>
      <c r="AB1065" t="s">
        <v>409</v>
      </c>
      <c r="AC1065" t="s">
        <v>409</v>
      </c>
      <c r="AD1065" t="s">
        <v>261</v>
      </c>
      <c r="AH1065" t="s">
        <v>262</v>
      </c>
      <c r="AI1065" t="s">
        <v>262</v>
      </c>
      <c r="AJ1065" t="s">
        <v>261</v>
      </c>
      <c r="AK1065" t="s">
        <v>261</v>
      </c>
      <c r="AM1065" t="s">
        <v>262</v>
      </c>
      <c r="AN1065" t="s">
        <v>3175</v>
      </c>
    </row>
    <row r="1066" spans="1:40" x14ac:dyDescent="0.35">
      <c r="A1066">
        <v>5494977</v>
      </c>
      <c r="B1066" t="s">
        <v>3176</v>
      </c>
      <c r="C1066" t="str">
        <f>"9783110518238"</f>
        <v>9783110518238</v>
      </c>
      <c r="D1066" t="str">
        <f>"9783110518269"</f>
        <v>9783110518269</v>
      </c>
      <c r="E1066" t="s">
        <v>415</v>
      </c>
      <c r="F1066" t="s">
        <v>659</v>
      </c>
      <c r="G1066" s="1">
        <v>43214</v>
      </c>
      <c r="H1066" s="1">
        <v>43512</v>
      </c>
      <c r="I1066" t="s">
        <v>189</v>
      </c>
      <c r="J1066">
        <v>1</v>
      </c>
      <c r="L1066" t="s">
        <v>3177</v>
      </c>
      <c r="M1066" t="s">
        <v>676</v>
      </c>
      <c r="Q1066" t="s">
        <v>260</v>
      </c>
      <c r="R1066" t="s">
        <v>261</v>
      </c>
      <c r="S1066" t="s">
        <v>261</v>
      </c>
      <c r="T1066" t="s">
        <v>261</v>
      </c>
      <c r="U1066" t="s">
        <v>261</v>
      </c>
      <c r="V1066" t="s">
        <v>262</v>
      </c>
      <c r="W1066" t="s">
        <v>261</v>
      </c>
      <c r="X1066" t="s">
        <v>261</v>
      </c>
      <c r="Y1066" t="s">
        <v>261</v>
      </c>
      <c r="Z1066" t="s">
        <v>409</v>
      </c>
      <c r="AA1066" t="s">
        <v>409</v>
      </c>
      <c r="AB1066" t="s">
        <v>409</v>
      </c>
      <c r="AC1066" t="s">
        <v>409</v>
      </c>
      <c r="AD1066" t="s">
        <v>261</v>
      </c>
      <c r="AH1066" t="s">
        <v>262</v>
      </c>
      <c r="AI1066" t="s">
        <v>262</v>
      </c>
      <c r="AJ1066" t="s">
        <v>261</v>
      </c>
      <c r="AK1066" t="s">
        <v>261</v>
      </c>
      <c r="AM1066" t="s">
        <v>262</v>
      </c>
      <c r="AN1066" t="s">
        <v>3178</v>
      </c>
    </row>
    <row r="1067" spans="1:40" x14ac:dyDescent="0.35">
      <c r="A1067">
        <v>5494979</v>
      </c>
      <c r="B1067" t="s">
        <v>3179</v>
      </c>
      <c r="C1067" t="str">
        <f>"9783110539578"</f>
        <v>9783110539578</v>
      </c>
      <c r="D1067" t="str">
        <f>"9783110539592"</f>
        <v>9783110539592</v>
      </c>
      <c r="E1067" t="s">
        <v>415</v>
      </c>
      <c r="F1067" t="s">
        <v>659</v>
      </c>
      <c r="G1067" s="1">
        <v>42800</v>
      </c>
      <c r="H1067" s="1">
        <v>43512</v>
      </c>
      <c r="I1067" t="s">
        <v>189</v>
      </c>
      <c r="J1067">
        <v>1</v>
      </c>
      <c r="L1067" t="s">
        <v>3180</v>
      </c>
      <c r="M1067" t="s">
        <v>3181</v>
      </c>
      <c r="O1067" s="2">
        <v>613071094</v>
      </c>
      <c r="Q1067" t="s">
        <v>260</v>
      </c>
      <c r="R1067" t="s">
        <v>261</v>
      </c>
      <c r="S1067" t="s">
        <v>261</v>
      </c>
      <c r="T1067" t="s">
        <v>261</v>
      </c>
      <c r="U1067" t="s">
        <v>261</v>
      </c>
      <c r="V1067" t="s">
        <v>262</v>
      </c>
      <c r="W1067" t="s">
        <v>261</v>
      </c>
      <c r="X1067" t="s">
        <v>261</v>
      </c>
      <c r="Y1067" t="s">
        <v>261</v>
      </c>
      <c r="Z1067" t="s">
        <v>409</v>
      </c>
      <c r="AA1067" t="s">
        <v>409</v>
      </c>
      <c r="AB1067" t="s">
        <v>409</v>
      </c>
      <c r="AC1067" t="s">
        <v>409</v>
      </c>
      <c r="AD1067" t="s">
        <v>261</v>
      </c>
      <c r="AH1067" t="s">
        <v>262</v>
      </c>
      <c r="AI1067" t="s">
        <v>262</v>
      </c>
      <c r="AJ1067" t="s">
        <v>261</v>
      </c>
      <c r="AK1067" t="s">
        <v>261</v>
      </c>
      <c r="AM1067" t="s">
        <v>262</v>
      </c>
      <c r="AN1067" t="s">
        <v>3182</v>
      </c>
    </row>
    <row r="1068" spans="1:40" x14ac:dyDescent="0.35">
      <c r="A1068">
        <v>5494980</v>
      </c>
      <c r="B1068" t="s">
        <v>3183</v>
      </c>
      <c r="C1068" t="str">
        <f>"9783110559033"</f>
        <v>9783110559033</v>
      </c>
      <c r="D1068" t="str">
        <f>"9783110559040"</f>
        <v>9783110559040</v>
      </c>
      <c r="E1068" t="s">
        <v>415</v>
      </c>
      <c r="F1068" t="s">
        <v>659</v>
      </c>
      <c r="G1068" s="1">
        <v>42912</v>
      </c>
      <c r="H1068" s="1">
        <v>43512</v>
      </c>
      <c r="I1068" t="s">
        <v>189</v>
      </c>
      <c r="J1068">
        <v>1</v>
      </c>
      <c r="L1068" t="s">
        <v>3184</v>
      </c>
      <c r="M1068" t="s">
        <v>964</v>
      </c>
    </row>
    <row r="1069" spans="1:40" x14ac:dyDescent="0.35">
      <c r="A1069">
        <v>5494981</v>
      </c>
      <c r="B1069" t="s">
        <v>3185</v>
      </c>
      <c r="C1069" t="str">
        <f>"9783110571554"</f>
        <v>9783110571554</v>
      </c>
      <c r="D1069" t="str">
        <f>"9783110571561"</f>
        <v>9783110571561</v>
      </c>
      <c r="E1069" t="s">
        <v>415</v>
      </c>
      <c r="F1069" t="s">
        <v>659</v>
      </c>
      <c r="G1069" s="1">
        <v>43189</v>
      </c>
      <c r="H1069" s="1">
        <v>43512</v>
      </c>
      <c r="I1069" t="s">
        <v>189</v>
      </c>
      <c r="J1069">
        <v>1</v>
      </c>
      <c r="L1069" t="s">
        <v>3186</v>
      </c>
    </row>
    <row r="1070" spans="1:40" x14ac:dyDescent="0.35">
      <c r="A1070">
        <v>5494982</v>
      </c>
      <c r="B1070" t="s">
        <v>3187</v>
      </c>
      <c r="C1070" t="str">
        <f>"9783110472165"</f>
        <v>9783110472165</v>
      </c>
      <c r="D1070" t="str">
        <f>"9783110472172"</f>
        <v>9783110472172</v>
      </c>
      <c r="E1070" t="s">
        <v>415</v>
      </c>
      <c r="F1070" t="s">
        <v>659</v>
      </c>
      <c r="G1070" s="1">
        <v>42422</v>
      </c>
      <c r="H1070" s="1">
        <v>43512</v>
      </c>
      <c r="I1070" t="s">
        <v>189</v>
      </c>
      <c r="J1070">
        <v>1</v>
      </c>
      <c r="L1070" t="s">
        <v>3188</v>
      </c>
      <c r="M1070" t="s">
        <v>339</v>
      </c>
      <c r="N1070" t="s">
        <v>3189</v>
      </c>
      <c r="O1070" t="s">
        <v>3190</v>
      </c>
      <c r="Q1070" t="s">
        <v>260</v>
      </c>
      <c r="R1070" t="s">
        <v>261</v>
      </c>
      <c r="S1070" t="s">
        <v>261</v>
      </c>
      <c r="T1070" t="s">
        <v>261</v>
      </c>
      <c r="U1070" t="s">
        <v>261</v>
      </c>
      <c r="V1070" t="s">
        <v>262</v>
      </c>
      <c r="W1070" t="s">
        <v>261</v>
      </c>
      <c r="X1070" t="s">
        <v>261</v>
      </c>
      <c r="Y1070" t="s">
        <v>261</v>
      </c>
      <c r="Z1070" t="s">
        <v>409</v>
      </c>
      <c r="AA1070" t="s">
        <v>409</v>
      </c>
      <c r="AB1070" t="s">
        <v>409</v>
      </c>
      <c r="AC1070" t="s">
        <v>409</v>
      </c>
      <c r="AD1070" t="s">
        <v>261</v>
      </c>
      <c r="AH1070" t="s">
        <v>262</v>
      </c>
      <c r="AI1070" t="s">
        <v>262</v>
      </c>
      <c r="AJ1070" t="s">
        <v>261</v>
      </c>
      <c r="AK1070" t="s">
        <v>261</v>
      </c>
      <c r="AM1070" t="s">
        <v>262</v>
      </c>
      <c r="AN1070" t="s">
        <v>3191</v>
      </c>
    </row>
    <row r="1071" spans="1:40" x14ac:dyDescent="0.35">
      <c r="A1071">
        <v>5495468</v>
      </c>
      <c r="B1071" t="s">
        <v>3192</v>
      </c>
      <c r="C1071" t="str">
        <f>"9781783744794"</f>
        <v>9781783744794</v>
      </c>
      <c r="D1071" t="str">
        <f>"9781783744800"</f>
        <v>9781783744800</v>
      </c>
      <c r="E1071" t="s">
        <v>1807</v>
      </c>
      <c r="F1071" t="s">
        <v>1807</v>
      </c>
      <c r="G1071" s="1">
        <v>43250</v>
      </c>
      <c r="H1071" s="1">
        <v>43365</v>
      </c>
      <c r="I1071" t="s">
        <v>189</v>
      </c>
      <c r="J1071">
        <v>1</v>
      </c>
      <c r="K1071" t="s">
        <v>1851</v>
      </c>
      <c r="L1071" t="s">
        <v>3193</v>
      </c>
      <c r="M1071" t="s">
        <v>329</v>
      </c>
      <c r="Q1071" t="s">
        <v>260</v>
      </c>
      <c r="R1071" t="s">
        <v>261</v>
      </c>
      <c r="S1071" t="s">
        <v>261</v>
      </c>
      <c r="T1071" t="s">
        <v>261</v>
      </c>
      <c r="U1071" t="s">
        <v>261</v>
      </c>
      <c r="V1071" t="s">
        <v>262</v>
      </c>
      <c r="W1071" t="s">
        <v>261</v>
      </c>
      <c r="X1071" t="s">
        <v>261</v>
      </c>
      <c r="Y1071" t="s">
        <v>261</v>
      </c>
      <c r="Z1071" t="s">
        <v>409</v>
      </c>
      <c r="AA1071" t="s">
        <v>409</v>
      </c>
      <c r="AB1071" t="s">
        <v>409</v>
      </c>
      <c r="AC1071" t="s">
        <v>409</v>
      </c>
      <c r="AD1071" t="s">
        <v>262</v>
      </c>
      <c r="AH1071" t="s">
        <v>262</v>
      </c>
      <c r="AI1071" t="s">
        <v>262</v>
      </c>
      <c r="AJ1071" t="s">
        <v>261</v>
      </c>
      <c r="AK1071" t="s">
        <v>261</v>
      </c>
      <c r="AM1071" t="s">
        <v>262</v>
      </c>
      <c r="AN1071" t="s">
        <v>3194</v>
      </c>
    </row>
    <row r="1072" spans="1:40" x14ac:dyDescent="0.35">
      <c r="A1072">
        <v>5495469</v>
      </c>
      <c r="B1072" t="s">
        <v>3195</v>
      </c>
      <c r="C1072" t="str">
        <f>"9781783743940"</f>
        <v>9781783743940</v>
      </c>
      <c r="D1072" t="str">
        <f>"9781783743957"</f>
        <v>9781783743957</v>
      </c>
      <c r="E1072" t="s">
        <v>1807</v>
      </c>
      <c r="F1072" t="s">
        <v>1807</v>
      </c>
      <c r="G1072" s="1">
        <v>43244</v>
      </c>
      <c r="H1072" s="1">
        <v>43347</v>
      </c>
      <c r="I1072" t="s">
        <v>189</v>
      </c>
      <c r="J1072">
        <v>1</v>
      </c>
      <c r="L1072" t="s">
        <v>3196</v>
      </c>
      <c r="M1072" t="s">
        <v>219</v>
      </c>
      <c r="O1072" t="s">
        <v>3197</v>
      </c>
      <c r="Q1072" t="s">
        <v>260</v>
      </c>
      <c r="R1072" t="s">
        <v>261</v>
      </c>
      <c r="S1072" t="s">
        <v>261</v>
      </c>
      <c r="T1072" t="s">
        <v>261</v>
      </c>
      <c r="U1072" t="s">
        <v>261</v>
      </c>
      <c r="V1072" t="s">
        <v>262</v>
      </c>
      <c r="W1072" t="s">
        <v>261</v>
      </c>
      <c r="X1072" t="s">
        <v>261</v>
      </c>
      <c r="Y1072" t="s">
        <v>261</v>
      </c>
      <c r="Z1072" t="s">
        <v>409</v>
      </c>
      <c r="AA1072" t="s">
        <v>409</v>
      </c>
      <c r="AB1072" t="s">
        <v>409</v>
      </c>
      <c r="AC1072" t="s">
        <v>409</v>
      </c>
      <c r="AD1072" t="s">
        <v>262</v>
      </c>
      <c r="AH1072" t="s">
        <v>262</v>
      </c>
      <c r="AI1072" t="s">
        <v>262</v>
      </c>
      <c r="AJ1072" t="s">
        <v>261</v>
      </c>
      <c r="AK1072" t="s">
        <v>261</v>
      </c>
      <c r="AM1072" t="s">
        <v>262</v>
      </c>
      <c r="AN1072" t="s">
        <v>3198</v>
      </c>
    </row>
    <row r="1073" spans="1:40" x14ac:dyDescent="0.35">
      <c r="A1073">
        <v>5495470</v>
      </c>
      <c r="B1073" t="s">
        <v>3199</v>
      </c>
      <c r="C1073" t="str">
        <f>"9781783744343"</f>
        <v>9781783744343</v>
      </c>
      <c r="D1073" t="str">
        <f>"9781783744350"</f>
        <v>9781783744350</v>
      </c>
      <c r="E1073" t="s">
        <v>1807</v>
      </c>
      <c r="F1073" t="s">
        <v>1807</v>
      </c>
      <c r="G1073" s="1">
        <v>43262</v>
      </c>
      <c r="H1073" s="1">
        <v>43365</v>
      </c>
      <c r="I1073" t="s">
        <v>189</v>
      </c>
      <c r="J1073">
        <v>1</v>
      </c>
      <c r="L1073" t="s">
        <v>3200</v>
      </c>
      <c r="M1073" t="s">
        <v>219</v>
      </c>
      <c r="O1073" t="s">
        <v>3201</v>
      </c>
      <c r="Q1073" t="s">
        <v>260</v>
      </c>
      <c r="R1073" t="s">
        <v>261</v>
      </c>
      <c r="S1073" t="s">
        <v>261</v>
      </c>
      <c r="T1073" t="s">
        <v>261</v>
      </c>
      <c r="U1073" t="s">
        <v>261</v>
      </c>
      <c r="V1073" t="s">
        <v>262</v>
      </c>
      <c r="W1073" t="s">
        <v>261</v>
      </c>
      <c r="X1073" t="s">
        <v>261</v>
      </c>
      <c r="Y1073" t="s">
        <v>261</v>
      </c>
      <c r="Z1073" t="s">
        <v>409</v>
      </c>
      <c r="AA1073" t="s">
        <v>409</v>
      </c>
      <c r="AB1073" t="s">
        <v>409</v>
      </c>
      <c r="AC1073" t="s">
        <v>409</v>
      </c>
      <c r="AD1073" t="s">
        <v>262</v>
      </c>
      <c r="AH1073" t="s">
        <v>262</v>
      </c>
      <c r="AI1073" t="s">
        <v>262</v>
      </c>
      <c r="AJ1073" t="s">
        <v>261</v>
      </c>
      <c r="AK1073" t="s">
        <v>261</v>
      </c>
      <c r="AM1073" t="s">
        <v>262</v>
      </c>
      <c r="AN1073" t="s">
        <v>3202</v>
      </c>
    </row>
    <row r="1074" spans="1:40" x14ac:dyDescent="0.35">
      <c r="A1074">
        <v>5495471</v>
      </c>
      <c r="B1074" t="s">
        <v>3203</v>
      </c>
      <c r="C1074" t="str">
        <f>"9781783744299"</f>
        <v>9781783744299</v>
      </c>
      <c r="D1074" t="str">
        <f>"9781783744305"</f>
        <v>9781783744305</v>
      </c>
      <c r="E1074" t="s">
        <v>1807</v>
      </c>
      <c r="F1074" t="s">
        <v>1807</v>
      </c>
      <c r="G1074" s="1">
        <v>43236</v>
      </c>
      <c r="H1074" s="1">
        <v>43365</v>
      </c>
      <c r="I1074" t="s">
        <v>189</v>
      </c>
      <c r="J1074">
        <v>1</v>
      </c>
      <c r="K1074" t="s">
        <v>3204</v>
      </c>
      <c r="L1074" t="s">
        <v>2125</v>
      </c>
    </row>
    <row r="1075" spans="1:40" x14ac:dyDescent="0.35">
      <c r="A1075">
        <v>5495472</v>
      </c>
      <c r="B1075" t="s">
        <v>3205</v>
      </c>
      <c r="C1075" t="str">
        <f>"9781783745074"</f>
        <v>9781783745074</v>
      </c>
      <c r="D1075" t="str">
        <f>"9781783745081"</f>
        <v>9781783745081</v>
      </c>
      <c r="E1075" t="s">
        <v>1807</v>
      </c>
      <c r="F1075" t="s">
        <v>1807</v>
      </c>
      <c r="G1075" s="1">
        <v>43306</v>
      </c>
      <c r="H1075" s="1">
        <v>43365</v>
      </c>
      <c r="I1075" t="s">
        <v>189</v>
      </c>
      <c r="J1075">
        <v>1</v>
      </c>
      <c r="L1075" t="s">
        <v>3200</v>
      </c>
      <c r="M1075" t="s">
        <v>219</v>
      </c>
      <c r="O1075" t="s">
        <v>3201</v>
      </c>
      <c r="Q1075" t="s">
        <v>260</v>
      </c>
      <c r="R1075" t="s">
        <v>261</v>
      </c>
      <c r="S1075" t="s">
        <v>261</v>
      </c>
      <c r="T1075" t="s">
        <v>261</v>
      </c>
      <c r="U1075" t="s">
        <v>261</v>
      </c>
      <c r="V1075" t="s">
        <v>262</v>
      </c>
      <c r="W1075" t="s">
        <v>261</v>
      </c>
      <c r="X1075" t="s">
        <v>261</v>
      </c>
      <c r="Y1075" t="s">
        <v>261</v>
      </c>
      <c r="Z1075" t="s">
        <v>409</v>
      </c>
      <c r="AA1075" t="s">
        <v>409</v>
      </c>
      <c r="AB1075" t="s">
        <v>409</v>
      </c>
      <c r="AC1075" t="s">
        <v>409</v>
      </c>
      <c r="AD1075" t="s">
        <v>262</v>
      </c>
      <c r="AH1075" t="s">
        <v>262</v>
      </c>
      <c r="AI1075" t="s">
        <v>262</v>
      </c>
      <c r="AJ1075" t="s">
        <v>261</v>
      </c>
      <c r="AK1075" t="s">
        <v>261</v>
      </c>
      <c r="AM1075" t="s">
        <v>262</v>
      </c>
      <c r="AN1075" t="s">
        <v>3206</v>
      </c>
    </row>
    <row r="1076" spans="1:40" x14ac:dyDescent="0.35">
      <c r="A1076">
        <v>5495473</v>
      </c>
      <c r="B1076" t="s">
        <v>3207</v>
      </c>
      <c r="C1076" t="str">
        <f>"9781783744473"</f>
        <v>9781783744473</v>
      </c>
      <c r="D1076" t="str">
        <f>"9781783744480"</f>
        <v>9781783744480</v>
      </c>
      <c r="E1076" t="s">
        <v>1807</v>
      </c>
      <c r="F1076" t="s">
        <v>1807</v>
      </c>
      <c r="G1076" s="1">
        <v>43255</v>
      </c>
      <c r="H1076" s="1">
        <v>43365</v>
      </c>
      <c r="I1076" t="s">
        <v>189</v>
      </c>
      <c r="J1076">
        <v>1</v>
      </c>
      <c r="K1076" t="s">
        <v>2114</v>
      </c>
      <c r="L1076" t="s">
        <v>2115</v>
      </c>
    </row>
    <row r="1077" spans="1:40" x14ac:dyDescent="0.35">
      <c r="A1077">
        <v>5495474</v>
      </c>
      <c r="B1077" t="s">
        <v>3208</v>
      </c>
      <c r="C1077" t="str">
        <f>"9781783744428"</f>
        <v>9781783744428</v>
      </c>
      <c r="D1077" t="str">
        <f>"9781783744435"</f>
        <v>9781783744435</v>
      </c>
      <c r="E1077" t="s">
        <v>1807</v>
      </c>
      <c r="F1077" t="s">
        <v>1807</v>
      </c>
      <c r="G1077" s="1">
        <v>43270</v>
      </c>
      <c r="H1077" s="1">
        <v>43365</v>
      </c>
      <c r="I1077" t="s">
        <v>189</v>
      </c>
      <c r="J1077">
        <v>2</v>
      </c>
      <c r="L1077" t="s">
        <v>3209</v>
      </c>
    </row>
    <row r="1078" spans="1:40" x14ac:dyDescent="0.35">
      <c r="A1078">
        <v>5495918</v>
      </c>
      <c r="B1078" t="s">
        <v>3210</v>
      </c>
      <c r="C1078" t="str">
        <f>"9781478000396"</f>
        <v>9781478000396</v>
      </c>
      <c r="D1078" t="str">
        <f>"9781478002215"</f>
        <v>9781478002215</v>
      </c>
      <c r="E1078" t="s">
        <v>687</v>
      </c>
      <c r="F1078" t="s">
        <v>687</v>
      </c>
      <c r="G1078" s="1">
        <v>43357</v>
      </c>
      <c r="H1078" s="1">
        <v>43336</v>
      </c>
      <c r="I1078" t="s">
        <v>189</v>
      </c>
      <c r="J1078">
        <v>1</v>
      </c>
      <c r="K1078" t="s">
        <v>3211</v>
      </c>
      <c r="L1078" t="s">
        <v>3212</v>
      </c>
      <c r="M1078" t="s">
        <v>578</v>
      </c>
      <c r="N1078" t="s">
        <v>766</v>
      </c>
      <c r="O1078" s="2">
        <v>7914508996073</v>
      </c>
      <c r="Q1078" t="s">
        <v>260</v>
      </c>
      <c r="R1078" t="s">
        <v>261</v>
      </c>
      <c r="S1078" t="s">
        <v>261</v>
      </c>
      <c r="T1078" t="s">
        <v>261</v>
      </c>
      <c r="U1078" t="s">
        <v>261</v>
      </c>
      <c r="V1078" t="s">
        <v>262</v>
      </c>
      <c r="W1078" t="s">
        <v>261</v>
      </c>
      <c r="X1078" t="s">
        <v>261</v>
      </c>
      <c r="Y1078" t="s">
        <v>261</v>
      </c>
      <c r="Z1078" t="s">
        <v>409</v>
      </c>
      <c r="AB1078" t="s">
        <v>409</v>
      </c>
      <c r="AC1078" t="s">
        <v>409</v>
      </c>
      <c r="AD1078" t="s">
        <v>262</v>
      </c>
      <c r="AH1078" t="s">
        <v>262</v>
      </c>
      <c r="AI1078" t="s">
        <v>262</v>
      </c>
      <c r="AJ1078" t="s">
        <v>261</v>
      </c>
      <c r="AK1078" t="s">
        <v>261</v>
      </c>
      <c r="AM1078" t="s">
        <v>262</v>
      </c>
      <c r="AN1078" t="s">
        <v>3213</v>
      </c>
    </row>
    <row r="1079" spans="1:40" x14ac:dyDescent="0.35">
      <c r="A1079">
        <v>5496127</v>
      </c>
      <c r="B1079" t="s">
        <v>3214</v>
      </c>
      <c r="C1079" t="str">
        <f>"9782759227563"</f>
        <v>9782759227563</v>
      </c>
      <c r="D1079" t="str">
        <f>"9782759227570"</f>
        <v>9782759227570</v>
      </c>
      <c r="E1079" t="s">
        <v>1928</v>
      </c>
      <c r="F1079" t="s">
        <v>1928</v>
      </c>
      <c r="G1079" s="1">
        <v>43286</v>
      </c>
      <c r="H1079" s="1">
        <v>44546</v>
      </c>
      <c r="I1079" t="s">
        <v>189</v>
      </c>
      <c r="K1079" t="s">
        <v>2571</v>
      </c>
      <c r="L1079" t="s">
        <v>3215</v>
      </c>
    </row>
    <row r="1080" spans="1:40" x14ac:dyDescent="0.35">
      <c r="A1080">
        <v>5497069</v>
      </c>
      <c r="B1080" t="s">
        <v>3216</v>
      </c>
      <c r="C1080" t="str">
        <f>"9781618117656"</f>
        <v>9781618117656</v>
      </c>
      <c r="D1080" t="str">
        <f>"9781618115928"</f>
        <v>9781618115928</v>
      </c>
      <c r="E1080" t="s">
        <v>1592</v>
      </c>
      <c r="F1080" t="s">
        <v>1592</v>
      </c>
      <c r="G1080" s="1">
        <v>43305</v>
      </c>
      <c r="H1080" s="1">
        <v>43412</v>
      </c>
      <c r="I1080" t="s">
        <v>189</v>
      </c>
      <c r="J1080">
        <v>1</v>
      </c>
      <c r="K1080" t="s">
        <v>3217</v>
      </c>
      <c r="L1080" t="s">
        <v>3218</v>
      </c>
      <c r="M1080" t="s">
        <v>219</v>
      </c>
      <c r="O1080" t="s">
        <v>3219</v>
      </c>
      <c r="Q1080" t="s">
        <v>260</v>
      </c>
      <c r="R1080" t="s">
        <v>261</v>
      </c>
      <c r="S1080" t="s">
        <v>261</v>
      </c>
      <c r="T1080" t="s">
        <v>261</v>
      </c>
      <c r="U1080" t="s">
        <v>261</v>
      </c>
      <c r="V1080" t="s">
        <v>262</v>
      </c>
      <c r="W1080" t="s">
        <v>261</v>
      </c>
      <c r="X1080" t="s">
        <v>261</v>
      </c>
      <c r="Y1080" t="s">
        <v>261</v>
      </c>
      <c r="Z1080" t="s">
        <v>409</v>
      </c>
      <c r="AA1080" t="s">
        <v>409</v>
      </c>
      <c r="AB1080" t="s">
        <v>409</v>
      </c>
      <c r="AC1080" t="s">
        <v>409</v>
      </c>
      <c r="AD1080" t="s">
        <v>262</v>
      </c>
      <c r="AH1080" t="s">
        <v>262</v>
      </c>
      <c r="AI1080" t="s">
        <v>262</v>
      </c>
      <c r="AJ1080" t="s">
        <v>261</v>
      </c>
      <c r="AK1080" t="s">
        <v>261</v>
      </c>
      <c r="AM1080" t="s">
        <v>262</v>
      </c>
      <c r="AN1080" t="s">
        <v>3220</v>
      </c>
    </row>
    <row r="1081" spans="1:40" x14ac:dyDescent="0.35">
      <c r="A1081">
        <v>5497710</v>
      </c>
      <c r="B1081" t="s">
        <v>3221</v>
      </c>
      <c r="C1081" t="str">
        <f>"9780822370444"</f>
        <v>9780822370444</v>
      </c>
      <c r="D1081" t="str">
        <f>"9780822372011"</f>
        <v>9780822372011</v>
      </c>
      <c r="E1081" t="s">
        <v>687</v>
      </c>
      <c r="F1081" t="s">
        <v>687</v>
      </c>
      <c r="G1081" s="1">
        <v>43353</v>
      </c>
      <c r="H1081" s="1">
        <v>43338</v>
      </c>
      <c r="I1081" t="s">
        <v>189</v>
      </c>
      <c r="J1081">
        <v>1</v>
      </c>
      <c r="L1081" t="s">
        <v>3222</v>
      </c>
    </row>
    <row r="1082" spans="1:40" x14ac:dyDescent="0.35">
      <c r="A1082">
        <v>5497937</v>
      </c>
      <c r="B1082" t="s">
        <v>3223</v>
      </c>
      <c r="C1082" t="str">
        <f>"9789462984547"</f>
        <v>9789462984547</v>
      </c>
      <c r="D1082" t="str">
        <f>"9789048535224"</f>
        <v>9789048535224</v>
      </c>
      <c r="E1082" t="s">
        <v>361</v>
      </c>
      <c r="F1082" t="s">
        <v>361</v>
      </c>
      <c r="G1082" s="1">
        <v>43213</v>
      </c>
      <c r="H1082" s="1">
        <v>43339</v>
      </c>
      <c r="I1082" t="s">
        <v>189</v>
      </c>
      <c r="J1082">
        <v>1</v>
      </c>
      <c r="K1082" t="s">
        <v>2979</v>
      </c>
      <c r="L1082" t="s">
        <v>3224</v>
      </c>
    </row>
    <row r="1083" spans="1:40" x14ac:dyDescent="0.35">
      <c r="A1083">
        <v>5499585</v>
      </c>
      <c r="B1083" t="s">
        <v>3225</v>
      </c>
      <c r="C1083" t="str">
        <f>"9783110538717"</f>
        <v>9783110538717</v>
      </c>
      <c r="D1083" t="str">
        <f>"9783110538724"</f>
        <v>9783110538724</v>
      </c>
      <c r="E1083" t="s">
        <v>415</v>
      </c>
      <c r="F1083" t="s">
        <v>415</v>
      </c>
      <c r="G1083" s="1">
        <v>43381</v>
      </c>
      <c r="H1083" s="1">
        <v>44722</v>
      </c>
      <c r="I1083" t="s">
        <v>189</v>
      </c>
      <c r="J1083">
        <v>1</v>
      </c>
      <c r="L1083" t="s">
        <v>3226</v>
      </c>
    </row>
    <row r="1084" spans="1:40" x14ac:dyDescent="0.35">
      <c r="A1084">
        <v>5502819</v>
      </c>
      <c r="B1084" t="s">
        <v>3227</v>
      </c>
      <c r="C1084" t="str">
        <f>"9782759228126"</f>
        <v>9782759228126</v>
      </c>
      <c r="D1084" t="str">
        <f>"9782759228133"</f>
        <v>9782759228133</v>
      </c>
      <c r="E1084" t="s">
        <v>1928</v>
      </c>
      <c r="F1084" t="s">
        <v>1928</v>
      </c>
      <c r="G1084" s="1">
        <v>43279</v>
      </c>
      <c r="H1084" s="1">
        <v>44546</v>
      </c>
      <c r="I1084" t="s">
        <v>189</v>
      </c>
      <c r="K1084" t="s">
        <v>2029</v>
      </c>
      <c r="L1084" t="s">
        <v>2564</v>
      </c>
    </row>
    <row r="1085" spans="1:40" x14ac:dyDescent="0.35">
      <c r="A1085">
        <v>5507663</v>
      </c>
      <c r="B1085" t="s">
        <v>3228</v>
      </c>
      <c r="C1085" t="str">
        <f>"9783110426946"</f>
        <v>9783110426946</v>
      </c>
      <c r="D1085" t="str">
        <f>"9783110426953"</f>
        <v>9783110426953</v>
      </c>
      <c r="E1085" t="s">
        <v>415</v>
      </c>
      <c r="F1085" t="s">
        <v>415</v>
      </c>
      <c r="G1085" s="1">
        <v>43059</v>
      </c>
      <c r="H1085" s="1">
        <v>44077</v>
      </c>
      <c r="I1085" t="s">
        <v>189</v>
      </c>
      <c r="J1085">
        <v>1</v>
      </c>
      <c r="K1085" t="s">
        <v>1159</v>
      </c>
      <c r="L1085" t="s">
        <v>3229</v>
      </c>
      <c r="M1085" t="s">
        <v>239</v>
      </c>
    </row>
    <row r="1086" spans="1:40" x14ac:dyDescent="0.35">
      <c r="A1086">
        <v>5507664</v>
      </c>
      <c r="B1086" t="s">
        <v>3230</v>
      </c>
      <c r="C1086" t="str">
        <f>"9783110575408"</f>
        <v>9783110575408</v>
      </c>
      <c r="D1086" t="str">
        <f>"9783110575446"</f>
        <v>9783110575446</v>
      </c>
      <c r="E1086" t="s">
        <v>415</v>
      </c>
      <c r="F1086" t="s">
        <v>415</v>
      </c>
      <c r="G1086" s="1">
        <v>43423</v>
      </c>
      <c r="H1086" s="1">
        <v>44722</v>
      </c>
      <c r="I1086" t="s">
        <v>189</v>
      </c>
      <c r="J1086">
        <v>1</v>
      </c>
      <c r="K1086" t="s">
        <v>2442</v>
      </c>
      <c r="L1086" t="s">
        <v>3231</v>
      </c>
      <c r="M1086" t="s">
        <v>1831</v>
      </c>
    </row>
    <row r="1087" spans="1:40" x14ac:dyDescent="0.35">
      <c r="A1087">
        <v>5507666</v>
      </c>
      <c r="B1087" t="s">
        <v>3232</v>
      </c>
      <c r="C1087" t="str">
        <f>"9783110554847"</f>
        <v>9783110554847</v>
      </c>
      <c r="D1087" t="str">
        <f>"9783110583717"</f>
        <v>9783110583717</v>
      </c>
      <c r="E1087" t="s">
        <v>415</v>
      </c>
      <c r="F1087" t="s">
        <v>415</v>
      </c>
      <c r="G1087" s="1">
        <v>43290</v>
      </c>
      <c r="H1087" s="1">
        <v>44722</v>
      </c>
      <c r="I1087" t="s">
        <v>189</v>
      </c>
      <c r="J1087">
        <v>1</v>
      </c>
      <c r="K1087" t="s">
        <v>1159</v>
      </c>
      <c r="L1087" t="s">
        <v>13</v>
      </c>
      <c r="M1087" t="s">
        <v>239</v>
      </c>
      <c r="Q1087" t="s">
        <v>408</v>
      </c>
      <c r="R1087" t="s">
        <v>261</v>
      </c>
      <c r="S1087" t="s">
        <v>261</v>
      </c>
      <c r="T1087" t="s">
        <v>261</v>
      </c>
      <c r="U1087" t="s">
        <v>261</v>
      </c>
      <c r="V1087" t="s">
        <v>262</v>
      </c>
      <c r="W1087" t="s">
        <v>261</v>
      </c>
      <c r="X1087" t="s">
        <v>261</v>
      </c>
      <c r="Y1087" t="s">
        <v>261</v>
      </c>
      <c r="Z1087" t="s">
        <v>409</v>
      </c>
      <c r="AA1087" t="s">
        <v>409</v>
      </c>
      <c r="AB1087" t="s">
        <v>409</v>
      </c>
      <c r="AC1087" t="s">
        <v>409</v>
      </c>
      <c r="AD1087" t="s">
        <v>261</v>
      </c>
      <c r="AH1087" t="s">
        <v>262</v>
      </c>
      <c r="AI1087" t="s">
        <v>262</v>
      </c>
      <c r="AJ1087" t="s">
        <v>261</v>
      </c>
      <c r="AK1087" t="s">
        <v>261</v>
      </c>
      <c r="AM1087" t="s">
        <v>262</v>
      </c>
      <c r="AN1087" t="s">
        <v>3233</v>
      </c>
    </row>
    <row r="1088" spans="1:40" x14ac:dyDescent="0.35">
      <c r="A1088">
        <v>5507667</v>
      </c>
      <c r="B1088" t="s">
        <v>3234</v>
      </c>
      <c r="C1088" t="str">
        <f>"9783110463668"</f>
        <v>9783110463668</v>
      </c>
      <c r="D1088" t="str">
        <f>"9783110464979"</f>
        <v>9783110464979</v>
      </c>
      <c r="E1088" t="s">
        <v>346</v>
      </c>
      <c r="F1088" t="s">
        <v>346</v>
      </c>
      <c r="G1088" s="1">
        <v>43381</v>
      </c>
      <c r="H1088" s="1">
        <v>44722</v>
      </c>
      <c r="I1088" t="s">
        <v>189</v>
      </c>
      <c r="J1088">
        <v>1</v>
      </c>
      <c r="L1088" t="s">
        <v>3235</v>
      </c>
    </row>
    <row r="1089" spans="1:40" x14ac:dyDescent="0.35">
      <c r="A1089">
        <v>5507668</v>
      </c>
      <c r="B1089" t="s">
        <v>3236</v>
      </c>
      <c r="C1089" t="str">
        <f>"9783110553260"</f>
        <v>9783110553260</v>
      </c>
      <c r="D1089" t="str">
        <f>"9783110553314"</f>
        <v>9783110553314</v>
      </c>
      <c r="E1089" t="s">
        <v>415</v>
      </c>
      <c r="F1089" t="s">
        <v>665</v>
      </c>
      <c r="G1089" s="1">
        <v>43451</v>
      </c>
      <c r="H1089" s="1">
        <v>44722</v>
      </c>
      <c r="I1089" t="s">
        <v>189</v>
      </c>
      <c r="J1089">
        <v>1</v>
      </c>
      <c r="L1089" t="s">
        <v>3237</v>
      </c>
    </row>
    <row r="1090" spans="1:40" x14ac:dyDescent="0.35">
      <c r="A1090">
        <v>5511083</v>
      </c>
      <c r="B1090" t="s">
        <v>3238</v>
      </c>
      <c r="C1090" t="str">
        <f>"9783110584547"</f>
        <v>9783110584547</v>
      </c>
      <c r="D1090" t="str">
        <f>"9783110587173"</f>
        <v>9783110587173</v>
      </c>
      <c r="E1090" t="s">
        <v>415</v>
      </c>
      <c r="F1090" t="s">
        <v>665</v>
      </c>
      <c r="G1090" s="1">
        <v>43242</v>
      </c>
      <c r="H1090" s="1">
        <v>44722</v>
      </c>
      <c r="I1090" t="s">
        <v>189</v>
      </c>
      <c r="J1090">
        <v>1</v>
      </c>
      <c r="K1090" t="s">
        <v>3239</v>
      </c>
      <c r="L1090" t="s">
        <v>3240</v>
      </c>
      <c r="M1090" t="s">
        <v>239</v>
      </c>
      <c r="Q1090" t="s">
        <v>408</v>
      </c>
      <c r="R1090" t="s">
        <v>261</v>
      </c>
      <c r="S1090" t="s">
        <v>261</v>
      </c>
      <c r="T1090" t="s">
        <v>261</v>
      </c>
      <c r="U1090" t="s">
        <v>261</v>
      </c>
      <c r="V1090" t="s">
        <v>262</v>
      </c>
      <c r="W1090" t="s">
        <v>261</v>
      </c>
      <c r="X1090" t="s">
        <v>261</v>
      </c>
      <c r="Y1090" t="s">
        <v>261</v>
      </c>
      <c r="Z1090" t="s">
        <v>409</v>
      </c>
      <c r="AA1090" t="s">
        <v>409</v>
      </c>
      <c r="AB1090" t="s">
        <v>409</v>
      </c>
      <c r="AC1090" t="s">
        <v>409</v>
      </c>
      <c r="AD1090" t="s">
        <v>261</v>
      </c>
      <c r="AH1090" t="s">
        <v>262</v>
      </c>
      <c r="AI1090" t="s">
        <v>262</v>
      </c>
      <c r="AJ1090" t="s">
        <v>261</v>
      </c>
      <c r="AK1090" t="s">
        <v>261</v>
      </c>
      <c r="AM1090" t="s">
        <v>262</v>
      </c>
      <c r="AN1090" t="s">
        <v>3241</v>
      </c>
    </row>
    <row r="1091" spans="1:40" x14ac:dyDescent="0.35">
      <c r="A1091">
        <v>5511084</v>
      </c>
      <c r="B1091" t="s">
        <v>3242</v>
      </c>
      <c r="C1091" t="str">
        <f>"9783110553277"</f>
        <v>9783110553277</v>
      </c>
      <c r="D1091" t="str">
        <f>"9783110555165"</f>
        <v>9783110555165</v>
      </c>
      <c r="E1091" t="s">
        <v>415</v>
      </c>
      <c r="F1091" t="s">
        <v>415</v>
      </c>
      <c r="G1091" s="1">
        <v>43395</v>
      </c>
      <c r="H1091" s="1">
        <v>44722</v>
      </c>
      <c r="I1091" t="s">
        <v>189</v>
      </c>
      <c r="J1091">
        <v>1</v>
      </c>
      <c r="K1091" t="s">
        <v>3243</v>
      </c>
      <c r="L1091" t="s">
        <v>3244</v>
      </c>
      <c r="M1091" t="s">
        <v>676</v>
      </c>
      <c r="Q1091" t="s">
        <v>408</v>
      </c>
      <c r="R1091" t="s">
        <v>261</v>
      </c>
      <c r="S1091" t="s">
        <v>261</v>
      </c>
      <c r="T1091" t="s">
        <v>261</v>
      </c>
      <c r="U1091" t="s">
        <v>261</v>
      </c>
      <c r="V1091" t="s">
        <v>262</v>
      </c>
      <c r="W1091" t="s">
        <v>261</v>
      </c>
      <c r="X1091" t="s">
        <v>261</v>
      </c>
      <c r="Y1091" t="s">
        <v>261</v>
      </c>
      <c r="Z1091" t="s">
        <v>409</v>
      </c>
      <c r="AA1091" t="s">
        <v>409</v>
      </c>
      <c r="AB1091" t="s">
        <v>409</v>
      </c>
      <c r="AC1091" t="s">
        <v>409</v>
      </c>
      <c r="AD1091" t="s">
        <v>261</v>
      </c>
      <c r="AH1091" t="s">
        <v>262</v>
      </c>
      <c r="AI1091" t="s">
        <v>262</v>
      </c>
      <c r="AJ1091" t="s">
        <v>261</v>
      </c>
      <c r="AK1091" t="s">
        <v>261</v>
      </c>
      <c r="AM1091" t="s">
        <v>262</v>
      </c>
      <c r="AN1091" t="s">
        <v>3245</v>
      </c>
    </row>
    <row r="1092" spans="1:40" x14ac:dyDescent="0.35">
      <c r="A1092">
        <v>5511085</v>
      </c>
      <c r="B1092" t="s">
        <v>3246</v>
      </c>
      <c r="C1092" t="str">
        <f>"9783110557565"</f>
        <v>9783110557565</v>
      </c>
      <c r="D1092" t="str">
        <f>"9783110557657"</f>
        <v>9783110557657</v>
      </c>
      <c r="E1092" t="s">
        <v>415</v>
      </c>
      <c r="F1092" t="s">
        <v>415</v>
      </c>
      <c r="G1092" s="1">
        <v>43353</v>
      </c>
      <c r="H1092" s="1">
        <v>44722</v>
      </c>
      <c r="I1092" t="s">
        <v>189</v>
      </c>
      <c r="J1092">
        <v>1</v>
      </c>
      <c r="K1092" t="s">
        <v>2721</v>
      </c>
      <c r="L1092" t="s">
        <v>3247</v>
      </c>
      <c r="M1092" t="s">
        <v>389</v>
      </c>
      <c r="N1092" t="s">
        <v>3248</v>
      </c>
      <c r="Q1092" t="s">
        <v>260</v>
      </c>
      <c r="R1092" t="s">
        <v>261</v>
      </c>
      <c r="S1092" t="s">
        <v>261</v>
      </c>
      <c r="T1092" t="s">
        <v>261</v>
      </c>
      <c r="U1092" t="s">
        <v>261</v>
      </c>
      <c r="V1092" t="s">
        <v>262</v>
      </c>
      <c r="W1092" t="s">
        <v>261</v>
      </c>
      <c r="X1092" t="s">
        <v>261</v>
      </c>
      <c r="Y1092" t="s">
        <v>261</v>
      </c>
      <c r="Z1092" t="s">
        <v>409</v>
      </c>
      <c r="AA1092" t="s">
        <v>409</v>
      </c>
      <c r="AB1092" t="s">
        <v>409</v>
      </c>
      <c r="AC1092" t="s">
        <v>409</v>
      </c>
      <c r="AD1092" t="s">
        <v>261</v>
      </c>
      <c r="AH1092" t="s">
        <v>262</v>
      </c>
      <c r="AI1092" t="s">
        <v>262</v>
      </c>
      <c r="AJ1092" t="s">
        <v>261</v>
      </c>
      <c r="AK1092" t="s">
        <v>261</v>
      </c>
      <c r="AM1092" t="s">
        <v>262</v>
      </c>
      <c r="AN1092" t="s">
        <v>3249</v>
      </c>
    </row>
    <row r="1093" spans="1:40" x14ac:dyDescent="0.35">
      <c r="A1093">
        <v>5511086</v>
      </c>
      <c r="B1093" t="s">
        <v>3250</v>
      </c>
      <c r="C1093" t="str">
        <f>"9783110536386"</f>
        <v>9783110536386</v>
      </c>
      <c r="D1093" t="str">
        <f>"9783110536638"</f>
        <v>9783110536638</v>
      </c>
      <c r="E1093" t="s">
        <v>415</v>
      </c>
      <c r="F1093" t="s">
        <v>415</v>
      </c>
      <c r="G1093" s="1">
        <v>43199</v>
      </c>
      <c r="H1093" s="1">
        <v>44722</v>
      </c>
      <c r="I1093" t="s">
        <v>189</v>
      </c>
      <c r="J1093">
        <v>1</v>
      </c>
      <c r="L1093" t="s">
        <v>48</v>
      </c>
      <c r="M1093" t="s">
        <v>219</v>
      </c>
      <c r="Q1093" t="s">
        <v>260</v>
      </c>
      <c r="R1093" t="s">
        <v>261</v>
      </c>
      <c r="S1093" t="s">
        <v>261</v>
      </c>
      <c r="T1093" t="s">
        <v>261</v>
      </c>
      <c r="U1093" t="s">
        <v>261</v>
      </c>
      <c r="V1093" t="s">
        <v>262</v>
      </c>
      <c r="W1093" t="s">
        <v>261</v>
      </c>
      <c r="X1093" t="s">
        <v>261</v>
      </c>
      <c r="Y1093" t="s">
        <v>261</v>
      </c>
      <c r="Z1093" t="s">
        <v>409</v>
      </c>
      <c r="AA1093" t="s">
        <v>409</v>
      </c>
      <c r="AB1093" t="s">
        <v>409</v>
      </c>
      <c r="AC1093" t="s">
        <v>409</v>
      </c>
      <c r="AD1093" t="s">
        <v>261</v>
      </c>
      <c r="AH1093" t="s">
        <v>262</v>
      </c>
      <c r="AI1093" t="s">
        <v>262</v>
      </c>
      <c r="AJ1093" t="s">
        <v>261</v>
      </c>
      <c r="AK1093" t="s">
        <v>261</v>
      </c>
      <c r="AM1093" t="s">
        <v>262</v>
      </c>
      <c r="AN1093" t="s">
        <v>3251</v>
      </c>
    </row>
    <row r="1094" spans="1:40" x14ac:dyDescent="0.35">
      <c r="A1094">
        <v>5511087</v>
      </c>
      <c r="B1094" t="s">
        <v>3252</v>
      </c>
      <c r="C1094" t="str">
        <f>"9783110495003"</f>
        <v>9783110495003</v>
      </c>
      <c r="D1094" t="str">
        <f>"9783110495416"</f>
        <v>9783110495416</v>
      </c>
      <c r="E1094" t="s">
        <v>415</v>
      </c>
      <c r="F1094" t="s">
        <v>415</v>
      </c>
      <c r="G1094" s="1">
        <v>43213</v>
      </c>
      <c r="H1094" s="1">
        <v>44722</v>
      </c>
      <c r="I1094" t="s">
        <v>189</v>
      </c>
      <c r="J1094">
        <v>1</v>
      </c>
      <c r="L1094" t="s">
        <v>3253</v>
      </c>
      <c r="M1094" t="s">
        <v>219</v>
      </c>
      <c r="O1094" t="s">
        <v>3254</v>
      </c>
      <c r="Q1094" t="s">
        <v>260</v>
      </c>
      <c r="R1094" t="s">
        <v>261</v>
      </c>
      <c r="S1094" t="s">
        <v>261</v>
      </c>
      <c r="T1094" t="s">
        <v>261</v>
      </c>
      <c r="U1094" t="s">
        <v>261</v>
      </c>
      <c r="V1094" t="s">
        <v>262</v>
      </c>
      <c r="W1094" t="s">
        <v>261</v>
      </c>
      <c r="X1094" t="s">
        <v>261</v>
      </c>
      <c r="Y1094" t="s">
        <v>261</v>
      </c>
      <c r="Z1094" t="s">
        <v>409</v>
      </c>
      <c r="AA1094" t="s">
        <v>409</v>
      </c>
      <c r="AB1094" t="s">
        <v>409</v>
      </c>
      <c r="AC1094" t="s">
        <v>409</v>
      </c>
      <c r="AD1094" t="s">
        <v>261</v>
      </c>
      <c r="AH1094" t="s">
        <v>262</v>
      </c>
      <c r="AI1094" t="s">
        <v>262</v>
      </c>
      <c r="AJ1094" t="s">
        <v>261</v>
      </c>
      <c r="AK1094" t="s">
        <v>261</v>
      </c>
      <c r="AM1094" t="s">
        <v>262</v>
      </c>
      <c r="AN1094" t="s">
        <v>3255</v>
      </c>
    </row>
    <row r="1095" spans="1:40" x14ac:dyDescent="0.35">
      <c r="A1095">
        <v>5511088</v>
      </c>
      <c r="B1095" t="s">
        <v>3256</v>
      </c>
      <c r="C1095" t="str">
        <f>"9783110562538"</f>
        <v>9783110562538</v>
      </c>
      <c r="D1095" t="str">
        <f>"9783110562545"</f>
        <v>9783110562545</v>
      </c>
      <c r="E1095" t="s">
        <v>415</v>
      </c>
      <c r="F1095" t="s">
        <v>415</v>
      </c>
      <c r="G1095" s="1">
        <v>43087</v>
      </c>
      <c r="H1095" s="1">
        <v>44077</v>
      </c>
      <c r="I1095" t="s">
        <v>189</v>
      </c>
      <c r="J1095">
        <v>1</v>
      </c>
      <c r="K1095" t="s">
        <v>3110</v>
      </c>
      <c r="L1095" t="s">
        <v>3111</v>
      </c>
    </row>
    <row r="1096" spans="1:40" x14ac:dyDescent="0.35">
      <c r="A1096">
        <v>5511089</v>
      </c>
      <c r="B1096" t="s">
        <v>3257</v>
      </c>
      <c r="C1096" t="str">
        <f>"9781501514548"</f>
        <v>9781501514548</v>
      </c>
      <c r="D1096" t="str">
        <f>"9781501505393"</f>
        <v>9781501505393</v>
      </c>
      <c r="E1096" t="s">
        <v>346</v>
      </c>
      <c r="F1096" t="s">
        <v>2637</v>
      </c>
      <c r="G1096" s="1">
        <v>43290</v>
      </c>
      <c r="H1096" s="1">
        <v>44722</v>
      </c>
      <c r="I1096" t="s">
        <v>189</v>
      </c>
      <c r="J1096">
        <v>1</v>
      </c>
      <c r="K1096" t="s">
        <v>3258</v>
      </c>
      <c r="L1096" t="s">
        <v>3259</v>
      </c>
    </row>
    <row r="1097" spans="1:40" x14ac:dyDescent="0.35">
      <c r="A1097">
        <v>5511090</v>
      </c>
      <c r="B1097" t="s">
        <v>3260</v>
      </c>
      <c r="C1097" t="str">
        <f>"9783110591965"</f>
        <v>9783110591965</v>
      </c>
      <c r="D1097" t="str">
        <f>"9783110594188"</f>
        <v>9783110594188</v>
      </c>
      <c r="E1097" t="s">
        <v>415</v>
      </c>
      <c r="F1097" t="s">
        <v>415</v>
      </c>
      <c r="G1097" s="1">
        <v>43178</v>
      </c>
      <c r="H1097" s="1">
        <v>44722</v>
      </c>
      <c r="I1097" t="s">
        <v>189</v>
      </c>
      <c r="J1097">
        <v>1</v>
      </c>
      <c r="K1097" t="s">
        <v>3050</v>
      </c>
      <c r="L1097" t="s">
        <v>3261</v>
      </c>
    </row>
    <row r="1098" spans="1:40" x14ac:dyDescent="0.35">
      <c r="A1098">
        <v>5511091</v>
      </c>
      <c r="B1098" t="s">
        <v>3262</v>
      </c>
      <c r="C1098" t="str">
        <f>"9783110567632"</f>
        <v>9783110567632</v>
      </c>
      <c r="D1098" t="str">
        <f>"9783110570557"</f>
        <v>9783110570557</v>
      </c>
      <c r="E1098" t="s">
        <v>415</v>
      </c>
      <c r="F1098" t="s">
        <v>665</v>
      </c>
      <c r="G1098" s="1">
        <v>43395</v>
      </c>
      <c r="H1098" s="1">
        <v>44722</v>
      </c>
      <c r="I1098" t="s">
        <v>189</v>
      </c>
      <c r="J1098">
        <v>1</v>
      </c>
      <c r="K1098" t="s">
        <v>3263</v>
      </c>
      <c r="L1098" t="s">
        <v>3264</v>
      </c>
    </row>
    <row r="1099" spans="1:40" x14ac:dyDescent="0.35">
      <c r="A1099">
        <v>5511092</v>
      </c>
      <c r="B1099" t="s">
        <v>3265</v>
      </c>
      <c r="C1099" t="str">
        <f>"9783110538526"</f>
        <v>9783110538526</v>
      </c>
      <c r="D1099" t="str">
        <f>"9783110547450"</f>
        <v>9783110547450</v>
      </c>
      <c r="E1099" t="s">
        <v>415</v>
      </c>
      <c r="F1099" t="s">
        <v>415</v>
      </c>
      <c r="G1099" s="1">
        <v>43242</v>
      </c>
      <c r="H1099" s="1">
        <v>44077</v>
      </c>
      <c r="I1099" t="s">
        <v>189</v>
      </c>
      <c r="J1099">
        <v>1</v>
      </c>
      <c r="L1099" t="s">
        <v>3113</v>
      </c>
      <c r="M1099" t="s">
        <v>239</v>
      </c>
    </row>
    <row r="1100" spans="1:40" x14ac:dyDescent="0.35">
      <c r="A1100">
        <v>5511093</v>
      </c>
      <c r="B1100" t="s">
        <v>3266</v>
      </c>
      <c r="C1100" t="str">
        <f>"9783110501711"</f>
        <v>9783110501711</v>
      </c>
      <c r="D1100" t="str">
        <f>"9783110502060"</f>
        <v>9783110502060</v>
      </c>
      <c r="E1100" t="s">
        <v>415</v>
      </c>
      <c r="F1100" t="s">
        <v>415</v>
      </c>
      <c r="G1100" s="1">
        <v>43290</v>
      </c>
      <c r="H1100" s="1">
        <v>44722</v>
      </c>
      <c r="I1100" t="s">
        <v>189</v>
      </c>
      <c r="J1100">
        <v>1</v>
      </c>
      <c r="L1100" t="s">
        <v>3267</v>
      </c>
      <c r="M1100" t="s">
        <v>389</v>
      </c>
    </row>
    <row r="1101" spans="1:40" x14ac:dyDescent="0.35">
      <c r="A1101">
        <v>5511095</v>
      </c>
      <c r="B1101" t="s">
        <v>3268</v>
      </c>
      <c r="C1101" t="str">
        <f>"9783484312166"</f>
        <v>9783484312166</v>
      </c>
      <c r="D1101" t="str">
        <f>"9783110920017"</f>
        <v>9783110920017</v>
      </c>
      <c r="E1101" t="s">
        <v>346</v>
      </c>
      <c r="F1101" t="s">
        <v>346</v>
      </c>
      <c r="G1101" s="1">
        <v>36690</v>
      </c>
      <c r="H1101" s="1">
        <v>44722</v>
      </c>
      <c r="I1101" t="s">
        <v>189</v>
      </c>
      <c r="J1101">
        <v>1</v>
      </c>
      <c r="K1101" t="s">
        <v>3243</v>
      </c>
      <c r="L1101" t="s">
        <v>3269</v>
      </c>
      <c r="M1101" t="s">
        <v>676</v>
      </c>
      <c r="N1101" t="s">
        <v>3270</v>
      </c>
      <c r="Q1101" t="s">
        <v>408</v>
      </c>
      <c r="R1101" t="s">
        <v>261</v>
      </c>
      <c r="S1101" t="s">
        <v>261</v>
      </c>
      <c r="T1101" t="s">
        <v>261</v>
      </c>
      <c r="U1101" t="s">
        <v>261</v>
      </c>
      <c r="V1101" t="s">
        <v>262</v>
      </c>
      <c r="W1101" t="s">
        <v>261</v>
      </c>
      <c r="X1101" t="s">
        <v>261</v>
      </c>
      <c r="Y1101" t="s">
        <v>261</v>
      </c>
      <c r="Z1101" t="s">
        <v>409</v>
      </c>
      <c r="AA1101" t="s">
        <v>409</v>
      </c>
      <c r="AB1101" t="s">
        <v>409</v>
      </c>
      <c r="AC1101" t="s">
        <v>409</v>
      </c>
      <c r="AD1101" t="s">
        <v>261</v>
      </c>
      <c r="AH1101" t="s">
        <v>262</v>
      </c>
      <c r="AI1101" t="s">
        <v>262</v>
      </c>
      <c r="AJ1101" t="s">
        <v>261</v>
      </c>
      <c r="AK1101" t="s">
        <v>261</v>
      </c>
      <c r="AM1101" t="s">
        <v>262</v>
      </c>
      <c r="AN1101" t="s">
        <v>3271</v>
      </c>
    </row>
    <row r="1102" spans="1:40" x14ac:dyDescent="0.35">
      <c r="A1102">
        <v>5511096</v>
      </c>
      <c r="B1102" t="s">
        <v>3272</v>
      </c>
      <c r="C1102" t="str">
        <f>"9783110548907"</f>
        <v>9783110548907</v>
      </c>
      <c r="D1102" t="str">
        <f>"9783110550672"</f>
        <v>9783110550672</v>
      </c>
      <c r="E1102" t="s">
        <v>415</v>
      </c>
      <c r="F1102" t="s">
        <v>415</v>
      </c>
      <c r="G1102" s="1">
        <v>43164</v>
      </c>
      <c r="H1102" s="1">
        <v>44077</v>
      </c>
      <c r="I1102" t="s">
        <v>189</v>
      </c>
      <c r="J1102">
        <v>1</v>
      </c>
      <c r="L1102" t="s">
        <v>3273</v>
      </c>
      <c r="M1102" t="s">
        <v>676</v>
      </c>
    </row>
    <row r="1103" spans="1:40" x14ac:dyDescent="0.35">
      <c r="A1103">
        <v>5513119</v>
      </c>
      <c r="B1103" t="s">
        <v>3274</v>
      </c>
      <c r="C1103" t="str">
        <f>"9789462981102"</f>
        <v>9789462981102</v>
      </c>
      <c r="D1103" t="str">
        <f>"9789048530670"</f>
        <v>9789048530670</v>
      </c>
      <c r="E1103" t="s">
        <v>361</v>
      </c>
      <c r="F1103" t="s">
        <v>361</v>
      </c>
      <c r="G1103" s="1">
        <v>42878</v>
      </c>
      <c r="H1103" s="1">
        <v>43356</v>
      </c>
      <c r="I1103" t="s">
        <v>189</v>
      </c>
      <c r="J1103">
        <v>1</v>
      </c>
      <c r="K1103" t="s">
        <v>2416</v>
      </c>
      <c r="L1103" t="s">
        <v>3275</v>
      </c>
      <c r="M1103" t="s">
        <v>329</v>
      </c>
      <c r="N1103" t="s">
        <v>3276</v>
      </c>
      <c r="Q1103" t="s">
        <v>260</v>
      </c>
      <c r="R1103" t="s">
        <v>261</v>
      </c>
      <c r="S1103" t="s">
        <v>261</v>
      </c>
      <c r="T1103" t="s">
        <v>261</v>
      </c>
      <c r="U1103" t="s">
        <v>261</v>
      </c>
      <c r="V1103" t="s">
        <v>262</v>
      </c>
      <c r="W1103" t="s">
        <v>261</v>
      </c>
      <c r="X1103" t="s">
        <v>261</v>
      </c>
      <c r="Y1103" t="s">
        <v>261</v>
      </c>
      <c r="Z1103" t="s">
        <v>409</v>
      </c>
      <c r="AA1103" t="s">
        <v>409</v>
      </c>
      <c r="AB1103" t="s">
        <v>409</v>
      </c>
      <c r="AC1103" t="s">
        <v>409</v>
      </c>
      <c r="AD1103" t="s">
        <v>262</v>
      </c>
      <c r="AE1103">
        <v>11608935</v>
      </c>
      <c r="AH1103" t="s">
        <v>262</v>
      </c>
      <c r="AI1103" t="s">
        <v>262</v>
      </c>
      <c r="AJ1103" t="s">
        <v>261</v>
      </c>
      <c r="AK1103" t="s">
        <v>261</v>
      </c>
      <c r="AM1103" t="s">
        <v>262</v>
      </c>
      <c r="AN1103" t="s">
        <v>3277</v>
      </c>
    </row>
    <row r="1104" spans="1:40" x14ac:dyDescent="0.35">
      <c r="A1104">
        <v>5515154</v>
      </c>
      <c r="B1104" t="s">
        <v>3278</v>
      </c>
      <c r="C1104" t="str">
        <f>"9789462984585"</f>
        <v>9789462984585</v>
      </c>
      <c r="D1104" t="str">
        <f>"9789048535262"</f>
        <v>9789048535262</v>
      </c>
      <c r="E1104" t="s">
        <v>361</v>
      </c>
      <c r="F1104" t="s">
        <v>361</v>
      </c>
      <c r="G1104" s="1">
        <v>43248</v>
      </c>
      <c r="H1104" s="1">
        <v>43357</v>
      </c>
      <c r="I1104" t="s">
        <v>189</v>
      </c>
      <c r="J1104">
        <v>1</v>
      </c>
      <c r="K1104" t="s">
        <v>3279</v>
      </c>
      <c r="L1104" t="s">
        <v>3280</v>
      </c>
      <c r="M1104" t="s">
        <v>239</v>
      </c>
      <c r="Q1104" t="s">
        <v>260</v>
      </c>
      <c r="R1104" t="s">
        <v>261</v>
      </c>
      <c r="S1104" t="s">
        <v>261</v>
      </c>
      <c r="T1104" t="s">
        <v>261</v>
      </c>
      <c r="U1104" t="s">
        <v>261</v>
      </c>
      <c r="V1104" t="s">
        <v>262</v>
      </c>
      <c r="W1104" t="s">
        <v>261</v>
      </c>
      <c r="X1104" t="s">
        <v>261</v>
      </c>
      <c r="Y1104" t="s">
        <v>261</v>
      </c>
      <c r="Z1104" t="s">
        <v>409</v>
      </c>
      <c r="AA1104" t="s">
        <v>409</v>
      </c>
      <c r="AB1104" t="s">
        <v>409</v>
      </c>
      <c r="AC1104" t="s">
        <v>409</v>
      </c>
      <c r="AD1104" t="s">
        <v>262</v>
      </c>
      <c r="AE1104">
        <v>11610203</v>
      </c>
      <c r="AH1104" t="s">
        <v>262</v>
      </c>
      <c r="AI1104" t="s">
        <v>262</v>
      </c>
      <c r="AJ1104" t="s">
        <v>261</v>
      </c>
      <c r="AK1104" t="s">
        <v>261</v>
      </c>
      <c r="AM1104" t="s">
        <v>262</v>
      </c>
      <c r="AN1104" t="s">
        <v>3281</v>
      </c>
    </row>
    <row r="1105" spans="1:40" x14ac:dyDescent="0.35">
      <c r="A1105">
        <v>5515183</v>
      </c>
      <c r="B1105" t="s">
        <v>3282</v>
      </c>
      <c r="C1105" t="str">
        <f>"9781438471495"</f>
        <v>9781438471495</v>
      </c>
      <c r="D1105" t="str">
        <f>"9781438471501"</f>
        <v>9781438471501</v>
      </c>
      <c r="E1105" t="s">
        <v>2073</v>
      </c>
      <c r="F1105" t="s">
        <v>2074</v>
      </c>
      <c r="G1105" s="1">
        <v>43405</v>
      </c>
      <c r="H1105" s="1">
        <v>43357</v>
      </c>
      <c r="I1105" t="s">
        <v>189</v>
      </c>
      <c r="J1105">
        <v>1</v>
      </c>
      <c r="K1105" t="s">
        <v>2075</v>
      </c>
      <c r="L1105" t="s">
        <v>3283</v>
      </c>
      <c r="M1105" t="s">
        <v>676</v>
      </c>
      <c r="O1105" t="s">
        <v>3284</v>
      </c>
      <c r="Q1105" t="s">
        <v>260</v>
      </c>
      <c r="R1105" t="s">
        <v>261</v>
      </c>
      <c r="S1105" t="s">
        <v>261</v>
      </c>
      <c r="T1105" t="s">
        <v>261</v>
      </c>
      <c r="U1105" t="s">
        <v>261</v>
      </c>
      <c r="V1105" t="s">
        <v>262</v>
      </c>
      <c r="W1105" t="s">
        <v>261</v>
      </c>
      <c r="X1105" t="s">
        <v>261</v>
      </c>
      <c r="Y1105" t="s">
        <v>261</v>
      </c>
      <c r="Z1105" t="s">
        <v>409</v>
      </c>
      <c r="AA1105" t="s">
        <v>409</v>
      </c>
      <c r="AB1105" t="s">
        <v>409</v>
      </c>
      <c r="AC1105" t="s">
        <v>409</v>
      </c>
      <c r="AD1105" t="s">
        <v>262</v>
      </c>
      <c r="AE1105">
        <v>11610223</v>
      </c>
      <c r="AH1105" t="s">
        <v>262</v>
      </c>
      <c r="AI1105" t="s">
        <v>262</v>
      </c>
      <c r="AJ1105" t="s">
        <v>261</v>
      </c>
      <c r="AK1105" t="s">
        <v>261</v>
      </c>
      <c r="AM1105" t="s">
        <v>262</v>
      </c>
      <c r="AN1105" t="s">
        <v>3285</v>
      </c>
    </row>
    <row r="1106" spans="1:40" x14ac:dyDescent="0.35">
      <c r="A1106">
        <v>5516501</v>
      </c>
      <c r="B1106" t="s">
        <v>3286</v>
      </c>
      <c r="C1106" t="str">
        <f>"9789462985988"</f>
        <v>9789462985988</v>
      </c>
      <c r="D1106" t="str">
        <f>"9789048537228"</f>
        <v>9789048537228</v>
      </c>
      <c r="E1106" t="s">
        <v>361</v>
      </c>
      <c r="F1106" t="s">
        <v>361</v>
      </c>
      <c r="G1106" s="1">
        <v>43296</v>
      </c>
      <c r="H1106" s="1">
        <v>43360</v>
      </c>
      <c r="I1106" t="s">
        <v>189</v>
      </c>
      <c r="J1106">
        <v>1</v>
      </c>
      <c r="K1106" t="s">
        <v>3279</v>
      </c>
      <c r="L1106" t="s">
        <v>3287</v>
      </c>
      <c r="M1106" t="s">
        <v>389</v>
      </c>
    </row>
    <row r="1107" spans="1:40" x14ac:dyDescent="0.35">
      <c r="A1107">
        <v>5517365</v>
      </c>
      <c r="B1107" t="s">
        <v>3288</v>
      </c>
      <c r="C1107" t="str">
        <f>"9783110584981"</f>
        <v>9783110584981</v>
      </c>
      <c r="D1107" t="str">
        <f>"9783110584998"</f>
        <v>9783110584998</v>
      </c>
      <c r="E1107" t="s">
        <v>415</v>
      </c>
      <c r="F1107" t="s">
        <v>659</v>
      </c>
      <c r="G1107" s="1">
        <v>43109</v>
      </c>
      <c r="H1107" s="1">
        <v>44722</v>
      </c>
      <c r="I1107" t="s">
        <v>189</v>
      </c>
      <c r="J1107">
        <v>1</v>
      </c>
      <c r="L1107" t="s">
        <v>3289</v>
      </c>
      <c r="M1107" t="s">
        <v>582</v>
      </c>
      <c r="Q1107" t="s">
        <v>260</v>
      </c>
      <c r="R1107" t="s">
        <v>261</v>
      </c>
      <c r="S1107" t="s">
        <v>261</v>
      </c>
      <c r="T1107" t="s">
        <v>261</v>
      </c>
      <c r="U1107" t="s">
        <v>261</v>
      </c>
      <c r="V1107" t="s">
        <v>262</v>
      </c>
      <c r="W1107" t="s">
        <v>261</v>
      </c>
      <c r="X1107" t="s">
        <v>261</v>
      </c>
      <c r="Y1107" t="s">
        <v>261</v>
      </c>
      <c r="Z1107" t="s">
        <v>409</v>
      </c>
      <c r="AA1107" t="s">
        <v>409</v>
      </c>
      <c r="AB1107" t="s">
        <v>409</v>
      </c>
      <c r="AC1107" t="s">
        <v>409</v>
      </c>
      <c r="AD1107" t="s">
        <v>261</v>
      </c>
      <c r="AH1107" t="s">
        <v>262</v>
      </c>
      <c r="AI1107" t="s">
        <v>262</v>
      </c>
      <c r="AJ1107" t="s">
        <v>261</v>
      </c>
      <c r="AK1107" t="s">
        <v>261</v>
      </c>
      <c r="AM1107" t="s">
        <v>262</v>
      </c>
      <c r="AN1107" t="s">
        <v>3290</v>
      </c>
    </row>
    <row r="1108" spans="1:40" x14ac:dyDescent="0.35">
      <c r="A1108">
        <v>5517374</v>
      </c>
      <c r="B1108" t="s">
        <v>3291</v>
      </c>
      <c r="C1108" t="str">
        <f>"9783110535228"</f>
        <v>9783110535228</v>
      </c>
      <c r="D1108" t="str">
        <f>"9783110536409"</f>
        <v>9783110536409</v>
      </c>
      <c r="E1108" t="s">
        <v>415</v>
      </c>
      <c r="F1108" t="s">
        <v>415</v>
      </c>
      <c r="G1108" s="1">
        <v>43731</v>
      </c>
      <c r="H1108" s="1">
        <v>44353</v>
      </c>
      <c r="I1108" t="s">
        <v>189</v>
      </c>
      <c r="J1108">
        <v>1</v>
      </c>
      <c r="K1108" t="s">
        <v>3292</v>
      </c>
      <c r="L1108" t="s">
        <v>3113</v>
      </c>
      <c r="M1108" t="s">
        <v>239</v>
      </c>
      <c r="Q1108" t="s">
        <v>260</v>
      </c>
      <c r="R1108" t="s">
        <v>261</v>
      </c>
      <c r="S1108" t="s">
        <v>261</v>
      </c>
      <c r="T1108" t="s">
        <v>261</v>
      </c>
      <c r="U1108" t="s">
        <v>261</v>
      </c>
      <c r="V1108" t="s">
        <v>262</v>
      </c>
      <c r="W1108" t="s">
        <v>261</v>
      </c>
      <c r="X1108" t="s">
        <v>261</v>
      </c>
      <c r="Y1108" t="s">
        <v>261</v>
      </c>
      <c r="Z1108" t="s">
        <v>409</v>
      </c>
      <c r="AA1108" t="s">
        <v>409</v>
      </c>
      <c r="AB1108" t="s">
        <v>409</v>
      </c>
      <c r="AC1108" t="s">
        <v>409</v>
      </c>
      <c r="AD1108" t="s">
        <v>261</v>
      </c>
      <c r="AH1108" t="s">
        <v>262</v>
      </c>
      <c r="AI1108" t="s">
        <v>262</v>
      </c>
      <c r="AJ1108" t="s">
        <v>261</v>
      </c>
      <c r="AK1108" t="s">
        <v>261</v>
      </c>
      <c r="AM1108" t="s">
        <v>262</v>
      </c>
      <c r="AN1108" t="s">
        <v>3293</v>
      </c>
    </row>
    <row r="1109" spans="1:40" x14ac:dyDescent="0.35">
      <c r="A1109">
        <v>5517379</v>
      </c>
      <c r="B1109" t="s">
        <v>3294</v>
      </c>
      <c r="C1109" t="str">
        <f>"9783110584967"</f>
        <v>9783110584967</v>
      </c>
      <c r="D1109" t="str">
        <f>"9783110584974"</f>
        <v>9783110584974</v>
      </c>
      <c r="E1109" t="s">
        <v>415</v>
      </c>
      <c r="F1109" t="s">
        <v>659</v>
      </c>
      <c r="G1109" s="1">
        <v>43109</v>
      </c>
      <c r="H1109" s="1">
        <v>44722</v>
      </c>
      <c r="I1109" t="s">
        <v>189</v>
      </c>
      <c r="J1109">
        <v>1</v>
      </c>
      <c r="L1109" t="s">
        <v>3289</v>
      </c>
      <c r="M1109" t="s">
        <v>582</v>
      </c>
      <c r="Q1109" t="s">
        <v>260</v>
      </c>
      <c r="R1109" t="s">
        <v>261</v>
      </c>
      <c r="S1109" t="s">
        <v>261</v>
      </c>
      <c r="T1109" t="s">
        <v>261</v>
      </c>
      <c r="U1109" t="s">
        <v>261</v>
      </c>
      <c r="V1109" t="s">
        <v>262</v>
      </c>
      <c r="W1109" t="s">
        <v>261</v>
      </c>
      <c r="X1109" t="s">
        <v>261</v>
      </c>
      <c r="Y1109" t="s">
        <v>261</v>
      </c>
      <c r="Z1109" t="s">
        <v>409</v>
      </c>
      <c r="AA1109" t="s">
        <v>409</v>
      </c>
      <c r="AB1109" t="s">
        <v>409</v>
      </c>
      <c r="AC1109" t="s">
        <v>409</v>
      </c>
      <c r="AD1109" t="s">
        <v>261</v>
      </c>
      <c r="AH1109" t="s">
        <v>262</v>
      </c>
      <c r="AI1109" t="s">
        <v>262</v>
      </c>
      <c r="AJ1109" t="s">
        <v>261</v>
      </c>
      <c r="AK1109" t="s">
        <v>261</v>
      </c>
      <c r="AM1109" t="s">
        <v>262</v>
      </c>
      <c r="AN1109" t="s">
        <v>3295</v>
      </c>
    </row>
    <row r="1110" spans="1:40" x14ac:dyDescent="0.35">
      <c r="A1110">
        <v>5517386</v>
      </c>
      <c r="B1110" t="s">
        <v>3296</v>
      </c>
      <c r="C1110" t="str">
        <f>"9783110576467"</f>
        <v>9783110576467</v>
      </c>
      <c r="D1110" t="str">
        <f>"9783110576498"</f>
        <v>9783110576498</v>
      </c>
      <c r="E1110" t="s">
        <v>415</v>
      </c>
      <c r="F1110" t="s">
        <v>415</v>
      </c>
      <c r="G1110" s="1">
        <v>43087</v>
      </c>
      <c r="H1110" s="1">
        <v>44077</v>
      </c>
      <c r="I1110" t="s">
        <v>189</v>
      </c>
      <c r="J1110">
        <v>1</v>
      </c>
      <c r="K1110" t="s">
        <v>354</v>
      </c>
      <c r="L1110" t="s">
        <v>584</v>
      </c>
      <c r="M1110" t="s">
        <v>239</v>
      </c>
      <c r="Q1110" t="s">
        <v>260</v>
      </c>
      <c r="R1110" t="s">
        <v>261</v>
      </c>
      <c r="S1110" t="s">
        <v>261</v>
      </c>
      <c r="T1110" t="s">
        <v>261</v>
      </c>
      <c r="U1110" t="s">
        <v>261</v>
      </c>
      <c r="V1110" t="s">
        <v>262</v>
      </c>
      <c r="W1110" t="s">
        <v>261</v>
      </c>
      <c r="X1110" t="s">
        <v>261</v>
      </c>
      <c r="Y1110" t="s">
        <v>261</v>
      </c>
      <c r="Z1110" t="s">
        <v>409</v>
      </c>
      <c r="AA1110" t="s">
        <v>409</v>
      </c>
      <c r="AB1110" t="s">
        <v>409</v>
      </c>
      <c r="AC1110" t="s">
        <v>409</v>
      </c>
      <c r="AD1110" t="s">
        <v>261</v>
      </c>
      <c r="AH1110" t="s">
        <v>262</v>
      </c>
      <c r="AI1110" t="s">
        <v>262</v>
      </c>
      <c r="AJ1110" t="s">
        <v>261</v>
      </c>
      <c r="AK1110" t="s">
        <v>261</v>
      </c>
      <c r="AM1110" t="s">
        <v>262</v>
      </c>
      <c r="AN1110" t="s">
        <v>3297</v>
      </c>
    </row>
    <row r="1111" spans="1:40" x14ac:dyDescent="0.35">
      <c r="A1111">
        <v>5520790</v>
      </c>
      <c r="B1111" t="s">
        <v>3298</v>
      </c>
      <c r="C1111" t="str">
        <f>"9781478000990"</f>
        <v>9781478000990</v>
      </c>
      <c r="D1111" t="str">
        <f>"9781478002505"</f>
        <v>9781478002505</v>
      </c>
      <c r="E1111" t="s">
        <v>687</v>
      </c>
      <c r="F1111" t="s">
        <v>687</v>
      </c>
      <c r="G1111" s="1">
        <v>43389</v>
      </c>
      <c r="H1111" s="1">
        <v>43365</v>
      </c>
      <c r="I1111" t="s">
        <v>189</v>
      </c>
      <c r="J1111">
        <v>1</v>
      </c>
      <c r="L1111" t="s">
        <v>3299</v>
      </c>
      <c r="M1111" t="s">
        <v>210</v>
      </c>
      <c r="N1111" t="s">
        <v>3300</v>
      </c>
      <c r="O1111" s="2">
        <v>322209663</v>
      </c>
      <c r="Q1111" t="s">
        <v>260</v>
      </c>
      <c r="R1111" t="s">
        <v>261</v>
      </c>
      <c r="S1111" t="s">
        <v>261</v>
      </c>
      <c r="T1111" t="s">
        <v>261</v>
      </c>
      <c r="U1111" t="s">
        <v>261</v>
      </c>
      <c r="V1111" t="s">
        <v>262</v>
      </c>
      <c r="W1111" t="s">
        <v>261</v>
      </c>
      <c r="X1111" t="s">
        <v>261</v>
      </c>
      <c r="Y1111" t="s">
        <v>261</v>
      </c>
      <c r="Z1111" t="s">
        <v>409</v>
      </c>
      <c r="AB1111" t="s">
        <v>409</v>
      </c>
      <c r="AC1111" t="s">
        <v>409</v>
      </c>
      <c r="AD1111" t="s">
        <v>262</v>
      </c>
      <c r="AH1111" t="s">
        <v>262</v>
      </c>
      <c r="AI1111" t="s">
        <v>262</v>
      </c>
      <c r="AJ1111" t="s">
        <v>261</v>
      </c>
      <c r="AK1111" t="s">
        <v>261</v>
      </c>
      <c r="AM1111" t="s">
        <v>262</v>
      </c>
      <c r="AN1111" t="s">
        <v>3301</v>
      </c>
    </row>
    <row r="1112" spans="1:40" x14ac:dyDescent="0.35">
      <c r="A1112">
        <v>5521034</v>
      </c>
      <c r="B1112" t="s">
        <v>3302</v>
      </c>
      <c r="C1112" t="str">
        <f>"9781438471457"</f>
        <v>9781438471457</v>
      </c>
      <c r="D1112" t="str">
        <f>"9781438471471"</f>
        <v>9781438471471</v>
      </c>
      <c r="E1112" t="s">
        <v>2073</v>
      </c>
      <c r="F1112" t="s">
        <v>2074</v>
      </c>
      <c r="G1112" s="1">
        <v>43374</v>
      </c>
      <c r="H1112" s="1">
        <v>43366</v>
      </c>
      <c r="I1112" t="s">
        <v>189</v>
      </c>
      <c r="J1112">
        <v>1</v>
      </c>
      <c r="K1112" t="s">
        <v>3303</v>
      </c>
      <c r="L1112" t="s">
        <v>3304</v>
      </c>
      <c r="M1112" t="s">
        <v>199</v>
      </c>
      <c r="Q1112" t="s">
        <v>260</v>
      </c>
      <c r="R1112" t="s">
        <v>261</v>
      </c>
      <c r="S1112" t="s">
        <v>261</v>
      </c>
      <c r="T1112" t="s">
        <v>261</v>
      </c>
      <c r="U1112" t="s">
        <v>261</v>
      </c>
      <c r="V1112" t="s">
        <v>262</v>
      </c>
      <c r="W1112" t="s">
        <v>261</v>
      </c>
      <c r="X1112" t="s">
        <v>261</v>
      </c>
      <c r="Y1112" t="s">
        <v>261</v>
      </c>
      <c r="Z1112" t="s">
        <v>409</v>
      </c>
      <c r="AA1112" t="s">
        <v>409</v>
      </c>
      <c r="AB1112" t="s">
        <v>409</v>
      </c>
      <c r="AC1112" t="s">
        <v>409</v>
      </c>
      <c r="AD1112" t="s">
        <v>262</v>
      </c>
      <c r="AH1112" t="s">
        <v>262</v>
      </c>
      <c r="AI1112" t="s">
        <v>262</v>
      </c>
      <c r="AJ1112" t="s">
        <v>261</v>
      </c>
      <c r="AK1112" t="s">
        <v>261</v>
      </c>
      <c r="AM1112" t="s">
        <v>262</v>
      </c>
      <c r="AN1112" t="s">
        <v>3305</v>
      </c>
    </row>
    <row r="1113" spans="1:40" x14ac:dyDescent="0.35">
      <c r="A1113">
        <v>5521576</v>
      </c>
      <c r="B1113" t="s">
        <v>3306</v>
      </c>
      <c r="C1113" t="str">
        <f>"9789089648921"</f>
        <v>9789089648921</v>
      </c>
      <c r="D1113" t="str">
        <f>"9789048527564"</f>
        <v>9789048527564</v>
      </c>
      <c r="E1113" t="s">
        <v>361</v>
      </c>
      <c r="F1113" t="s">
        <v>361</v>
      </c>
      <c r="G1113" s="1">
        <v>43146</v>
      </c>
      <c r="H1113" s="1">
        <v>43368</v>
      </c>
      <c r="I1113" t="s">
        <v>189</v>
      </c>
      <c r="J1113">
        <v>1</v>
      </c>
      <c r="K1113" t="s">
        <v>3307</v>
      </c>
      <c r="L1113" t="s">
        <v>3308</v>
      </c>
    </row>
    <row r="1114" spans="1:40" x14ac:dyDescent="0.35">
      <c r="A1114">
        <v>5522669</v>
      </c>
      <c r="B1114" t="s">
        <v>3309</v>
      </c>
      <c r="C1114" t="str">
        <f>"9781618117533"</f>
        <v>9781618117533</v>
      </c>
      <c r="D1114" t="str">
        <f>"9781618117540"</f>
        <v>9781618117540</v>
      </c>
      <c r="E1114" t="s">
        <v>1592</v>
      </c>
      <c r="F1114" t="s">
        <v>1592</v>
      </c>
      <c r="G1114" s="1">
        <v>43423</v>
      </c>
      <c r="H1114" s="1">
        <v>43382</v>
      </c>
      <c r="I1114" t="s">
        <v>189</v>
      </c>
      <c r="J1114">
        <v>1</v>
      </c>
      <c r="L1114" t="s">
        <v>1721</v>
      </c>
    </row>
    <row r="1115" spans="1:40" x14ac:dyDescent="0.35">
      <c r="A1115">
        <v>5525591</v>
      </c>
      <c r="B1115" t="s">
        <v>3310</v>
      </c>
      <c r="C1115" t="str">
        <f>"9783110562071"</f>
        <v>9783110562071</v>
      </c>
      <c r="D1115" t="str">
        <f>"9783110562088"</f>
        <v>9783110562088</v>
      </c>
      <c r="E1115" t="s">
        <v>415</v>
      </c>
      <c r="F1115" t="s">
        <v>415</v>
      </c>
      <c r="G1115" s="1">
        <v>43815</v>
      </c>
      <c r="H1115" s="1">
        <v>44353</v>
      </c>
      <c r="I1115" t="s">
        <v>189</v>
      </c>
      <c r="J1115">
        <v>1</v>
      </c>
      <c r="L1115" t="s">
        <v>3311</v>
      </c>
      <c r="M1115" t="s">
        <v>676</v>
      </c>
      <c r="Q1115" t="s">
        <v>260</v>
      </c>
      <c r="R1115" t="s">
        <v>261</v>
      </c>
      <c r="S1115" t="s">
        <v>261</v>
      </c>
      <c r="T1115" t="s">
        <v>261</v>
      </c>
      <c r="U1115" t="s">
        <v>261</v>
      </c>
      <c r="V1115" t="s">
        <v>262</v>
      </c>
      <c r="W1115" t="s">
        <v>261</v>
      </c>
      <c r="X1115" t="s">
        <v>261</v>
      </c>
      <c r="Y1115" t="s">
        <v>261</v>
      </c>
      <c r="Z1115" t="s">
        <v>409</v>
      </c>
      <c r="AA1115" t="s">
        <v>409</v>
      </c>
      <c r="AB1115" t="s">
        <v>409</v>
      </c>
      <c r="AC1115" t="s">
        <v>409</v>
      </c>
      <c r="AD1115" t="s">
        <v>261</v>
      </c>
      <c r="AH1115" t="s">
        <v>262</v>
      </c>
      <c r="AI1115" t="s">
        <v>262</v>
      </c>
      <c r="AJ1115" t="s">
        <v>261</v>
      </c>
      <c r="AK1115" t="s">
        <v>261</v>
      </c>
      <c r="AM1115" t="s">
        <v>262</v>
      </c>
      <c r="AN1115" t="s">
        <v>3312</v>
      </c>
    </row>
    <row r="1116" spans="1:40" x14ac:dyDescent="0.35">
      <c r="A1116">
        <v>5525603</v>
      </c>
      <c r="B1116" t="s">
        <v>3313</v>
      </c>
      <c r="C1116" t="str">
        <f>"9783110486919"</f>
        <v>9783110486919</v>
      </c>
      <c r="D1116" t="str">
        <f>"9783110519662"</f>
        <v>9783110519662</v>
      </c>
      <c r="E1116" t="s">
        <v>415</v>
      </c>
      <c r="F1116" t="s">
        <v>415</v>
      </c>
      <c r="G1116" s="1">
        <v>43927</v>
      </c>
      <c r="H1116" s="1">
        <v>44353</v>
      </c>
      <c r="I1116" t="s">
        <v>189</v>
      </c>
      <c r="J1116">
        <v>1</v>
      </c>
      <c r="K1116" t="s">
        <v>2641</v>
      </c>
      <c r="L1116" t="s">
        <v>3314</v>
      </c>
      <c r="M1116" t="s">
        <v>578</v>
      </c>
    </row>
    <row r="1117" spans="1:40" x14ac:dyDescent="0.35">
      <c r="A1117">
        <v>5525610</v>
      </c>
      <c r="B1117" t="s">
        <v>3315</v>
      </c>
      <c r="C1117" t="str">
        <f>"9783110557572"</f>
        <v>9783110557572</v>
      </c>
      <c r="D1117" t="str">
        <f>"9783110557596"</f>
        <v>9783110557596</v>
      </c>
      <c r="E1117" t="s">
        <v>415</v>
      </c>
      <c r="F1117" t="s">
        <v>415</v>
      </c>
      <c r="G1117" s="1">
        <v>43927</v>
      </c>
      <c r="H1117" s="1">
        <v>44353</v>
      </c>
      <c r="I1117" t="s">
        <v>189</v>
      </c>
      <c r="J1117">
        <v>1</v>
      </c>
      <c r="L1117" t="s">
        <v>3316</v>
      </c>
    </row>
    <row r="1118" spans="1:40" x14ac:dyDescent="0.35">
      <c r="A1118">
        <v>5525620</v>
      </c>
      <c r="B1118" t="s">
        <v>3317</v>
      </c>
      <c r="C1118" t="str">
        <f>"9781501513633"</f>
        <v>9781501513633</v>
      </c>
      <c r="D1118" t="str">
        <f>"9781501504914"</f>
        <v>9781501504914</v>
      </c>
      <c r="E1118" t="s">
        <v>346</v>
      </c>
      <c r="F1118" t="s">
        <v>346</v>
      </c>
      <c r="G1118" s="1">
        <v>43290</v>
      </c>
      <c r="H1118" s="1">
        <v>44722</v>
      </c>
      <c r="I1118" t="s">
        <v>189</v>
      </c>
      <c r="J1118">
        <v>1</v>
      </c>
      <c r="L1118" t="s">
        <v>3318</v>
      </c>
      <c r="M1118" t="s">
        <v>239</v>
      </c>
    </row>
    <row r="1119" spans="1:40" x14ac:dyDescent="0.35">
      <c r="A1119">
        <v>5525630</v>
      </c>
      <c r="B1119" t="s">
        <v>3319</v>
      </c>
      <c r="C1119" t="str">
        <f>"9783110565317"</f>
        <v>9783110565317</v>
      </c>
      <c r="D1119" t="str">
        <f>"9783110568509"</f>
        <v>9783110568509</v>
      </c>
      <c r="E1119" t="s">
        <v>415</v>
      </c>
      <c r="F1119" t="s">
        <v>415</v>
      </c>
      <c r="G1119" s="1">
        <v>43059</v>
      </c>
      <c r="H1119" s="1">
        <v>44077</v>
      </c>
      <c r="I1119" t="s">
        <v>189</v>
      </c>
      <c r="J1119">
        <v>1</v>
      </c>
      <c r="K1119" t="s">
        <v>3320</v>
      </c>
      <c r="L1119" t="s">
        <v>3321</v>
      </c>
      <c r="M1119" t="s">
        <v>239</v>
      </c>
    </row>
    <row r="1120" spans="1:40" x14ac:dyDescent="0.35">
      <c r="A1120">
        <v>5525636</v>
      </c>
      <c r="B1120" t="s">
        <v>3322</v>
      </c>
      <c r="C1120" t="str">
        <f>"9781501515279"</f>
        <v>9781501515279</v>
      </c>
      <c r="D1120" t="str">
        <f>"9781501506550"</f>
        <v>9781501506550</v>
      </c>
      <c r="E1120" t="s">
        <v>415</v>
      </c>
      <c r="F1120" t="s">
        <v>415</v>
      </c>
      <c r="G1120" s="1">
        <v>44130</v>
      </c>
      <c r="H1120" s="1">
        <v>44353</v>
      </c>
      <c r="I1120" t="s">
        <v>189</v>
      </c>
      <c r="J1120">
        <v>1</v>
      </c>
      <c r="L1120" t="s">
        <v>3323</v>
      </c>
    </row>
    <row r="1121" spans="1:40" x14ac:dyDescent="0.35">
      <c r="A1121">
        <v>5525674</v>
      </c>
      <c r="B1121" t="s">
        <v>3324</v>
      </c>
      <c r="C1121" t="str">
        <f>"9783110560879"</f>
        <v>9783110560879</v>
      </c>
      <c r="D1121" t="str">
        <f>"9783110563320"</f>
        <v>9783110563320</v>
      </c>
      <c r="E1121" t="s">
        <v>346</v>
      </c>
      <c r="F1121" t="s">
        <v>346</v>
      </c>
      <c r="G1121" s="1">
        <v>43087</v>
      </c>
      <c r="H1121" s="1">
        <v>44077</v>
      </c>
      <c r="I1121" t="s">
        <v>189</v>
      </c>
      <c r="J1121">
        <v>1</v>
      </c>
      <c r="L1121" t="s">
        <v>3325</v>
      </c>
    </row>
    <row r="1122" spans="1:40" x14ac:dyDescent="0.35">
      <c r="A1122">
        <v>5525717</v>
      </c>
      <c r="B1122" t="s">
        <v>3326</v>
      </c>
      <c r="C1122" t="str">
        <f>"9783110549522"</f>
        <v>9783110549522</v>
      </c>
      <c r="D1122" t="str">
        <f>"9783110549577"</f>
        <v>9783110549577</v>
      </c>
      <c r="E1122" t="s">
        <v>415</v>
      </c>
      <c r="F1122" t="s">
        <v>415</v>
      </c>
      <c r="G1122" s="1">
        <v>43164</v>
      </c>
      <c r="H1122" s="1">
        <v>44077</v>
      </c>
      <c r="I1122" t="s">
        <v>189</v>
      </c>
      <c r="J1122">
        <v>1</v>
      </c>
      <c r="K1122" t="s">
        <v>3327</v>
      </c>
      <c r="L1122" t="s">
        <v>3253</v>
      </c>
    </row>
    <row r="1123" spans="1:40" x14ac:dyDescent="0.35">
      <c r="A1123">
        <v>5525745</v>
      </c>
      <c r="B1123" t="s">
        <v>3328</v>
      </c>
      <c r="C1123" t="str">
        <f>"9783110060157"</f>
        <v>9783110060157</v>
      </c>
      <c r="D1123" t="str">
        <f>"9783110903249"</f>
        <v>9783110903249</v>
      </c>
      <c r="E1123" t="s">
        <v>346</v>
      </c>
      <c r="F1123" t="s">
        <v>346</v>
      </c>
      <c r="G1123" s="1">
        <v>25385</v>
      </c>
      <c r="H1123" s="1">
        <v>44722</v>
      </c>
      <c r="I1123" t="s">
        <v>189</v>
      </c>
      <c r="J1123">
        <v>1</v>
      </c>
      <c r="K1123" t="s">
        <v>552</v>
      </c>
      <c r="L1123" t="s">
        <v>3329</v>
      </c>
    </row>
    <row r="1124" spans="1:40" x14ac:dyDescent="0.35">
      <c r="A1124">
        <v>5527493</v>
      </c>
      <c r="B1124" t="s">
        <v>3330</v>
      </c>
      <c r="C1124" t="str">
        <f>"9780822370482"</f>
        <v>9780822370482</v>
      </c>
      <c r="D1124" t="str">
        <f>"9780822371991"</f>
        <v>9780822371991</v>
      </c>
      <c r="E1124" t="s">
        <v>687</v>
      </c>
      <c r="F1124" t="s">
        <v>687</v>
      </c>
      <c r="G1124" s="1">
        <v>43399</v>
      </c>
      <c r="H1124" s="1">
        <v>43372</v>
      </c>
      <c r="I1124" t="s">
        <v>189</v>
      </c>
      <c r="J1124">
        <v>1</v>
      </c>
      <c r="L1124" t="s">
        <v>3331</v>
      </c>
    </row>
    <row r="1125" spans="1:40" x14ac:dyDescent="0.35">
      <c r="A1125">
        <v>5527494</v>
      </c>
      <c r="B1125" t="s">
        <v>3332</v>
      </c>
      <c r="C1125" t="str">
        <f>"9781783744954"</f>
        <v>9781783744954</v>
      </c>
      <c r="D1125" t="str">
        <f>"9781783744961"</f>
        <v>9781783744961</v>
      </c>
      <c r="E1125" t="s">
        <v>1807</v>
      </c>
      <c r="F1125" t="s">
        <v>1807</v>
      </c>
      <c r="G1125" s="1">
        <v>43350</v>
      </c>
      <c r="H1125" s="1">
        <v>43372</v>
      </c>
      <c r="I1125" t="s">
        <v>189</v>
      </c>
      <c r="J1125">
        <v>1</v>
      </c>
      <c r="L1125" t="s">
        <v>3333</v>
      </c>
      <c r="M1125" t="s">
        <v>239</v>
      </c>
      <c r="Q1125" t="s">
        <v>260</v>
      </c>
      <c r="R1125" t="s">
        <v>261</v>
      </c>
      <c r="S1125" t="s">
        <v>261</v>
      </c>
      <c r="T1125" t="s">
        <v>261</v>
      </c>
      <c r="U1125" t="s">
        <v>261</v>
      </c>
      <c r="V1125" t="s">
        <v>262</v>
      </c>
      <c r="W1125" t="s">
        <v>261</v>
      </c>
      <c r="X1125" t="s">
        <v>261</v>
      </c>
      <c r="Y1125" t="s">
        <v>261</v>
      </c>
      <c r="Z1125" t="s">
        <v>409</v>
      </c>
      <c r="AA1125" t="s">
        <v>409</v>
      </c>
      <c r="AB1125" t="s">
        <v>409</v>
      </c>
      <c r="AC1125" t="s">
        <v>409</v>
      </c>
      <c r="AD1125" t="s">
        <v>262</v>
      </c>
      <c r="AE1125">
        <v>11613462</v>
      </c>
      <c r="AH1125" t="s">
        <v>262</v>
      </c>
      <c r="AI1125" t="s">
        <v>262</v>
      </c>
      <c r="AJ1125" t="s">
        <v>261</v>
      </c>
      <c r="AK1125" t="s">
        <v>261</v>
      </c>
      <c r="AM1125" t="s">
        <v>262</v>
      </c>
      <c r="AN1125" t="s">
        <v>3334</v>
      </c>
    </row>
    <row r="1126" spans="1:40" x14ac:dyDescent="0.35">
      <c r="A1126">
        <v>5527495</v>
      </c>
      <c r="B1126" t="s">
        <v>3335</v>
      </c>
      <c r="C1126" t="str">
        <f>"9781783745128"</f>
        <v>9781783745128</v>
      </c>
      <c r="D1126" t="str">
        <f>"9781783745135"</f>
        <v>9781783745135</v>
      </c>
      <c r="E1126" t="s">
        <v>1807</v>
      </c>
      <c r="F1126" t="s">
        <v>1807</v>
      </c>
      <c r="G1126" s="1">
        <v>43367</v>
      </c>
      <c r="H1126" s="1">
        <v>43372</v>
      </c>
      <c r="I1126" t="s">
        <v>189</v>
      </c>
      <c r="J1126">
        <v>1</v>
      </c>
      <c r="L1126" t="s">
        <v>3336</v>
      </c>
      <c r="M1126" t="s">
        <v>239</v>
      </c>
    </row>
    <row r="1127" spans="1:40" x14ac:dyDescent="0.35">
      <c r="A1127">
        <v>5527496</v>
      </c>
      <c r="B1127" t="s">
        <v>3337</v>
      </c>
      <c r="C1127" t="str">
        <f>"9781783745227"</f>
        <v>9781783745227</v>
      </c>
      <c r="D1127" t="str">
        <f>"9781783745234"</f>
        <v>9781783745234</v>
      </c>
      <c r="E1127" t="s">
        <v>1807</v>
      </c>
      <c r="F1127" t="s">
        <v>1807</v>
      </c>
      <c r="G1127" s="1">
        <v>43340</v>
      </c>
      <c r="H1127" s="1">
        <v>43372</v>
      </c>
      <c r="I1127" t="s">
        <v>189</v>
      </c>
      <c r="J1127">
        <v>1</v>
      </c>
      <c r="L1127" t="s">
        <v>3200</v>
      </c>
      <c r="M1127" t="s">
        <v>219</v>
      </c>
      <c r="O1127" t="s">
        <v>3201</v>
      </c>
      <c r="Q1127" t="s">
        <v>260</v>
      </c>
      <c r="R1127" t="s">
        <v>261</v>
      </c>
      <c r="S1127" t="s">
        <v>261</v>
      </c>
      <c r="T1127" t="s">
        <v>261</v>
      </c>
      <c r="U1127" t="s">
        <v>261</v>
      </c>
      <c r="V1127" t="s">
        <v>262</v>
      </c>
      <c r="W1127" t="s">
        <v>261</v>
      </c>
      <c r="X1127" t="s">
        <v>261</v>
      </c>
      <c r="Y1127" t="s">
        <v>261</v>
      </c>
      <c r="Z1127" t="s">
        <v>409</v>
      </c>
      <c r="AA1127" t="s">
        <v>409</v>
      </c>
      <c r="AB1127" t="s">
        <v>409</v>
      </c>
      <c r="AC1127" t="s">
        <v>409</v>
      </c>
      <c r="AD1127" t="s">
        <v>262</v>
      </c>
      <c r="AE1127">
        <v>11613464</v>
      </c>
      <c r="AH1127" t="s">
        <v>262</v>
      </c>
      <c r="AI1127" t="s">
        <v>262</v>
      </c>
      <c r="AJ1127" t="s">
        <v>261</v>
      </c>
      <c r="AK1127" t="s">
        <v>261</v>
      </c>
      <c r="AM1127" t="s">
        <v>262</v>
      </c>
      <c r="AN1127" t="s">
        <v>3338</v>
      </c>
    </row>
    <row r="1128" spans="1:40" x14ac:dyDescent="0.35">
      <c r="A1128">
        <v>5527497</v>
      </c>
      <c r="B1128" t="s">
        <v>3339</v>
      </c>
      <c r="C1128" t="str">
        <f>"9781783745555"</f>
        <v>9781783745555</v>
      </c>
      <c r="D1128" t="str">
        <f>"9781783745562"</f>
        <v>9781783745562</v>
      </c>
      <c r="E1128" t="s">
        <v>1807</v>
      </c>
      <c r="F1128" t="s">
        <v>1807</v>
      </c>
      <c r="G1128" s="1">
        <v>43343</v>
      </c>
      <c r="H1128" s="1">
        <v>43372</v>
      </c>
      <c r="I1128" t="s">
        <v>189</v>
      </c>
      <c r="J1128">
        <v>1</v>
      </c>
      <c r="L1128" t="s">
        <v>3340</v>
      </c>
    </row>
    <row r="1129" spans="1:40" x14ac:dyDescent="0.35">
      <c r="A1129">
        <v>5527498</v>
      </c>
      <c r="B1129" t="s">
        <v>3341</v>
      </c>
      <c r="C1129" t="str">
        <f>"9781783745906"</f>
        <v>9781783745906</v>
      </c>
      <c r="D1129" t="str">
        <f>"9781783745913"</f>
        <v>9781783745913</v>
      </c>
      <c r="E1129" t="s">
        <v>1807</v>
      </c>
      <c r="F1129" t="s">
        <v>1807</v>
      </c>
      <c r="G1129" s="1">
        <v>43346</v>
      </c>
      <c r="H1129" s="1">
        <v>43372</v>
      </c>
      <c r="I1129" t="s">
        <v>189</v>
      </c>
      <c r="J1129">
        <v>1</v>
      </c>
      <c r="K1129" t="s">
        <v>1857</v>
      </c>
      <c r="L1129" t="s">
        <v>1858</v>
      </c>
      <c r="M1129" t="s">
        <v>219</v>
      </c>
      <c r="Q1129" t="s">
        <v>260</v>
      </c>
      <c r="R1129" t="s">
        <v>261</v>
      </c>
      <c r="S1129" t="s">
        <v>261</v>
      </c>
      <c r="T1129" t="s">
        <v>261</v>
      </c>
      <c r="U1129" t="s">
        <v>261</v>
      </c>
      <c r="V1129" t="s">
        <v>262</v>
      </c>
      <c r="W1129" t="s">
        <v>261</v>
      </c>
      <c r="X1129" t="s">
        <v>261</v>
      </c>
      <c r="Y1129" t="s">
        <v>261</v>
      </c>
      <c r="Z1129" t="s">
        <v>409</v>
      </c>
      <c r="AA1129" t="s">
        <v>409</v>
      </c>
      <c r="AB1129" t="s">
        <v>409</v>
      </c>
      <c r="AC1129" t="s">
        <v>409</v>
      </c>
      <c r="AD1129" t="s">
        <v>262</v>
      </c>
      <c r="AE1129">
        <v>11613466</v>
      </c>
      <c r="AH1129" t="s">
        <v>262</v>
      </c>
      <c r="AI1129" t="s">
        <v>262</v>
      </c>
      <c r="AJ1129" t="s">
        <v>261</v>
      </c>
      <c r="AK1129" t="s">
        <v>261</v>
      </c>
      <c r="AM1129" t="s">
        <v>262</v>
      </c>
      <c r="AN1129" t="s">
        <v>3342</v>
      </c>
    </row>
    <row r="1130" spans="1:40" x14ac:dyDescent="0.35">
      <c r="A1130">
        <v>5527552</v>
      </c>
      <c r="B1130" t="s">
        <v>3343</v>
      </c>
      <c r="C1130" t="str">
        <f>"9781438471310"</f>
        <v>9781438471310</v>
      </c>
      <c r="D1130" t="str">
        <f>"9781438471327"</f>
        <v>9781438471327</v>
      </c>
      <c r="E1130" t="s">
        <v>2073</v>
      </c>
      <c r="F1130" t="s">
        <v>2074</v>
      </c>
      <c r="G1130" s="1">
        <v>43374</v>
      </c>
      <c r="H1130" s="1">
        <v>43372</v>
      </c>
      <c r="I1130" t="s">
        <v>189</v>
      </c>
      <c r="J1130">
        <v>1</v>
      </c>
      <c r="K1130" t="s">
        <v>2075</v>
      </c>
      <c r="L1130" t="s">
        <v>3344</v>
      </c>
    </row>
    <row r="1131" spans="1:40" x14ac:dyDescent="0.35">
      <c r="A1131">
        <v>5530535</v>
      </c>
      <c r="B1131" t="s">
        <v>3345</v>
      </c>
      <c r="C1131" t="str">
        <f>"9781501514487"</f>
        <v>9781501514487</v>
      </c>
      <c r="D1131" t="str">
        <f>"9781501505294"</f>
        <v>9781501505294</v>
      </c>
      <c r="E1131" t="s">
        <v>346</v>
      </c>
      <c r="F1131" t="s">
        <v>2637</v>
      </c>
      <c r="G1131" s="1">
        <v>43787</v>
      </c>
      <c r="H1131" s="1">
        <v>44353</v>
      </c>
      <c r="I1131" t="s">
        <v>189</v>
      </c>
      <c r="J1131">
        <v>1</v>
      </c>
      <c r="K1131" t="s">
        <v>3258</v>
      </c>
      <c r="L1131" t="s">
        <v>3346</v>
      </c>
      <c r="M1131" t="s">
        <v>578</v>
      </c>
    </row>
    <row r="1132" spans="1:40" x14ac:dyDescent="0.35">
      <c r="A1132">
        <v>5535321</v>
      </c>
      <c r="B1132" t="s">
        <v>3347</v>
      </c>
      <c r="C1132" t="str">
        <f>"9783110529944"</f>
        <v>9783110529944</v>
      </c>
      <c r="D1132" t="str">
        <f>"9783110532241"</f>
        <v>9783110532241</v>
      </c>
      <c r="E1132" t="s">
        <v>415</v>
      </c>
      <c r="F1132" t="s">
        <v>665</v>
      </c>
      <c r="G1132" s="1">
        <v>43031</v>
      </c>
      <c r="H1132" s="1">
        <v>44077</v>
      </c>
      <c r="I1132" t="s">
        <v>189</v>
      </c>
      <c r="J1132">
        <v>1</v>
      </c>
      <c r="L1132" t="s">
        <v>3348</v>
      </c>
    </row>
    <row r="1133" spans="1:40" x14ac:dyDescent="0.35">
      <c r="A1133">
        <v>5535408</v>
      </c>
      <c r="B1133" t="s">
        <v>3349</v>
      </c>
      <c r="C1133" t="str">
        <f>"9783110476538"</f>
        <v>9783110476538</v>
      </c>
      <c r="D1133" t="str">
        <f>"9783110478068"</f>
        <v>9783110478068</v>
      </c>
      <c r="E1133" t="s">
        <v>415</v>
      </c>
      <c r="F1133" t="s">
        <v>415</v>
      </c>
      <c r="G1133" s="1">
        <v>43304</v>
      </c>
      <c r="H1133" s="1">
        <v>44722</v>
      </c>
      <c r="I1133" t="s">
        <v>189</v>
      </c>
      <c r="J1133">
        <v>1</v>
      </c>
      <c r="K1133" t="s">
        <v>3350</v>
      </c>
      <c r="L1133" t="s">
        <v>3351</v>
      </c>
      <c r="M1133" t="s">
        <v>210</v>
      </c>
    </row>
    <row r="1134" spans="1:40" x14ac:dyDescent="0.35">
      <c r="A1134">
        <v>5557554</v>
      </c>
      <c r="B1134" t="s">
        <v>3352</v>
      </c>
      <c r="C1134" t="str">
        <f>"9783110570366"</f>
        <v>9783110570366</v>
      </c>
      <c r="D1134" t="str">
        <f>"9783110574289"</f>
        <v>9783110574289</v>
      </c>
      <c r="E1134" t="s">
        <v>415</v>
      </c>
      <c r="F1134" t="s">
        <v>415</v>
      </c>
      <c r="G1134" s="1">
        <v>43087</v>
      </c>
      <c r="H1134" s="1">
        <v>44077</v>
      </c>
      <c r="I1134" t="s">
        <v>189</v>
      </c>
      <c r="J1134">
        <v>1</v>
      </c>
      <c r="K1134" t="s">
        <v>1159</v>
      </c>
      <c r="L1134" t="s">
        <v>3353</v>
      </c>
      <c r="M1134" t="s">
        <v>578</v>
      </c>
    </row>
    <row r="1135" spans="1:40" x14ac:dyDescent="0.35">
      <c r="A1135">
        <v>5557660</v>
      </c>
      <c r="B1135" t="s">
        <v>3354</v>
      </c>
      <c r="C1135" t="str">
        <f>"9783110471830"</f>
        <v>9783110471830</v>
      </c>
      <c r="D1135" t="str">
        <f>"9783110534849"</f>
        <v>9783110534849</v>
      </c>
      <c r="E1135" t="s">
        <v>415</v>
      </c>
      <c r="F1135" t="s">
        <v>415</v>
      </c>
      <c r="G1135" s="1">
        <v>43073</v>
      </c>
      <c r="H1135" s="1">
        <v>44077</v>
      </c>
      <c r="I1135" t="s">
        <v>189</v>
      </c>
      <c r="J1135">
        <v>1</v>
      </c>
      <c r="K1135" t="s">
        <v>1159</v>
      </c>
      <c r="L1135" t="s">
        <v>3355</v>
      </c>
      <c r="M1135" t="s">
        <v>239</v>
      </c>
    </row>
    <row r="1136" spans="1:40" x14ac:dyDescent="0.35">
      <c r="A1136">
        <v>5560069</v>
      </c>
      <c r="B1136" t="s">
        <v>3356</v>
      </c>
      <c r="C1136" t="str">
        <f>"9781478000617"</f>
        <v>9781478000617</v>
      </c>
      <c r="D1136" t="str">
        <f>"9781478002284"</f>
        <v>9781478002284</v>
      </c>
      <c r="E1136" t="s">
        <v>687</v>
      </c>
      <c r="F1136" t="s">
        <v>687</v>
      </c>
      <c r="G1136" s="1">
        <v>43434</v>
      </c>
      <c r="H1136" s="1">
        <v>43395</v>
      </c>
      <c r="I1136" t="s">
        <v>189</v>
      </c>
      <c r="J1136">
        <v>1</v>
      </c>
      <c r="L1136" t="s">
        <v>3357</v>
      </c>
      <c r="M1136" t="s">
        <v>329</v>
      </c>
      <c r="N1136" t="s">
        <v>3358</v>
      </c>
      <c r="Q1136" t="s">
        <v>260</v>
      </c>
      <c r="R1136" t="s">
        <v>262</v>
      </c>
      <c r="S1136" t="s">
        <v>261</v>
      </c>
      <c r="T1136" t="s">
        <v>261</v>
      </c>
      <c r="U1136" t="s">
        <v>262</v>
      </c>
      <c r="V1136" t="s">
        <v>262</v>
      </c>
      <c r="W1136" t="s">
        <v>261</v>
      </c>
      <c r="X1136" t="s">
        <v>262</v>
      </c>
      <c r="Y1136" t="s">
        <v>262</v>
      </c>
      <c r="Z1136" t="s">
        <v>3359</v>
      </c>
      <c r="AB1136" t="s">
        <v>3360</v>
      </c>
      <c r="AC1136" t="s">
        <v>3359</v>
      </c>
      <c r="AD1136" t="s">
        <v>262</v>
      </c>
      <c r="AH1136" t="s">
        <v>262</v>
      </c>
      <c r="AI1136" t="s">
        <v>261</v>
      </c>
      <c r="AJ1136" t="s">
        <v>261</v>
      </c>
      <c r="AK1136" t="s">
        <v>261</v>
      </c>
      <c r="AM1136" t="s">
        <v>262</v>
      </c>
      <c r="AN1136" t="s">
        <v>3361</v>
      </c>
    </row>
    <row r="1137" spans="1:40" x14ac:dyDescent="0.35">
      <c r="A1137">
        <v>5561647</v>
      </c>
      <c r="B1137" t="s">
        <v>3362</v>
      </c>
      <c r="C1137" t="str">
        <f>"9783486567205"</f>
        <v>9783486567205</v>
      </c>
      <c r="D1137" t="str">
        <f>"9783486833980"</f>
        <v>9783486833980</v>
      </c>
      <c r="E1137" t="s">
        <v>415</v>
      </c>
      <c r="F1137" t="s">
        <v>665</v>
      </c>
      <c r="G1137" s="1">
        <v>37832</v>
      </c>
      <c r="H1137" s="1">
        <v>44722</v>
      </c>
      <c r="I1137" t="s">
        <v>189</v>
      </c>
      <c r="J1137">
        <v>1</v>
      </c>
      <c r="K1137" t="s">
        <v>997</v>
      </c>
      <c r="L1137" t="s">
        <v>3363</v>
      </c>
      <c r="M1137" t="s">
        <v>389</v>
      </c>
      <c r="N1137" t="s">
        <v>3364</v>
      </c>
      <c r="Q1137" t="s">
        <v>408</v>
      </c>
      <c r="R1137" t="s">
        <v>261</v>
      </c>
      <c r="S1137" t="s">
        <v>261</v>
      </c>
      <c r="T1137" t="s">
        <v>261</v>
      </c>
      <c r="U1137" t="s">
        <v>261</v>
      </c>
      <c r="V1137" t="s">
        <v>262</v>
      </c>
      <c r="W1137" t="s">
        <v>261</v>
      </c>
      <c r="X1137" t="s">
        <v>261</v>
      </c>
      <c r="Y1137" t="s">
        <v>261</v>
      </c>
      <c r="Z1137" t="s">
        <v>409</v>
      </c>
      <c r="AA1137" t="s">
        <v>409</v>
      </c>
      <c r="AB1137" t="s">
        <v>409</v>
      </c>
      <c r="AC1137" t="s">
        <v>409</v>
      </c>
      <c r="AD1137" t="s">
        <v>261</v>
      </c>
      <c r="AH1137" t="s">
        <v>262</v>
      </c>
      <c r="AI1137" t="s">
        <v>262</v>
      </c>
      <c r="AJ1137" t="s">
        <v>261</v>
      </c>
      <c r="AK1137" t="s">
        <v>261</v>
      </c>
      <c r="AM1137" t="s">
        <v>262</v>
      </c>
      <c r="AN1137" t="s">
        <v>3365</v>
      </c>
    </row>
    <row r="1138" spans="1:40" x14ac:dyDescent="0.35">
      <c r="A1138">
        <v>5567195</v>
      </c>
      <c r="B1138" t="s">
        <v>3366</v>
      </c>
      <c r="C1138" t="str">
        <f>"9782759228706"</f>
        <v>9782759228706</v>
      </c>
      <c r="D1138" t="str">
        <f>"9782759228713"</f>
        <v>9782759228713</v>
      </c>
      <c r="E1138" t="s">
        <v>1928</v>
      </c>
      <c r="F1138" t="s">
        <v>1928</v>
      </c>
      <c r="G1138" s="1">
        <v>43391</v>
      </c>
      <c r="H1138" s="1">
        <v>44546</v>
      </c>
      <c r="I1138" t="s">
        <v>189</v>
      </c>
      <c r="K1138" t="s">
        <v>2571</v>
      </c>
      <c r="L1138" t="s">
        <v>3367</v>
      </c>
    </row>
    <row r="1139" spans="1:40" x14ac:dyDescent="0.35">
      <c r="A1139">
        <v>5567197</v>
      </c>
      <c r="B1139" t="s">
        <v>3368</v>
      </c>
      <c r="C1139" t="str">
        <f>"9782759228799"</f>
        <v>9782759228799</v>
      </c>
      <c r="D1139" t="str">
        <f>"9782759228805"</f>
        <v>9782759228805</v>
      </c>
      <c r="E1139" t="s">
        <v>1928</v>
      </c>
      <c r="F1139" t="s">
        <v>1928</v>
      </c>
      <c r="G1139" s="1">
        <v>43357</v>
      </c>
      <c r="H1139" s="1">
        <v>44546</v>
      </c>
      <c r="I1139" t="s">
        <v>189</v>
      </c>
      <c r="K1139" t="s">
        <v>2571</v>
      </c>
      <c r="L1139" t="s">
        <v>3369</v>
      </c>
    </row>
    <row r="1140" spans="1:40" x14ac:dyDescent="0.35">
      <c r="A1140">
        <v>5568579</v>
      </c>
      <c r="B1140" t="s">
        <v>3370</v>
      </c>
      <c r="C1140" t="str">
        <f>"9781478001690"</f>
        <v>9781478001690</v>
      </c>
      <c r="D1140" t="str">
        <f>"9781478004301"</f>
        <v>9781478004301</v>
      </c>
      <c r="E1140" t="s">
        <v>687</v>
      </c>
      <c r="F1140" t="s">
        <v>687</v>
      </c>
      <c r="G1140" s="1">
        <v>43434</v>
      </c>
      <c r="H1140" s="1">
        <v>43401</v>
      </c>
      <c r="I1140" t="s">
        <v>189</v>
      </c>
      <c r="J1140">
        <v>1</v>
      </c>
      <c r="K1140" t="s">
        <v>2449</v>
      </c>
      <c r="L1140" t="s">
        <v>3371</v>
      </c>
    </row>
    <row r="1141" spans="1:40" x14ac:dyDescent="0.35">
      <c r="A1141">
        <v>5571085</v>
      </c>
      <c r="B1141" t="s">
        <v>3372</v>
      </c>
      <c r="C1141" t="str">
        <f>"9781438471815"</f>
        <v>9781438471815</v>
      </c>
      <c r="D1141" t="str">
        <f>"9781438471822"</f>
        <v>9781438471822</v>
      </c>
      <c r="E1141" t="s">
        <v>2073</v>
      </c>
      <c r="F1141" t="s">
        <v>2074</v>
      </c>
      <c r="G1141" s="1">
        <v>43405</v>
      </c>
      <c r="H1141" s="1">
        <v>43406</v>
      </c>
      <c r="I1141" t="s">
        <v>189</v>
      </c>
      <c r="J1141">
        <v>1</v>
      </c>
      <c r="K1141" t="s">
        <v>2075</v>
      </c>
      <c r="L1141" t="s">
        <v>3373</v>
      </c>
      <c r="M1141" t="s">
        <v>210</v>
      </c>
      <c r="Q1141" t="s">
        <v>260</v>
      </c>
      <c r="R1141" t="s">
        <v>261</v>
      </c>
      <c r="S1141" t="s">
        <v>261</v>
      </c>
      <c r="T1141" t="s">
        <v>261</v>
      </c>
      <c r="U1141" t="s">
        <v>261</v>
      </c>
      <c r="V1141" t="s">
        <v>262</v>
      </c>
      <c r="W1141" t="s">
        <v>261</v>
      </c>
      <c r="X1141" t="s">
        <v>261</v>
      </c>
      <c r="Y1141" t="s">
        <v>261</v>
      </c>
      <c r="Z1141" t="s">
        <v>409</v>
      </c>
      <c r="AA1141" t="s">
        <v>409</v>
      </c>
      <c r="AB1141" t="s">
        <v>409</v>
      </c>
      <c r="AC1141" t="s">
        <v>409</v>
      </c>
      <c r="AD1141" t="s">
        <v>261</v>
      </c>
      <c r="AH1141" t="s">
        <v>262</v>
      </c>
      <c r="AI1141" t="s">
        <v>262</v>
      </c>
      <c r="AJ1141" t="s">
        <v>261</v>
      </c>
      <c r="AK1141" t="s">
        <v>261</v>
      </c>
      <c r="AM1141" t="s">
        <v>262</v>
      </c>
      <c r="AN1141" t="s">
        <v>3374</v>
      </c>
    </row>
    <row r="1142" spans="1:40" x14ac:dyDescent="0.35">
      <c r="A1142">
        <v>5583988</v>
      </c>
      <c r="B1142" t="s">
        <v>3375</v>
      </c>
      <c r="C1142" t="str">
        <f>""</f>
        <v/>
      </c>
      <c r="D1142" t="str">
        <f>"9789048543526"</f>
        <v>9789048543526</v>
      </c>
      <c r="E1142" t="s">
        <v>361</v>
      </c>
      <c r="F1142" t="s">
        <v>361</v>
      </c>
      <c r="G1142" s="1">
        <v>43419</v>
      </c>
      <c r="H1142" s="1">
        <v>43415</v>
      </c>
      <c r="I1142" t="s">
        <v>189</v>
      </c>
      <c r="J1142">
        <v>1</v>
      </c>
      <c r="K1142" t="s">
        <v>1205</v>
      </c>
      <c r="L1142" t="s">
        <v>3376</v>
      </c>
      <c r="M1142" t="s">
        <v>379</v>
      </c>
      <c r="O1142" s="2">
        <v>2679143</v>
      </c>
      <c r="Q1142" t="s">
        <v>260</v>
      </c>
      <c r="R1142" t="s">
        <v>261</v>
      </c>
      <c r="S1142" t="s">
        <v>261</v>
      </c>
      <c r="T1142" t="s">
        <v>261</v>
      </c>
      <c r="U1142" t="s">
        <v>261</v>
      </c>
      <c r="V1142" t="s">
        <v>262</v>
      </c>
      <c r="W1142" t="s">
        <v>261</v>
      </c>
      <c r="X1142" t="s">
        <v>261</v>
      </c>
      <c r="Y1142" t="s">
        <v>261</v>
      </c>
      <c r="Z1142" t="s">
        <v>409</v>
      </c>
      <c r="AA1142" t="s">
        <v>409</v>
      </c>
      <c r="AB1142" t="s">
        <v>409</v>
      </c>
      <c r="AC1142" t="s">
        <v>409</v>
      </c>
      <c r="AD1142" t="s">
        <v>262</v>
      </c>
      <c r="AH1142" t="s">
        <v>262</v>
      </c>
      <c r="AI1142" t="s">
        <v>262</v>
      </c>
      <c r="AJ1142" t="s">
        <v>261</v>
      </c>
      <c r="AK1142" t="s">
        <v>261</v>
      </c>
      <c r="AM1142" t="s">
        <v>262</v>
      </c>
      <c r="AN1142" t="s">
        <v>3377</v>
      </c>
    </row>
    <row r="1143" spans="1:40" x14ac:dyDescent="0.35">
      <c r="A1143">
        <v>5588963</v>
      </c>
      <c r="B1143" t="s">
        <v>3378</v>
      </c>
      <c r="C1143" t="str">
        <f>"9783319696225"</f>
        <v>9783319696225</v>
      </c>
      <c r="D1143" t="str">
        <f>"9783319696232"</f>
        <v>9783319696232</v>
      </c>
      <c r="E1143" t="s">
        <v>2289</v>
      </c>
      <c r="F1143" t="s">
        <v>2290</v>
      </c>
      <c r="G1143" s="1">
        <v>43117</v>
      </c>
      <c r="H1143" s="1">
        <v>43417</v>
      </c>
      <c r="I1143" t="s">
        <v>189</v>
      </c>
      <c r="K1143" t="s">
        <v>3379</v>
      </c>
      <c r="L1143" t="s">
        <v>3380</v>
      </c>
      <c r="M1143" t="s">
        <v>199</v>
      </c>
      <c r="N1143" t="s">
        <v>3381</v>
      </c>
      <c r="Q1143" t="s">
        <v>260</v>
      </c>
      <c r="R1143" t="s">
        <v>261</v>
      </c>
      <c r="S1143" t="s">
        <v>261</v>
      </c>
      <c r="T1143" t="s">
        <v>261</v>
      </c>
      <c r="U1143" t="s">
        <v>262</v>
      </c>
      <c r="V1143" t="s">
        <v>262</v>
      </c>
      <c r="W1143" t="s">
        <v>261</v>
      </c>
      <c r="X1143" t="s">
        <v>262</v>
      </c>
      <c r="Y1143" t="s">
        <v>261</v>
      </c>
      <c r="Z1143" t="s">
        <v>409</v>
      </c>
      <c r="AA1143" t="s">
        <v>409</v>
      </c>
      <c r="AB1143" t="s">
        <v>409</v>
      </c>
      <c r="AC1143" t="s">
        <v>409</v>
      </c>
      <c r="AD1143" t="s">
        <v>261</v>
      </c>
      <c r="AH1143" t="s">
        <v>262</v>
      </c>
      <c r="AI1143" t="s">
        <v>262</v>
      </c>
      <c r="AJ1143" t="s">
        <v>261</v>
      </c>
      <c r="AK1143" t="s">
        <v>261</v>
      </c>
      <c r="AM1143" t="s">
        <v>262</v>
      </c>
      <c r="AN1143" t="s">
        <v>3382</v>
      </c>
    </row>
    <row r="1144" spans="1:40" x14ac:dyDescent="0.35">
      <c r="A1144">
        <v>5589492</v>
      </c>
      <c r="B1144" t="s">
        <v>3383</v>
      </c>
      <c r="C1144" t="str">
        <f>"9781478001348"</f>
        <v>9781478001348</v>
      </c>
      <c r="D1144" t="str">
        <f>"9781478002789"</f>
        <v>9781478002789</v>
      </c>
      <c r="E1144" t="s">
        <v>687</v>
      </c>
      <c r="F1144" t="s">
        <v>687</v>
      </c>
      <c r="G1144" s="1">
        <v>43448</v>
      </c>
      <c r="H1144" s="1">
        <v>43418</v>
      </c>
      <c r="I1144" t="s">
        <v>189</v>
      </c>
      <c r="J1144">
        <v>1</v>
      </c>
      <c r="K1144" t="s">
        <v>1064</v>
      </c>
      <c r="L1144" t="s">
        <v>3384</v>
      </c>
      <c r="M1144" t="s">
        <v>207</v>
      </c>
    </row>
    <row r="1145" spans="1:40" x14ac:dyDescent="0.35">
      <c r="A1145">
        <v>5592237</v>
      </c>
      <c r="B1145" t="s">
        <v>3385</v>
      </c>
      <c r="C1145" t="str">
        <f>"9783319721699"</f>
        <v>9783319721699</v>
      </c>
      <c r="D1145" t="str">
        <f>"9783319721705"</f>
        <v>9783319721705</v>
      </c>
      <c r="E1145" t="s">
        <v>2289</v>
      </c>
      <c r="F1145" t="s">
        <v>2290</v>
      </c>
      <c r="G1145" s="1">
        <v>43137</v>
      </c>
      <c r="H1145" s="1">
        <v>43419</v>
      </c>
      <c r="I1145" t="s">
        <v>189</v>
      </c>
      <c r="K1145" t="s">
        <v>3386</v>
      </c>
      <c r="L1145" t="s">
        <v>3387</v>
      </c>
    </row>
    <row r="1146" spans="1:40" x14ac:dyDescent="0.35">
      <c r="A1146">
        <v>5607105</v>
      </c>
      <c r="B1146" t="s">
        <v>3388</v>
      </c>
      <c r="C1146" t="str">
        <f>"9781783745357"</f>
        <v>9781783745357</v>
      </c>
      <c r="D1146" t="str">
        <f>"9781783745364"</f>
        <v>9781783745364</v>
      </c>
      <c r="E1146" t="s">
        <v>1807</v>
      </c>
      <c r="F1146" t="s">
        <v>1807</v>
      </c>
      <c r="G1146" s="1">
        <v>43404</v>
      </c>
      <c r="H1146" s="1">
        <v>43435</v>
      </c>
      <c r="I1146" t="s">
        <v>189</v>
      </c>
      <c r="J1146">
        <v>1</v>
      </c>
      <c r="L1146" t="s">
        <v>3200</v>
      </c>
      <c r="M1146" t="s">
        <v>219</v>
      </c>
      <c r="O1146" t="s">
        <v>3201</v>
      </c>
      <c r="Q1146" t="s">
        <v>260</v>
      </c>
      <c r="R1146" t="s">
        <v>261</v>
      </c>
      <c r="S1146" t="s">
        <v>261</v>
      </c>
      <c r="T1146" t="s">
        <v>261</v>
      </c>
      <c r="U1146" t="s">
        <v>261</v>
      </c>
      <c r="V1146" t="s">
        <v>262</v>
      </c>
      <c r="W1146" t="s">
        <v>261</v>
      </c>
      <c r="X1146" t="s">
        <v>261</v>
      </c>
      <c r="Y1146" t="s">
        <v>261</v>
      </c>
      <c r="Z1146" t="s">
        <v>409</v>
      </c>
      <c r="AA1146" t="s">
        <v>409</v>
      </c>
      <c r="AB1146" t="s">
        <v>409</v>
      </c>
      <c r="AC1146" t="s">
        <v>409</v>
      </c>
      <c r="AD1146" t="s">
        <v>262</v>
      </c>
      <c r="AH1146" t="s">
        <v>262</v>
      </c>
      <c r="AI1146" t="s">
        <v>262</v>
      </c>
      <c r="AJ1146" t="s">
        <v>261</v>
      </c>
      <c r="AK1146" t="s">
        <v>261</v>
      </c>
      <c r="AM1146" t="s">
        <v>262</v>
      </c>
      <c r="AN1146" t="s">
        <v>3389</v>
      </c>
    </row>
    <row r="1147" spans="1:40" x14ac:dyDescent="0.35">
      <c r="A1147">
        <v>5607106</v>
      </c>
      <c r="B1147" t="s">
        <v>3390</v>
      </c>
      <c r="C1147" t="str">
        <f>"9781783745814"</f>
        <v>9781783745814</v>
      </c>
      <c r="D1147" t="str">
        <f>"9781783745821"</f>
        <v>9781783745821</v>
      </c>
      <c r="E1147" t="s">
        <v>1807</v>
      </c>
      <c r="F1147" t="s">
        <v>1807</v>
      </c>
      <c r="G1147" s="1">
        <v>43388</v>
      </c>
      <c r="H1147" s="1">
        <v>43435</v>
      </c>
      <c r="I1147" t="s">
        <v>189</v>
      </c>
      <c r="J1147">
        <v>1</v>
      </c>
      <c r="L1147" t="s">
        <v>2368</v>
      </c>
      <c r="M1147" t="s">
        <v>1728</v>
      </c>
    </row>
    <row r="1148" spans="1:40" x14ac:dyDescent="0.35">
      <c r="A1148">
        <v>5607107</v>
      </c>
      <c r="B1148" t="s">
        <v>3391</v>
      </c>
      <c r="C1148" t="str">
        <f>"9781783745012"</f>
        <v>9781783745012</v>
      </c>
      <c r="D1148" t="str">
        <f>"9781783745029"</f>
        <v>9781783745029</v>
      </c>
      <c r="E1148" t="s">
        <v>1807</v>
      </c>
      <c r="F1148" t="s">
        <v>1807</v>
      </c>
      <c r="G1148" s="1">
        <v>43427</v>
      </c>
      <c r="H1148" s="1">
        <v>43435</v>
      </c>
      <c r="I1148" t="s">
        <v>189</v>
      </c>
      <c r="J1148">
        <v>1</v>
      </c>
      <c r="L1148" t="s">
        <v>3392</v>
      </c>
      <c r="M1148" t="s">
        <v>219</v>
      </c>
    </row>
    <row r="1149" spans="1:40" x14ac:dyDescent="0.35">
      <c r="A1149">
        <v>5607110</v>
      </c>
      <c r="B1149" t="s">
        <v>3393</v>
      </c>
      <c r="C1149" t="str">
        <f>"9781783745302"</f>
        <v>9781783745302</v>
      </c>
      <c r="D1149" t="str">
        <f>"9781783745319"</f>
        <v>9781783745319</v>
      </c>
      <c r="E1149" t="s">
        <v>1807</v>
      </c>
      <c r="F1149" t="s">
        <v>1807</v>
      </c>
      <c r="G1149" s="1">
        <v>43375</v>
      </c>
      <c r="H1149" s="1">
        <v>43435</v>
      </c>
      <c r="I1149" t="s">
        <v>189</v>
      </c>
      <c r="J1149">
        <v>1</v>
      </c>
      <c r="L1149" t="s">
        <v>3200</v>
      </c>
      <c r="M1149" t="s">
        <v>1578</v>
      </c>
    </row>
    <row r="1150" spans="1:40" x14ac:dyDescent="0.35">
      <c r="A1150">
        <v>5609564</v>
      </c>
      <c r="B1150" t="s">
        <v>3394</v>
      </c>
      <c r="C1150" t="str">
        <f>"9780822368564"</f>
        <v>9780822368564</v>
      </c>
      <c r="D1150" t="str">
        <f>"9780822372646"</f>
        <v>9780822372646</v>
      </c>
      <c r="E1150" t="s">
        <v>687</v>
      </c>
      <c r="F1150" t="s">
        <v>687</v>
      </c>
      <c r="G1150" s="1">
        <v>43476</v>
      </c>
      <c r="H1150" s="1">
        <v>43440</v>
      </c>
      <c r="I1150" t="s">
        <v>189</v>
      </c>
      <c r="J1150">
        <v>1</v>
      </c>
      <c r="K1150" t="s">
        <v>2455</v>
      </c>
      <c r="L1150" t="s">
        <v>3395</v>
      </c>
      <c r="M1150" t="s">
        <v>578</v>
      </c>
      <c r="N1150" t="s">
        <v>3396</v>
      </c>
      <c r="Q1150" t="s">
        <v>260</v>
      </c>
      <c r="R1150" t="s">
        <v>261</v>
      </c>
      <c r="S1150" t="s">
        <v>261</v>
      </c>
      <c r="T1150" t="s">
        <v>261</v>
      </c>
      <c r="U1150" t="s">
        <v>261</v>
      </c>
      <c r="V1150" t="s">
        <v>262</v>
      </c>
      <c r="W1150" t="s">
        <v>261</v>
      </c>
      <c r="X1150" t="s">
        <v>261</v>
      </c>
      <c r="Y1150" t="s">
        <v>261</v>
      </c>
      <c r="Z1150" t="s">
        <v>409</v>
      </c>
      <c r="AB1150" t="s">
        <v>409</v>
      </c>
      <c r="AC1150" t="s">
        <v>409</v>
      </c>
      <c r="AD1150" t="s">
        <v>262</v>
      </c>
      <c r="AH1150" t="s">
        <v>262</v>
      </c>
      <c r="AI1150" t="s">
        <v>262</v>
      </c>
      <c r="AJ1150" t="s">
        <v>261</v>
      </c>
      <c r="AK1150" t="s">
        <v>261</v>
      </c>
      <c r="AM1150" t="s">
        <v>262</v>
      </c>
      <c r="AN1150" t="s">
        <v>3397</v>
      </c>
    </row>
    <row r="1151" spans="1:40" x14ac:dyDescent="0.35">
      <c r="A1151">
        <v>5611018</v>
      </c>
      <c r="B1151" t="s">
        <v>3398</v>
      </c>
      <c r="C1151" t="str">
        <f>"9789462987401"</f>
        <v>9789462987401</v>
      </c>
      <c r="D1151" t="str">
        <f>"9789048539055"</f>
        <v>9789048539055</v>
      </c>
      <c r="E1151" t="s">
        <v>361</v>
      </c>
      <c r="F1151" t="s">
        <v>361</v>
      </c>
      <c r="G1151" s="1">
        <v>43017</v>
      </c>
      <c r="H1151" s="1">
        <v>43441</v>
      </c>
      <c r="I1151" t="s">
        <v>189</v>
      </c>
      <c r="J1151">
        <v>1</v>
      </c>
      <c r="L1151" t="s">
        <v>3399</v>
      </c>
    </row>
    <row r="1152" spans="1:40" x14ac:dyDescent="0.35">
      <c r="A1152">
        <v>5622392</v>
      </c>
      <c r="B1152" t="s">
        <v>3400</v>
      </c>
      <c r="C1152" t="str">
        <f>"9789027201898"</f>
        <v>9789027201898</v>
      </c>
      <c r="D1152" t="str">
        <f>"9789027263186"</f>
        <v>9789027263186</v>
      </c>
      <c r="E1152" t="s">
        <v>1372</v>
      </c>
      <c r="F1152" t="s">
        <v>1372</v>
      </c>
      <c r="G1152" s="1">
        <v>43426</v>
      </c>
      <c r="H1152" s="1">
        <v>43455</v>
      </c>
      <c r="I1152" t="s">
        <v>189</v>
      </c>
      <c r="J1152">
        <v>1</v>
      </c>
      <c r="K1152" t="s">
        <v>3401</v>
      </c>
      <c r="L1152" t="s">
        <v>3402</v>
      </c>
    </row>
    <row r="1153" spans="1:40" x14ac:dyDescent="0.35">
      <c r="A1153">
        <v>5625026</v>
      </c>
      <c r="B1153" t="s">
        <v>3403</v>
      </c>
      <c r="C1153" t="str">
        <f>"9789811307423"</f>
        <v>9789811307423</v>
      </c>
      <c r="D1153" t="str">
        <f>"9789811307430"</f>
        <v>9789811307430</v>
      </c>
      <c r="E1153" t="s">
        <v>3404</v>
      </c>
      <c r="F1153" t="s">
        <v>2663</v>
      </c>
      <c r="G1153" s="1">
        <v>43479</v>
      </c>
      <c r="H1153" s="1">
        <v>43462</v>
      </c>
      <c r="I1153" t="s">
        <v>189</v>
      </c>
      <c r="L1153" t="s">
        <v>3405</v>
      </c>
    </row>
    <row r="1154" spans="1:40" x14ac:dyDescent="0.35">
      <c r="A1154">
        <v>5625506</v>
      </c>
      <c r="B1154" t="s">
        <v>3406</v>
      </c>
      <c r="C1154" t="str">
        <f>"9789462983298"</f>
        <v>9789462983298</v>
      </c>
      <c r="D1154" t="str">
        <f>"9789048533381"</f>
        <v>9789048533381</v>
      </c>
      <c r="E1154" t="s">
        <v>361</v>
      </c>
      <c r="F1154" t="s">
        <v>361</v>
      </c>
      <c r="G1154" s="1">
        <v>43444</v>
      </c>
      <c r="H1154" s="1">
        <v>43460</v>
      </c>
      <c r="I1154" t="s">
        <v>189</v>
      </c>
      <c r="J1154">
        <v>1</v>
      </c>
      <c r="K1154" t="s">
        <v>2814</v>
      </c>
      <c r="L1154" t="s">
        <v>3407</v>
      </c>
    </row>
    <row r="1155" spans="1:40" x14ac:dyDescent="0.35">
      <c r="A1155">
        <v>5629085</v>
      </c>
      <c r="B1155" t="s">
        <v>3408</v>
      </c>
      <c r="C1155" t="str">
        <f>"9782759229161"</f>
        <v>9782759229161</v>
      </c>
      <c r="D1155" t="str">
        <f>"9782759229178"</f>
        <v>9782759229178</v>
      </c>
      <c r="E1155" t="s">
        <v>1928</v>
      </c>
      <c r="F1155" t="s">
        <v>1928</v>
      </c>
      <c r="G1155" s="1">
        <v>43430</v>
      </c>
      <c r="H1155" s="1">
        <v>44546</v>
      </c>
      <c r="I1155" t="s">
        <v>189</v>
      </c>
      <c r="K1155" t="s">
        <v>2571</v>
      </c>
      <c r="L1155" t="s">
        <v>3409</v>
      </c>
    </row>
    <row r="1156" spans="1:40" x14ac:dyDescent="0.35">
      <c r="A1156">
        <v>5629091</v>
      </c>
      <c r="B1156" t="s">
        <v>3410</v>
      </c>
      <c r="C1156" t="str">
        <f>"9782759228225"</f>
        <v>9782759228225</v>
      </c>
      <c r="D1156" t="str">
        <f>"9782759228232"</f>
        <v>9782759228232</v>
      </c>
      <c r="E1156" t="s">
        <v>1928</v>
      </c>
      <c r="F1156" t="s">
        <v>1928</v>
      </c>
      <c r="G1156" s="1">
        <v>43282</v>
      </c>
      <c r="H1156" s="1">
        <v>43472</v>
      </c>
      <c r="I1156" t="s">
        <v>189</v>
      </c>
      <c r="K1156" t="s">
        <v>2568</v>
      </c>
      <c r="L1156" t="s">
        <v>3411</v>
      </c>
    </row>
    <row r="1157" spans="1:40" x14ac:dyDescent="0.35">
      <c r="A1157">
        <v>5630422</v>
      </c>
      <c r="B1157" t="s">
        <v>3412</v>
      </c>
      <c r="C1157" t="str">
        <f>"9781478001201"</f>
        <v>9781478001201</v>
      </c>
      <c r="D1157" t="str">
        <f>"9781478002635"</f>
        <v>9781478002635</v>
      </c>
      <c r="E1157" t="s">
        <v>687</v>
      </c>
      <c r="F1157" t="s">
        <v>687</v>
      </c>
      <c r="G1157" s="1">
        <v>43441</v>
      </c>
      <c r="H1157" s="1">
        <v>43475</v>
      </c>
      <c r="I1157" t="s">
        <v>189</v>
      </c>
      <c r="J1157">
        <v>1</v>
      </c>
      <c r="K1157" t="s">
        <v>2452</v>
      </c>
      <c r="L1157" t="s">
        <v>3413</v>
      </c>
      <c r="M1157" t="s">
        <v>329</v>
      </c>
    </row>
    <row r="1158" spans="1:40" x14ac:dyDescent="0.35">
      <c r="A1158">
        <v>5651726</v>
      </c>
      <c r="B1158" t="s">
        <v>3414</v>
      </c>
      <c r="C1158" t="str">
        <f>"9781783745609"</f>
        <v>9781783745609</v>
      </c>
      <c r="D1158" t="str">
        <f>"9781783745616"</f>
        <v>9781783745616</v>
      </c>
      <c r="E1158" t="s">
        <v>1807</v>
      </c>
      <c r="F1158" t="s">
        <v>1807</v>
      </c>
      <c r="G1158" s="1">
        <v>43447</v>
      </c>
      <c r="H1158" s="1">
        <v>43495</v>
      </c>
      <c r="I1158" t="s">
        <v>189</v>
      </c>
      <c r="J1158">
        <v>1</v>
      </c>
      <c r="L1158" t="s">
        <v>3415</v>
      </c>
      <c r="M1158" t="s">
        <v>1328</v>
      </c>
      <c r="O1158" t="s">
        <v>3416</v>
      </c>
      <c r="Q1158" t="s">
        <v>260</v>
      </c>
      <c r="R1158" t="s">
        <v>261</v>
      </c>
      <c r="S1158" t="s">
        <v>261</v>
      </c>
      <c r="T1158" t="s">
        <v>261</v>
      </c>
      <c r="U1158" t="s">
        <v>261</v>
      </c>
      <c r="V1158" t="s">
        <v>262</v>
      </c>
      <c r="W1158" t="s">
        <v>261</v>
      </c>
      <c r="X1158" t="s">
        <v>261</v>
      </c>
      <c r="Y1158" t="s">
        <v>261</v>
      </c>
      <c r="Z1158" t="s">
        <v>409</v>
      </c>
      <c r="AA1158" t="s">
        <v>409</v>
      </c>
      <c r="AB1158" t="s">
        <v>409</v>
      </c>
      <c r="AC1158" t="s">
        <v>409</v>
      </c>
      <c r="AD1158" t="s">
        <v>262</v>
      </c>
      <c r="AH1158" t="s">
        <v>262</v>
      </c>
      <c r="AI1158" t="s">
        <v>262</v>
      </c>
      <c r="AJ1158" t="s">
        <v>261</v>
      </c>
      <c r="AK1158" t="s">
        <v>261</v>
      </c>
      <c r="AM1158" t="s">
        <v>262</v>
      </c>
      <c r="AN1158" t="s">
        <v>3417</v>
      </c>
    </row>
    <row r="1159" spans="1:40" x14ac:dyDescent="0.35">
      <c r="A1159">
        <v>5651727</v>
      </c>
      <c r="B1159" t="s">
        <v>3418</v>
      </c>
      <c r="C1159" t="str">
        <f>"9781783746019"</f>
        <v>9781783746019</v>
      </c>
      <c r="D1159" t="str">
        <f>"9781783746026"</f>
        <v>9781783746026</v>
      </c>
      <c r="E1159" t="s">
        <v>1807</v>
      </c>
      <c r="F1159" t="s">
        <v>1807</v>
      </c>
      <c r="G1159" s="1">
        <v>43427</v>
      </c>
      <c r="H1159" s="1">
        <v>43495</v>
      </c>
      <c r="I1159" t="s">
        <v>189</v>
      </c>
      <c r="J1159">
        <v>1</v>
      </c>
      <c r="K1159" t="s">
        <v>1857</v>
      </c>
      <c r="L1159" t="s">
        <v>1858</v>
      </c>
    </row>
    <row r="1160" spans="1:40" x14ac:dyDescent="0.35">
      <c r="A1160">
        <v>5651728</v>
      </c>
      <c r="B1160" t="s">
        <v>3419</v>
      </c>
      <c r="C1160" t="str">
        <f>"9781783745401"</f>
        <v>9781783745401</v>
      </c>
      <c r="D1160" t="str">
        <f>"9781783745418"</f>
        <v>9781783745418</v>
      </c>
      <c r="E1160" t="s">
        <v>1807</v>
      </c>
      <c r="F1160" t="s">
        <v>1807</v>
      </c>
      <c r="G1160" s="1">
        <v>43446</v>
      </c>
      <c r="H1160" s="1">
        <v>43495</v>
      </c>
      <c r="I1160" t="s">
        <v>189</v>
      </c>
      <c r="J1160">
        <v>1</v>
      </c>
      <c r="L1160" t="s">
        <v>3200</v>
      </c>
      <c r="M1160" t="s">
        <v>219</v>
      </c>
      <c r="O1160" t="s">
        <v>3201</v>
      </c>
      <c r="Q1160" t="s">
        <v>260</v>
      </c>
      <c r="R1160" t="s">
        <v>261</v>
      </c>
      <c r="S1160" t="s">
        <v>261</v>
      </c>
      <c r="T1160" t="s">
        <v>261</v>
      </c>
      <c r="U1160" t="s">
        <v>261</v>
      </c>
      <c r="V1160" t="s">
        <v>262</v>
      </c>
      <c r="W1160" t="s">
        <v>261</v>
      </c>
      <c r="X1160" t="s">
        <v>261</v>
      </c>
      <c r="Y1160" t="s">
        <v>261</v>
      </c>
      <c r="Z1160" t="s">
        <v>409</v>
      </c>
      <c r="AA1160" t="s">
        <v>409</v>
      </c>
      <c r="AB1160" t="s">
        <v>409</v>
      </c>
      <c r="AC1160" t="s">
        <v>409</v>
      </c>
      <c r="AD1160" t="s">
        <v>262</v>
      </c>
      <c r="AH1160" t="s">
        <v>262</v>
      </c>
      <c r="AI1160" t="s">
        <v>262</v>
      </c>
      <c r="AJ1160" t="s">
        <v>261</v>
      </c>
      <c r="AK1160" t="s">
        <v>261</v>
      </c>
      <c r="AM1160" t="s">
        <v>262</v>
      </c>
      <c r="AN1160" t="s">
        <v>3420</v>
      </c>
    </row>
    <row r="1161" spans="1:40" x14ac:dyDescent="0.35">
      <c r="A1161">
        <v>5718284</v>
      </c>
      <c r="B1161" t="s">
        <v>3421</v>
      </c>
      <c r="C1161" t="str">
        <f>"9781942401346"</f>
        <v>9781942401346</v>
      </c>
      <c r="D1161" t="str">
        <f>"9781942401353"</f>
        <v>9781942401353</v>
      </c>
      <c r="E1161" t="s">
        <v>3422</v>
      </c>
      <c r="F1161" t="s">
        <v>3422</v>
      </c>
      <c r="G1161" s="1">
        <v>43108</v>
      </c>
      <c r="H1161" s="1">
        <v>43519</v>
      </c>
      <c r="I1161" t="s">
        <v>189</v>
      </c>
      <c r="J1161">
        <v>1</v>
      </c>
      <c r="K1161" t="s">
        <v>3423</v>
      </c>
      <c r="L1161" t="s">
        <v>3424</v>
      </c>
    </row>
    <row r="1162" spans="1:40" x14ac:dyDescent="0.35">
      <c r="A1162">
        <v>5719045</v>
      </c>
      <c r="B1162" t="s">
        <v>3425</v>
      </c>
      <c r="C1162" t="str">
        <f>"9789462984905"</f>
        <v>9789462984905</v>
      </c>
      <c r="D1162" t="str">
        <f>"9789048535811"</f>
        <v>9789048535811</v>
      </c>
      <c r="E1162" t="s">
        <v>361</v>
      </c>
      <c r="F1162" t="s">
        <v>361</v>
      </c>
      <c r="G1162" s="1">
        <v>42704</v>
      </c>
      <c r="H1162" s="1">
        <v>43521</v>
      </c>
      <c r="I1162" t="s">
        <v>189</v>
      </c>
      <c r="J1162">
        <v>1</v>
      </c>
      <c r="L1162" t="s">
        <v>3426</v>
      </c>
    </row>
    <row r="1163" spans="1:40" x14ac:dyDescent="0.35">
      <c r="A1163">
        <v>5719048</v>
      </c>
      <c r="B1163" t="s">
        <v>3427</v>
      </c>
      <c r="C1163" t="str">
        <f>"9789462985490"</f>
        <v>9789462985490</v>
      </c>
      <c r="D1163" t="str">
        <f>"9789048536641"</f>
        <v>9789048536641</v>
      </c>
      <c r="E1163" t="s">
        <v>361</v>
      </c>
      <c r="F1163" t="s">
        <v>361</v>
      </c>
      <c r="G1163" s="1">
        <v>43319</v>
      </c>
      <c r="H1163" s="1">
        <v>43521</v>
      </c>
      <c r="I1163" t="s">
        <v>189</v>
      </c>
      <c r="J1163">
        <v>1</v>
      </c>
      <c r="K1163" t="s">
        <v>3279</v>
      </c>
      <c r="L1163" t="s">
        <v>3428</v>
      </c>
      <c r="M1163" t="s">
        <v>219</v>
      </c>
      <c r="N1163" t="s">
        <v>3429</v>
      </c>
      <c r="O1163" t="s">
        <v>3430</v>
      </c>
      <c r="P1163" t="s">
        <v>3431</v>
      </c>
    </row>
    <row r="1164" spans="1:40" x14ac:dyDescent="0.35">
      <c r="A1164">
        <v>5719052</v>
      </c>
      <c r="B1164" t="s">
        <v>3432</v>
      </c>
      <c r="C1164" t="str">
        <f>"9789462983830"</f>
        <v>9789462983830</v>
      </c>
      <c r="D1164" t="str">
        <f>"9789048540006"</f>
        <v>9789048540006</v>
      </c>
      <c r="E1164" t="s">
        <v>361</v>
      </c>
      <c r="F1164" t="s">
        <v>361</v>
      </c>
      <c r="G1164" s="1">
        <v>43235</v>
      </c>
      <c r="H1164" s="1">
        <v>43521</v>
      </c>
      <c r="I1164" t="s">
        <v>189</v>
      </c>
      <c r="J1164">
        <v>1</v>
      </c>
      <c r="L1164" t="s">
        <v>3433</v>
      </c>
    </row>
    <row r="1165" spans="1:40" x14ac:dyDescent="0.35">
      <c r="A1165">
        <v>5725327</v>
      </c>
      <c r="B1165" t="s">
        <v>3434</v>
      </c>
      <c r="C1165" t="str">
        <f>"9781783746569"</f>
        <v>9781783746569</v>
      </c>
      <c r="D1165" t="str">
        <f>"9781783746576"</f>
        <v>9781783746576</v>
      </c>
      <c r="E1165" t="s">
        <v>1807</v>
      </c>
      <c r="F1165" t="s">
        <v>1807</v>
      </c>
      <c r="G1165" s="1">
        <v>43529</v>
      </c>
      <c r="H1165" s="1">
        <v>43532</v>
      </c>
      <c r="I1165" t="s">
        <v>189</v>
      </c>
      <c r="J1165">
        <v>1</v>
      </c>
      <c r="K1165" t="s">
        <v>2114</v>
      </c>
      <c r="L1165" t="s">
        <v>3435</v>
      </c>
      <c r="M1165" t="s">
        <v>676</v>
      </c>
    </row>
    <row r="1166" spans="1:40" x14ac:dyDescent="0.35">
      <c r="A1166">
        <v>5725328</v>
      </c>
      <c r="B1166" t="s">
        <v>3436</v>
      </c>
      <c r="C1166" t="str">
        <f>"9781783745968"</f>
        <v>9781783745968</v>
      </c>
      <c r="D1166" t="str">
        <f>"9781783745975"</f>
        <v>9781783745975</v>
      </c>
      <c r="E1166" t="s">
        <v>1807</v>
      </c>
      <c r="F1166" t="s">
        <v>1807</v>
      </c>
      <c r="G1166" s="1">
        <v>43466</v>
      </c>
      <c r="H1166" s="1">
        <v>43532</v>
      </c>
      <c r="I1166" t="s">
        <v>189</v>
      </c>
      <c r="J1166">
        <v>1</v>
      </c>
      <c r="K1166" t="s">
        <v>1851</v>
      </c>
      <c r="L1166" t="s">
        <v>3437</v>
      </c>
      <c r="M1166" t="s">
        <v>323</v>
      </c>
      <c r="Q1166" t="s">
        <v>260</v>
      </c>
      <c r="R1166" t="s">
        <v>261</v>
      </c>
      <c r="S1166" t="s">
        <v>261</v>
      </c>
      <c r="T1166" t="s">
        <v>261</v>
      </c>
      <c r="U1166" t="s">
        <v>261</v>
      </c>
      <c r="V1166" t="s">
        <v>262</v>
      </c>
      <c r="W1166" t="s">
        <v>261</v>
      </c>
      <c r="X1166" t="s">
        <v>261</v>
      </c>
      <c r="Y1166" t="s">
        <v>261</v>
      </c>
      <c r="Z1166" t="s">
        <v>409</v>
      </c>
      <c r="AA1166" t="s">
        <v>409</v>
      </c>
      <c r="AB1166" t="s">
        <v>409</v>
      </c>
      <c r="AC1166" t="s">
        <v>409</v>
      </c>
      <c r="AD1166" t="s">
        <v>262</v>
      </c>
      <c r="AH1166" t="s">
        <v>262</v>
      </c>
      <c r="AI1166" t="s">
        <v>262</v>
      </c>
      <c r="AJ1166" t="s">
        <v>261</v>
      </c>
      <c r="AK1166" t="s">
        <v>261</v>
      </c>
      <c r="AM1166" t="s">
        <v>262</v>
      </c>
      <c r="AN1166" t="s">
        <v>3438</v>
      </c>
    </row>
    <row r="1167" spans="1:40" x14ac:dyDescent="0.35">
      <c r="A1167">
        <v>5725329</v>
      </c>
      <c r="B1167" t="s">
        <v>3439</v>
      </c>
      <c r="C1167" t="str">
        <f>"9781783745456"</f>
        <v>9781783745456</v>
      </c>
      <c r="D1167" t="str">
        <f>"9781783745463"</f>
        <v>9781783745463</v>
      </c>
      <c r="E1167" t="s">
        <v>1807</v>
      </c>
      <c r="F1167" t="s">
        <v>1807</v>
      </c>
      <c r="G1167" s="1">
        <v>43516</v>
      </c>
      <c r="H1167" s="1">
        <v>43532</v>
      </c>
      <c r="I1167" t="s">
        <v>189</v>
      </c>
      <c r="J1167">
        <v>1</v>
      </c>
      <c r="L1167" t="s">
        <v>3440</v>
      </c>
    </row>
    <row r="1168" spans="1:40" x14ac:dyDescent="0.35">
      <c r="A1168">
        <v>5727927</v>
      </c>
      <c r="B1168" t="s">
        <v>3441</v>
      </c>
      <c r="C1168" t="str">
        <f>""</f>
        <v/>
      </c>
      <c r="D1168" t="str">
        <f>"9789048535200"</f>
        <v>9789048535200</v>
      </c>
      <c r="E1168" t="s">
        <v>361</v>
      </c>
      <c r="F1168" t="s">
        <v>361</v>
      </c>
      <c r="G1168" s="1">
        <v>43466</v>
      </c>
      <c r="H1168" s="1">
        <v>43900</v>
      </c>
      <c r="I1168" t="s">
        <v>189</v>
      </c>
      <c r="J1168">
        <v>1</v>
      </c>
      <c r="K1168" t="s">
        <v>3442</v>
      </c>
      <c r="L1168" t="s">
        <v>3443</v>
      </c>
    </row>
    <row r="1169" spans="1:40" x14ac:dyDescent="0.35">
      <c r="A1169">
        <v>5734171</v>
      </c>
      <c r="B1169" t="s">
        <v>3444</v>
      </c>
      <c r="C1169" t="str">
        <f>"9782759229406"</f>
        <v>9782759229406</v>
      </c>
      <c r="D1169" t="str">
        <f>"9782759229420"</f>
        <v>9782759229420</v>
      </c>
      <c r="E1169" t="s">
        <v>1928</v>
      </c>
      <c r="F1169" t="s">
        <v>1928</v>
      </c>
      <c r="G1169" s="1">
        <v>43437</v>
      </c>
      <c r="H1169" s="1">
        <v>44546</v>
      </c>
      <c r="I1169" t="s">
        <v>189</v>
      </c>
      <c r="K1169" t="s">
        <v>1929</v>
      </c>
      <c r="L1169" t="s">
        <v>3445</v>
      </c>
    </row>
    <row r="1170" spans="1:40" x14ac:dyDescent="0.35">
      <c r="A1170">
        <v>5734172</v>
      </c>
      <c r="B1170" t="s">
        <v>3446</v>
      </c>
      <c r="C1170" t="str">
        <f>"9782759229192"</f>
        <v>9782759229192</v>
      </c>
      <c r="D1170" t="str">
        <f>"9782759229208"</f>
        <v>9782759229208</v>
      </c>
      <c r="E1170" t="s">
        <v>1928</v>
      </c>
      <c r="F1170" t="s">
        <v>1928</v>
      </c>
      <c r="G1170" s="1">
        <v>43468</v>
      </c>
      <c r="H1170" s="1">
        <v>44546</v>
      </c>
      <c r="I1170" t="s">
        <v>189</v>
      </c>
      <c r="K1170" t="s">
        <v>1929</v>
      </c>
      <c r="L1170" t="s">
        <v>3447</v>
      </c>
    </row>
    <row r="1171" spans="1:40" x14ac:dyDescent="0.35">
      <c r="A1171">
        <v>5734174</v>
      </c>
      <c r="B1171" t="s">
        <v>3448</v>
      </c>
      <c r="C1171" t="str">
        <f>"9782759229376"</f>
        <v>9782759229376</v>
      </c>
      <c r="D1171" t="str">
        <f>"9782759229390"</f>
        <v>9782759229390</v>
      </c>
      <c r="E1171" t="s">
        <v>1928</v>
      </c>
      <c r="F1171" t="s">
        <v>1928</v>
      </c>
      <c r="G1171" s="1">
        <v>43647</v>
      </c>
      <c r="H1171" s="1">
        <v>44546</v>
      </c>
      <c r="I1171" t="s">
        <v>189</v>
      </c>
      <c r="K1171" t="s">
        <v>1948</v>
      </c>
      <c r="L1171" t="s">
        <v>3449</v>
      </c>
    </row>
    <row r="1172" spans="1:40" x14ac:dyDescent="0.35">
      <c r="A1172">
        <v>5742613</v>
      </c>
      <c r="B1172" t="s">
        <v>3450</v>
      </c>
      <c r="C1172" t="str">
        <f>"9781478003229"</f>
        <v>9781478003229</v>
      </c>
      <c r="D1172" t="str">
        <f>"9781478004486"</f>
        <v>9781478004486</v>
      </c>
      <c r="E1172" t="s">
        <v>687</v>
      </c>
      <c r="F1172" t="s">
        <v>687</v>
      </c>
      <c r="G1172" s="1">
        <v>43581</v>
      </c>
      <c r="H1172" s="1">
        <v>43555</v>
      </c>
      <c r="I1172" t="s">
        <v>189</v>
      </c>
      <c r="J1172">
        <v>1</v>
      </c>
      <c r="L1172" t="s">
        <v>3451</v>
      </c>
      <c r="M1172" t="s">
        <v>1191</v>
      </c>
      <c r="N1172" t="s">
        <v>3452</v>
      </c>
      <c r="O1172" s="2">
        <v>910911</v>
      </c>
      <c r="Q1172" t="s">
        <v>260</v>
      </c>
      <c r="R1172" t="s">
        <v>261</v>
      </c>
      <c r="S1172" t="s">
        <v>261</v>
      </c>
      <c r="T1172" t="s">
        <v>261</v>
      </c>
      <c r="U1172" t="s">
        <v>261</v>
      </c>
      <c r="V1172" t="s">
        <v>262</v>
      </c>
      <c r="W1172" t="s">
        <v>261</v>
      </c>
      <c r="X1172" t="s">
        <v>261</v>
      </c>
      <c r="Y1172" t="s">
        <v>261</v>
      </c>
      <c r="Z1172" t="s">
        <v>409</v>
      </c>
      <c r="AB1172" t="s">
        <v>409</v>
      </c>
      <c r="AC1172" t="s">
        <v>409</v>
      </c>
      <c r="AD1172" t="s">
        <v>262</v>
      </c>
      <c r="AH1172" t="s">
        <v>262</v>
      </c>
      <c r="AI1172" t="s">
        <v>262</v>
      </c>
      <c r="AJ1172" t="s">
        <v>261</v>
      </c>
      <c r="AK1172" t="s">
        <v>261</v>
      </c>
      <c r="AM1172" t="s">
        <v>262</v>
      </c>
      <c r="AN1172" t="s">
        <v>3453</v>
      </c>
    </row>
    <row r="1173" spans="1:40" x14ac:dyDescent="0.35">
      <c r="A1173">
        <v>5743235</v>
      </c>
      <c r="B1173" t="s">
        <v>3454</v>
      </c>
      <c r="C1173" t="str">
        <f>"9781618119513"</f>
        <v>9781618119513</v>
      </c>
      <c r="D1173" t="str">
        <f>"9781618119520"</f>
        <v>9781618119520</v>
      </c>
      <c r="E1173" t="s">
        <v>1592</v>
      </c>
      <c r="F1173" t="s">
        <v>1592</v>
      </c>
      <c r="G1173" s="1">
        <v>43553</v>
      </c>
      <c r="H1173" s="1">
        <v>43655</v>
      </c>
      <c r="I1173" t="s">
        <v>189</v>
      </c>
      <c r="J1173">
        <v>1</v>
      </c>
      <c r="L1173" t="s">
        <v>3455</v>
      </c>
    </row>
    <row r="1174" spans="1:40" x14ac:dyDescent="0.35">
      <c r="A1174">
        <v>5750539</v>
      </c>
      <c r="B1174" t="s">
        <v>3456</v>
      </c>
      <c r="C1174" t="str">
        <f>"9783486704457"</f>
        <v>9783486704457</v>
      </c>
      <c r="D1174" t="str">
        <f>"9783110446647"</f>
        <v>9783110446647</v>
      </c>
      <c r="E1174" t="s">
        <v>415</v>
      </c>
      <c r="F1174" t="s">
        <v>665</v>
      </c>
      <c r="G1174" s="1">
        <v>40835</v>
      </c>
      <c r="H1174" s="1">
        <v>43658</v>
      </c>
      <c r="I1174" t="s">
        <v>189</v>
      </c>
      <c r="J1174">
        <v>1</v>
      </c>
      <c r="K1174" t="s">
        <v>1387</v>
      </c>
      <c r="L1174" t="s">
        <v>3457</v>
      </c>
    </row>
    <row r="1175" spans="1:40" x14ac:dyDescent="0.35">
      <c r="A1175">
        <v>5751614</v>
      </c>
      <c r="B1175" t="s">
        <v>3458</v>
      </c>
      <c r="C1175" t="str">
        <f>"9781783745500"</f>
        <v>9781783745500</v>
      </c>
      <c r="D1175" t="str">
        <f>"9781783745517"</f>
        <v>9781783745517</v>
      </c>
      <c r="E1175" t="s">
        <v>1807</v>
      </c>
      <c r="F1175" t="s">
        <v>1807</v>
      </c>
      <c r="G1175" s="1">
        <v>43557</v>
      </c>
      <c r="H1175" s="1">
        <v>43686</v>
      </c>
      <c r="I1175" t="s">
        <v>189</v>
      </c>
      <c r="J1175">
        <v>1</v>
      </c>
      <c r="L1175" t="s">
        <v>3459</v>
      </c>
    </row>
    <row r="1176" spans="1:40" x14ac:dyDescent="0.35">
      <c r="A1176">
        <v>5751615</v>
      </c>
      <c r="B1176" t="s">
        <v>3460</v>
      </c>
      <c r="C1176" t="str">
        <f>"9781783745661"</f>
        <v>9781783745661</v>
      </c>
      <c r="D1176" t="str">
        <f>"9781783745678"</f>
        <v>9781783745678</v>
      </c>
      <c r="E1176" t="s">
        <v>1807</v>
      </c>
      <c r="F1176" t="s">
        <v>1807</v>
      </c>
      <c r="G1176" s="1">
        <v>43532</v>
      </c>
      <c r="H1176" s="1">
        <v>43686</v>
      </c>
      <c r="I1176" t="s">
        <v>189</v>
      </c>
      <c r="J1176">
        <v>1</v>
      </c>
      <c r="L1176" t="s">
        <v>3461</v>
      </c>
    </row>
    <row r="1177" spans="1:40" x14ac:dyDescent="0.35">
      <c r="A1177">
        <v>5751616</v>
      </c>
      <c r="B1177" t="s">
        <v>3462</v>
      </c>
      <c r="C1177" t="str">
        <f>"9781783746491"</f>
        <v>9781783746491</v>
      </c>
      <c r="D1177" t="str">
        <f>"9781783746507"</f>
        <v>9781783746507</v>
      </c>
      <c r="E1177" t="s">
        <v>1807</v>
      </c>
      <c r="F1177" t="s">
        <v>1807</v>
      </c>
      <c r="G1177" s="1">
        <v>43528</v>
      </c>
      <c r="H1177" s="1">
        <v>43584</v>
      </c>
      <c r="I1177" t="s">
        <v>189</v>
      </c>
      <c r="J1177">
        <v>1</v>
      </c>
      <c r="L1177" t="s">
        <v>3463</v>
      </c>
    </row>
    <row r="1178" spans="1:40" x14ac:dyDescent="0.35">
      <c r="A1178">
        <v>5752204</v>
      </c>
      <c r="B1178" t="s">
        <v>3464</v>
      </c>
      <c r="C1178" t="str">
        <f>"9781942401599"</f>
        <v>9781942401599</v>
      </c>
      <c r="D1178" t="str">
        <f>"9781942401605"</f>
        <v>9781942401605</v>
      </c>
      <c r="E1178" t="s">
        <v>3422</v>
      </c>
      <c r="F1178" t="s">
        <v>3422</v>
      </c>
      <c r="G1178" s="1">
        <v>43307</v>
      </c>
      <c r="H1178" s="1">
        <v>43574</v>
      </c>
      <c r="I1178" t="s">
        <v>189</v>
      </c>
      <c r="J1178">
        <v>1</v>
      </c>
      <c r="K1178" t="s">
        <v>3465</v>
      </c>
      <c r="L1178" t="s">
        <v>3466</v>
      </c>
      <c r="M1178" t="s">
        <v>219</v>
      </c>
      <c r="O1178" s="2">
        <v>8099332</v>
      </c>
      <c r="Q1178" t="s">
        <v>260</v>
      </c>
      <c r="R1178" t="s">
        <v>261</v>
      </c>
      <c r="S1178" t="s">
        <v>261</v>
      </c>
      <c r="T1178" t="s">
        <v>261</v>
      </c>
      <c r="U1178" t="s">
        <v>261</v>
      </c>
      <c r="V1178" t="s">
        <v>262</v>
      </c>
      <c r="W1178" t="s">
        <v>261</v>
      </c>
      <c r="X1178" t="s">
        <v>261</v>
      </c>
      <c r="Y1178" t="s">
        <v>261</v>
      </c>
      <c r="Z1178" t="s">
        <v>409</v>
      </c>
      <c r="AA1178" t="s">
        <v>409</v>
      </c>
      <c r="AB1178" t="s">
        <v>409</v>
      </c>
      <c r="AC1178" t="s">
        <v>409</v>
      </c>
      <c r="AD1178" t="s">
        <v>262</v>
      </c>
      <c r="AH1178" t="s">
        <v>262</v>
      </c>
      <c r="AI1178" t="s">
        <v>262</v>
      </c>
      <c r="AJ1178" t="s">
        <v>261</v>
      </c>
      <c r="AK1178" t="s">
        <v>261</v>
      </c>
      <c r="AM1178" t="s">
        <v>262</v>
      </c>
      <c r="AN1178" t="s">
        <v>3467</v>
      </c>
    </row>
    <row r="1179" spans="1:40" x14ac:dyDescent="0.35">
      <c r="A1179">
        <v>5752224</v>
      </c>
      <c r="B1179" t="s">
        <v>3468</v>
      </c>
      <c r="C1179" t="str">
        <f>"9781478001881"</f>
        <v>9781478001881</v>
      </c>
      <c r="D1179" t="str">
        <f>"9781478003359"</f>
        <v>9781478003359</v>
      </c>
      <c r="E1179" t="s">
        <v>687</v>
      </c>
      <c r="F1179" t="s">
        <v>687</v>
      </c>
      <c r="G1179" s="1">
        <v>43644</v>
      </c>
      <c r="H1179" s="1">
        <v>43574</v>
      </c>
      <c r="I1179" t="s">
        <v>189</v>
      </c>
      <c r="J1179">
        <v>1</v>
      </c>
      <c r="L1179" t="s">
        <v>3469</v>
      </c>
      <c r="M1179" t="s">
        <v>239</v>
      </c>
    </row>
    <row r="1180" spans="1:40" x14ac:dyDescent="0.35">
      <c r="A1180">
        <v>5760554</v>
      </c>
      <c r="B1180" t="s">
        <v>3470</v>
      </c>
      <c r="C1180" t="str">
        <f>"9782759229918"</f>
        <v>9782759229918</v>
      </c>
      <c r="D1180" t="str">
        <f>"9782759229925"</f>
        <v>9782759229925</v>
      </c>
      <c r="E1180" t="s">
        <v>1928</v>
      </c>
      <c r="F1180" t="s">
        <v>1928</v>
      </c>
      <c r="G1180" s="1">
        <v>43647</v>
      </c>
      <c r="H1180" s="1">
        <v>44546</v>
      </c>
      <c r="I1180" t="s">
        <v>189</v>
      </c>
      <c r="K1180" t="s">
        <v>1948</v>
      </c>
      <c r="L1180" t="s">
        <v>47</v>
      </c>
    </row>
    <row r="1181" spans="1:40" x14ac:dyDescent="0.35">
      <c r="A1181">
        <v>5769487</v>
      </c>
      <c r="B1181" t="s">
        <v>3471</v>
      </c>
      <c r="C1181" t="str">
        <f>"9783110576016"</f>
        <v>9783110576016</v>
      </c>
      <c r="D1181" t="str">
        <f>"9783110576092"</f>
        <v>9783110576092</v>
      </c>
      <c r="E1181" t="s">
        <v>415</v>
      </c>
      <c r="F1181" t="s">
        <v>3134</v>
      </c>
      <c r="G1181" s="1">
        <v>43300</v>
      </c>
      <c r="H1181" s="1">
        <v>43600</v>
      </c>
      <c r="I1181" t="s">
        <v>189</v>
      </c>
      <c r="J1181">
        <v>1</v>
      </c>
      <c r="L1181" t="s">
        <v>3472</v>
      </c>
      <c r="M1181" t="s">
        <v>239</v>
      </c>
      <c r="Q1181" t="s">
        <v>260</v>
      </c>
      <c r="R1181" t="s">
        <v>261</v>
      </c>
      <c r="S1181" t="s">
        <v>261</v>
      </c>
      <c r="T1181" t="s">
        <v>261</v>
      </c>
      <c r="U1181" t="s">
        <v>261</v>
      </c>
      <c r="V1181" t="s">
        <v>262</v>
      </c>
      <c r="W1181" t="s">
        <v>261</v>
      </c>
      <c r="X1181" t="s">
        <v>261</v>
      </c>
      <c r="Y1181" t="s">
        <v>261</v>
      </c>
      <c r="Z1181" t="s">
        <v>409</v>
      </c>
      <c r="AA1181" t="s">
        <v>409</v>
      </c>
      <c r="AB1181" t="s">
        <v>409</v>
      </c>
      <c r="AC1181" t="s">
        <v>409</v>
      </c>
      <c r="AD1181" t="s">
        <v>261</v>
      </c>
      <c r="AH1181" t="s">
        <v>262</v>
      </c>
      <c r="AI1181" t="s">
        <v>262</v>
      </c>
      <c r="AJ1181" t="s">
        <v>261</v>
      </c>
      <c r="AK1181" t="s">
        <v>261</v>
      </c>
      <c r="AM1181" t="s">
        <v>262</v>
      </c>
      <c r="AN1181" t="s">
        <v>3473</v>
      </c>
    </row>
    <row r="1182" spans="1:40" x14ac:dyDescent="0.35">
      <c r="A1182">
        <v>5771514</v>
      </c>
      <c r="B1182" t="s">
        <v>3474</v>
      </c>
      <c r="C1182" t="str">
        <f>"9781783746620"</f>
        <v>9781783746620</v>
      </c>
      <c r="D1182" t="str">
        <f>"9781783746637"</f>
        <v>9781783746637</v>
      </c>
      <c r="E1182" t="s">
        <v>1807</v>
      </c>
      <c r="F1182" t="s">
        <v>1807</v>
      </c>
      <c r="G1182" s="1">
        <v>43573</v>
      </c>
      <c r="H1182" s="1">
        <v>43596</v>
      </c>
      <c r="I1182" t="s">
        <v>189</v>
      </c>
      <c r="J1182">
        <v>1</v>
      </c>
      <c r="L1182" t="s">
        <v>3475</v>
      </c>
      <c r="M1182" t="s">
        <v>219</v>
      </c>
      <c r="Q1182" t="s">
        <v>260</v>
      </c>
      <c r="R1182" t="s">
        <v>261</v>
      </c>
      <c r="S1182" t="s">
        <v>261</v>
      </c>
      <c r="T1182" t="s">
        <v>261</v>
      </c>
      <c r="U1182" t="s">
        <v>261</v>
      </c>
      <c r="V1182" t="s">
        <v>262</v>
      </c>
      <c r="W1182" t="s">
        <v>261</v>
      </c>
      <c r="X1182" t="s">
        <v>261</v>
      </c>
      <c r="Y1182" t="s">
        <v>261</v>
      </c>
      <c r="Z1182" t="s">
        <v>409</v>
      </c>
      <c r="AA1182" t="s">
        <v>409</v>
      </c>
      <c r="AB1182" t="s">
        <v>409</v>
      </c>
      <c r="AC1182" t="s">
        <v>409</v>
      </c>
      <c r="AD1182" t="s">
        <v>262</v>
      </c>
      <c r="AH1182" t="s">
        <v>262</v>
      </c>
      <c r="AI1182" t="s">
        <v>262</v>
      </c>
      <c r="AJ1182" t="s">
        <v>261</v>
      </c>
      <c r="AK1182" t="s">
        <v>261</v>
      </c>
      <c r="AM1182" t="s">
        <v>262</v>
      </c>
      <c r="AN1182" t="s">
        <v>3476</v>
      </c>
    </row>
    <row r="1183" spans="1:40" x14ac:dyDescent="0.35">
      <c r="A1183">
        <v>5771515</v>
      </c>
      <c r="B1183" t="s">
        <v>3477</v>
      </c>
      <c r="C1183" t="str">
        <f>"9781783747276"</f>
        <v>9781783747276</v>
      </c>
      <c r="D1183" t="str">
        <f>"9781783747283"</f>
        <v>9781783747283</v>
      </c>
      <c r="E1183" t="s">
        <v>1807</v>
      </c>
      <c r="F1183" t="s">
        <v>1807</v>
      </c>
      <c r="G1183" s="1">
        <v>43585</v>
      </c>
      <c r="H1183" s="1">
        <v>43596</v>
      </c>
      <c r="I1183" t="s">
        <v>189</v>
      </c>
      <c r="J1183">
        <v>1</v>
      </c>
      <c r="L1183" t="s">
        <v>2383</v>
      </c>
      <c r="M1183" t="s">
        <v>578</v>
      </c>
      <c r="Q1183" t="s">
        <v>260</v>
      </c>
      <c r="R1183" t="s">
        <v>261</v>
      </c>
      <c r="S1183" t="s">
        <v>261</v>
      </c>
      <c r="T1183" t="s">
        <v>261</v>
      </c>
      <c r="U1183" t="s">
        <v>261</v>
      </c>
      <c r="V1183" t="s">
        <v>262</v>
      </c>
      <c r="W1183" t="s">
        <v>261</v>
      </c>
      <c r="X1183" t="s">
        <v>261</v>
      </c>
      <c r="Y1183" t="s">
        <v>261</v>
      </c>
      <c r="Z1183" t="s">
        <v>409</v>
      </c>
      <c r="AA1183" t="s">
        <v>409</v>
      </c>
      <c r="AB1183" t="s">
        <v>409</v>
      </c>
      <c r="AC1183" t="s">
        <v>409</v>
      </c>
      <c r="AD1183" t="s">
        <v>262</v>
      </c>
      <c r="AH1183" t="s">
        <v>262</v>
      </c>
      <c r="AI1183" t="s">
        <v>262</v>
      </c>
      <c r="AJ1183" t="s">
        <v>261</v>
      </c>
      <c r="AK1183" t="s">
        <v>261</v>
      </c>
      <c r="AM1183" t="s">
        <v>262</v>
      </c>
      <c r="AN1183" t="s">
        <v>3478</v>
      </c>
    </row>
    <row r="1184" spans="1:40" x14ac:dyDescent="0.35">
      <c r="A1184">
        <v>5771690</v>
      </c>
      <c r="B1184" t="s">
        <v>3479</v>
      </c>
      <c r="C1184" t="str">
        <f>"9781478003137"</f>
        <v>9781478003137</v>
      </c>
      <c r="D1184" t="str">
        <f>"9781478004394"</f>
        <v>9781478004394</v>
      </c>
      <c r="E1184" t="s">
        <v>687</v>
      </c>
      <c r="F1184" t="s">
        <v>687</v>
      </c>
      <c r="G1184" s="1">
        <v>43658</v>
      </c>
      <c r="H1184" s="1">
        <v>43597</v>
      </c>
      <c r="I1184" t="s">
        <v>189</v>
      </c>
      <c r="J1184">
        <v>1</v>
      </c>
      <c r="L1184" t="s">
        <v>3480</v>
      </c>
      <c r="M1184" t="s">
        <v>3481</v>
      </c>
    </row>
    <row r="1185" spans="1:40" x14ac:dyDescent="0.35">
      <c r="A1185">
        <v>5771691</v>
      </c>
      <c r="B1185" t="s">
        <v>3482</v>
      </c>
      <c r="C1185" t="str">
        <f>"9781478004103"</f>
        <v>9781478004103</v>
      </c>
      <c r="D1185" t="str">
        <f>"9781478005582"</f>
        <v>9781478005582</v>
      </c>
      <c r="E1185" t="s">
        <v>687</v>
      </c>
      <c r="F1185" t="s">
        <v>687</v>
      </c>
      <c r="G1185" s="1">
        <v>43644</v>
      </c>
      <c r="H1185" s="1">
        <v>43597</v>
      </c>
      <c r="I1185" t="s">
        <v>189</v>
      </c>
      <c r="J1185">
        <v>1</v>
      </c>
      <c r="L1185" t="s">
        <v>3483</v>
      </c>
      <c r="M1185" t="s">
        <v>219</v>
      </c>
      <c r="N1185" t="s">
        <v>3484</v>
      </c>
      <c r="Q1185" t="s">
        <v>260</v>
      </c>
      <c r="R1185" t="s">
        <v>261</v>
      </c>
      <c r="S1185" t="s">
        <v>261</v>
      </c>
      <c r="T1185" t="s">
        <v>261</v>
      </c>
      <c r="U1185" t="s">
        <v>261</v>
      </c>
      <c r="V1185" t="s">
        <v>262</v>
      </c>
      <c r="W1185" t="s">
        <v>261</v>
      </c>
      <c r="X1185" t="s">
        <v>261</v>
      </c>
      <c r="Y1185" t="s">
        <v>261</v>
      </c>
      <c r="Z1185" t="s">
        <v>409</v>
      </c>
      <c r="AB1185" t="s">
        <v>409</v>
      </c>
      <c r="AC1185" t="s">
        <v>409</v>
      </c>
      <c r="AD1185" t="s">
        <v>262</v>
      </c>
      <c r="AH1185" t="s">
        <v>262</v>
      </c>
      <c r="AI1185" t="s">
        <v>262</v>
      </c>
      <c r="AJ1185" t="s">
        <v>261</v>
      </c>
      <c r="AK1185" t="s">
        <v>261</v>
      </c>
      <c r="AM1185" t="s">
        <v>262</v>
      </c>
      <c r="AN1185" t="s">
        <v>3485</v>
      </c>
    </row>
    <row r="1186" spans="1:40" x14ac:dyDescent="0.35">
      <c r="A1186">
        <v>5772835</v>
      </c>
      <c r="B1186" t="s">
        <v>3486</v>
      </c>
      <c r="C1186" t="str">
        <f>"9783110549508"</f>
        <v>9783110549508</v>
      </c>
      <c r="D1186" t="str">
        <f>"9783110549683"</f>
        <v>9783110549683</v>
      </c>
      <c r="E1186" t="s">
        <v>415</v>
      </c>
      <c r="F1186" t="s">
        <v>415</v>
      </c>
      <c r="G1186" s="1">
        <v>43591</v>
      </c>
      <c r="H1186" s="1">
        <v>44353</v>
      </c>
      <c r="I1186" t="s">
        <v>189</v>
      </c>
      <c r="J1186">
        <v>1</v>
      </c>
      <c r="K1186" t="s">
        <v>2214</v>
      </c>
      <c r="L1186" t="s">
        <v>3487</v>
      </c>
      <c r="M1186" t="s">
        <v>239</v>
      </c>
      <c r="Q1186" t="s">
        <v>408</v>
      </c>
      <c r="R1186" t="s">
        <v>261</v>
      </c>
      <c r="S1186" t="s">
        <v>261</v>
      </c>
      <c r="T1186" t="s">
        <v>261</v>
      </c>
      <c r="U1186" t="s">
        <v>261</v>
      </c>
      <c r="V1186" t="s">
        <v>262</v>
      </c>
      <c r="W1186" t="s">
        <v>261</v>
      </c>
      <c r="X1186" t="s">
        <v>261</v>
      </c>
      <c r="Y1186" t="s">
        <v>261</v>
      </c>
      <c r="Z1186" t="s">
        <v>409</v>
      </c>
      <c r="AA1186" t="s">
        <v>409</v>
      </c>
      <c r="AB1186" t="s">
        <v>409</v>
      </c>
      <c r="AC1186" t="s">
        <v>409</v>
      </c>
      <c r="AD1186" t="s">
        <v>261</v>
      </c>
      <c r="AH1186" t="s">
        <v>262</v>
      </c>
      <c r="AI1186" t="s">
        <v>262</v>
      </c>
      <c r="AJ1186" t="s">
        <v>261</v>
      </c>
      <c r="AK1186" t="s">
        <v>261</v>
      </c>
      <c r="AM1186" t="s">
        <v>262</v>
      </c>
      <c r="AN1186" t="s">
        <v>3488</v>
      </c>
    </row>
    <row r="1187" spans="1:40" x14ac:dyDescent="0.35">
      <c r="A1187">
        <v>5779776</v>
      </c>
      <c r="B1187" t="s">
        <v>3489</v>
      </c>
      <c r="C1187" t="str">
        <f>"9781478003595"</f>
        <v>9781478003595</v>
      </c>
      <c r="D1187" t="str">
        <f>"9781478004516"</f>
        <v>9781478004516</v>
      </c>
      <c r="E1187" t="s">
        <v>687</v>
      </c>
      <c r="F1187" t="s">
        <v>687</v>
      </c>
      <c r="G1187" s="1">
        <v>43637</v>
      </c>
      <c r="H1187" s="1">
        <v>43611</v>
      </c>
      <c r="I1187" t="s">
        <v>189</v>
      </c>
      <c r="J1187">
        <v>1</v>
      </c>
      <c r="L1187" t="s">
        <v>3490</v>
      </c>
      <c r="M1187" t="s">
        <v>807</v>
      </c>
    </row>
    <row r="1188" spans="1:40" x14ac:dyDescent="0.35">
      <c r="A1188">
        <v>5779777</v>
      </c>
      <c r="B1188" t="s">
        <v>3491</v>
      </c>
      <c r="C1188" t="str">
        <f>"9781478003199"</f>
        <v>9781478003199</v>
      </c>
      <c r="D1188" t="str">
        <f>"9781478004400"</f>
        <v>9781478004400</v>
      </c>
      <c r="E1188" t="s">
        <v>687</v>
      </c>
      <c r="F1188" t="s">
        <v>687</v>
      </c>
      <c r="G1188" s="1">
        <v>43658</v>
      </c>
      <c r="H1188" s="1">
        <v>43611</v>
      </c>
      <c r="I1188" t="s">
        <v>189</v>
      </c>
      <c r="J1188">
        <v>1</v>
      </c>
      <c r="L1188" t="s">
        <v>3492</v>
      </c>
      <c r="M1188" t="s">
        <v>3481</v>
      </c>
    </row>
    <row r="1189" spans="1:40" x14ac:dyDescent="0.35">
      <c r="A1189">
        <v>5779779</v>
      </c>
      <c r="B1189" t="s">
        <v>3493</v>
      </c>
      <c r="C1189" t="str">
        <f>"9781478001911"</f>
        <v>9781478001911</v>
      </c>
      <c r="D1189" t="str">
        <f>"9781478003427"</f>
        <v>9781478003427</v>
      </c>
      <c r="E1189" t="s">
        <v>687</v>
      </c>
      <c r="F1189" t="s">
        <v>687</v>
      </c>
      <c r="G1189" s="1">
        <v>43644</v>
      </c>
      <c r="H1189" s="1">
        <v>43611</v>
      </c>
      <c r="I1189" t="s">
        <v>189</v>
      </c>
      <c r="J1189">
        <v>1</v>
      </c>
      <c r="K1189" t="s">
        <v>3494</v>
      </c>
      <c r="L1189" t="s">
        <v>3495</v>
      </c>
      <c r="M1189" t="s">
        <v>239</v>
      </c>
      <c r="N1189" t="s">
        <v>3496</v>
      </c>
      <c r="Q1189" t="s">
        <v>260</v>
      </c>
      <c r="R1189" t="s">
        <v>261</v>
      </c>
      <c r="S1189" t="s">
        <v>261</v>
      </c>
      <c r="T1189" t="s">
        <v>261</v>
      </c>
      <c r="U1189" t="s">
        <v>261</v>
      </c>
      <c r="V1189" t="s">
        <v>262</v>
      </c>
      <c r="W1189" t="s">
        <v>261</v>
      </c>
      <c r="X1189" t="s">
        <v>261</v>
      </c>
      <c r="Y1189" t="s">
        <v>261</v>
      </c>
      <c r="Z1189" t="s">
        <v>409</v>
      </c>
      <c r="AB1189" t="s">
        <v>409</v>
      </c>
      <c r="AC1189" t="s">
        <v>409</v>
      </c>
      <c r="AD1189" t="s">
        <v>262</v>
      </c>
      <c r="AH1189" t="s">
        <v>262</v>
      </c>
      <c r="AI1189" t="s">
        <v>262</v>
      </c>
      <c r="AJ1189" t="s">
        <v>261</v>
      </c>
      <c r="AK1189" t="s">
        <v>261</v>
      </c>
      <c r="AM1189" t="s">
        <v>262</v>
      </c>
      <c r="AN1189" t="s">
        <v>3497</v>
      </c>
    </row>
    <row r="1190" spans="1:40" x14ac:dyDescent="0.35">
      <c r="A1190">
        <v>5781361</v>
      </c>
      <c r="B1190" t="s">
        <v>3498</v>
      </c>
      <c r="C1190" t="str">
        <f>"9781783747399"</f>
        <v>9781783747399</v>
      </c>
      <c r="D1190" t="str">
        <f>"9781783747405"</f>
        <v>9781783747405</v>
      </c>
      <c r="E1190" t="s">
        <v>1807</v>
      </c>
      <c r="F1190" t="s">
        <v>1807</v>
      </c>
      <c r="G1190" s="1">
        <v>43606</v>
      </c>
      <c r="H1190" s="1">
        <v>43686</v>
      </c>
      <c r="I1190" t="s">
        <v>189</v>
      </c>
      <c r="J1190">
        <v>1</v>
      </c>
      <c r="K1190" t="s">
        <v>2114</v>
      </c>
      <c r="L1190" t="s">
        <v>44</v>
      </c>
    </row>
    <row r="1191" spans="1:40" x14ac:dyDescent="0.35">
      <c r="A1191">
        <v>5788944</v>
      </c>
      <c r="B1191" t="s">
        <v>3499</v>
      </c>
      <c r="C1191" t="str">
        <f>"9783030053178"</f>
        <v>9783030053178</v>
      </c>
      <c r="D1191" t="str">
        <f>"9783030053185"</f>
        <v>9783030053185</v>
      </c>
      <c r="E1191" t="s">
        <v>2289</v>
      </c>
      <c r="F1191" t="s">
        <v>2290</v>
      </c>
      <c r="G1191" s="1">
        <v>43613</v>
      </c>
      <c r="H1191" s="1">
        <v>43688</v>
      </c>
      <c r="I1191" t="s">
        <v>189</v>
      </c>
      <c r="K1191" t="s">
        <v>3500</v>
      </c>
      <c r="L1191" t="s">
        <v>3501</v>
      </c>
    </row>
    <row r="1192" spans="1:40" x14ac:dyDescent="0.35">
      <c r="A1192">
        <v>5796132</v>
      </c>
      <c r="B1192" t="s">
        <v>3502</v>
      </c>
      <c r="C1192" t="str">
        <f>"9782759229970"</f>
        <v>9782759229970</v>
      </c>
      <c r="D1192" t="str">
        <f>"9782759229987"</f>
        <v>9782759229987</v>
      </c>
      <c r="E1192" t="s">
        <v>1928</v>
      </c>
      <c r="F1192" t="s">
        <v>1928</v>
      </c>
      <c r="G1192" s="1">
        <v>43636</v>
      </c>
      <c r="H1192" s="1">
        <v>44546</v>
      </c>
      <c r="I1192" t="s">
        <v>189</v>
      </c>
      <c r="K1192" t="s">
        <v>2571</v>
      </c>
      <c r="L1192" t="s">
        <v>3503</v>
      </c>
    </row>
    <row r="1193" spans="1:40" x14ac:dyDescent="0.35">
      <c r="A1193">
        <v>5796134</v>
      </c>
      <c r="B1193" t="s">
        <v>3504</v>
      </c>
      <c r="C1193" t="str">
        <f>"9782759230563"</f>
        <v>9782759230563</v>
      </c>
      <c r="D1193" t="str">
        <f>"9782759230570"</f>
        <v>9782759230570</v>
      </c>
      <c r="E1193" t="s">
        <v>1928</v>
      </c>
      <c r="F1193" t="s">
        <v>1928</v>
      </c>
      <c r="G1193" s="1">
        <v>43641</v>
      </c>
      <c r="H1193" s="1">
        <v>44546</v>
      </c>
      <c r="I1193" t="s">
        <v>189</v>
      </c>
      <c r="K1193" t="s">
        <v>2568</v>
      </c>
      <c r="L1193" t="s">
        <v>3411</v>
      </c>
    </row>
    <row r="1194" spans="1:40" x14ac:dyDescent="0.35">
      <c r="A1194">
        <v>5797730</v>
      </c>
      <c r="B1194" t="s">
        <v>3505</v>
      </c>
      <c r="C1194" t="str">
        <f>"9781783747450"</f>
        <v>9781783747450</v>
      </c>
      <c r="D1194" t="str">
        <f>"9781783747467"</f>
        <v>9781783747467</v>
      </c>
      <c r="E1194" t="s">
        <v>1807</v>
      </c>
      <c r="F1194" t="s">
        <v>1807</v>
      </c>
      <c r="G1194" s="1">
        <v>43633</v>
      </c>
      <c r="H1194" s="1">
        <v>43643</v>
      </c>
      <c r="I1194" t="s">
        <v>189</v>
      </c>
      <c r="J1194">
        <v>1</v>
      </c>
      <c r="L1194" t="s">
        <v>3506</v>
      </c>
      <c r="M1194" t="s">
        <v>239</v>
      </c>
      <c r="Q1194" t="s">
        <v>260</v>
      </c>
      <c r="R1194" t="s">
        <v>261</v>
      </c>
      <c r="S1194" t="s">
        <v>261</v>
      </c>
      <c r="T1194" t="s">
        <v>261</v>
      </c>
      <c r="U1194" t="s">
        <v>261</v>
      </c>
      <c r="V1194" t="s">
        <v>262</v>
      </c>
      <c r="W1194" t="s">
        <v>261</v>
      </c>
      <c r="X1194" t="s">
        <v>261</v>
      </c>
      <c r="Y1194" t="s">
        <v>261</v>
      </c>
      <c r="Z1194" t="s">
        <v>409</v>
      </c>
      <c r="AA1194" t="s">
        <v>409</v>
      </c>
      <c r="AB1194" t="s">
        <v>409</v>
      </c>
      <c r="AC1194" t="s">
        <v>409</v>
      </c>
      <c r="AD1194" t="s">
        <v>262</v>
      </c>
      <c r="AH1194" t="s">
        <v>262</v>
      </c>
      <c r="AI1194" t="s">
        <v>262</v>
      </c>
      <c r="AJ1194" t="s">
        <v>261</v>
      </c>
      <c r="AK1194" t="s">
        <v>261</v>
      </c>
      <c r="AM1194" t="s">
        <v>262</v>
      </c>
      <c r="AN1194" t="s">
        <v>3507</v>
      </c>
    </row>
    <row r="1195" spans="1:40" x14ac:dyDescent="0.35">
      <c r="A1195">
        <v>5797745</v>
      </c>
      <c r="B1195" t="s">
        <v>3508</v>
      </c>
      <c r="C1195" t="str">
        <f>"9781783746699"</f>
        <v>9781783746699</v>
      </c>
      <c r="D1195" t="str">
        <f>"9781783746705"</f>
        <v>9781783746705</v>
      </c>
      <c r="E1195" t="s">
        <v>1807</v>
      </c>
      <c r="F1195" t="s">
        <v>1807</v>
      </c>
      <c r="G1195" s="1">
        <v>43646</v>
      </c>
      <c r="H1195" s="1">
        <v>43643</v>
      </c>
      <c r="I1195" t="s">
        <v>189</v>
      </c>
      <c r="J1195">
        <v>1</v>
      </c>
      <c r="L1195" t="s">
        <v>3509</v>
      </c>
      <c r="M1195" t="s">
        <v>582</v>
      </c>
    </row>
    <row r="1196" spans="1:40" x14ac:dyDescent="0.35">
      <c r="A1196">
        <v>5811413</v>
      </c>
      <c r="B1196" t="s">
        <v>3510</v>
      </c>
      <c r="C1196" t="str">
        <f>"9781783747009"</f>
        <v>9781783747009</v>
      </c>
      <c r="D1196" t="str">
        <f>"9781783747016"</f>
        <v>9781783747016</v>
      </c>
      <c r="E1196" t="s">
        <v>1807</v>
      </c>
      <c r="F1196" t="s">
        <v>1807</v>
      </c>
      <c r="G1196" s="1">
        <v>43627</v>
      </c>
      <c r="H1196" s="1">
        <v>43653</v>
      </c>
      <c r="I1196" t="s">
        <v>189</v>
      </c>
      <c r="J1196">
        <v>1</v>
      </c>
      <c r="K1196" t="s">
        <v>2545</v>
      </c>
      <c r="L1196" t="s">
        <v>3511</v>
      </c>
    </row>
    <row r="1197" spans="1:40" x14ac:dyDescent="0.35">
      <c r="A1197">
        <v>5834351</v>
      </c>
      <c r="B1197" t="s">
        <v>3512</v>
      </c>
      <c r="C1197" t="str">
        <f>"9781438475431"</f>
        <v>9781438475431</v>
      </c>
      <c r="D1197" t="str">
        <f>"9781438475448"</f>
        <v>9781438475448</v>
      </c>
      <c r="E1197" t="s">
        <v>2073</v>
      </c>
      <c r="F1197" t="s">
        <v>2074</v>
      </c>
      <c r="G1197" s="1">
        <v>43678</v>
      </c>
      <c r="H1197" s="1">
        <v>43709</v>
      </c>
      <c r="I1197" t="s">
        <v>189</v>
      </c>
      <c r="J1197">
        <v>1</v>
      </c>
      <c r="K1197" t="s">
        <v>2075</v>
      </c>
      <c r="L1197" t="s">
        <v>3513</v>
      </c>
      <c r="M1197" t="s">
        <v>210</v>
      </c>
      <c r="Q1197" t="s">
        <v>260</v>
      </c>
      <c r="R1197" t="s">
        <v>261</v>
      </c>
      <c r="S1197" t="s">
        <v>261</v>
      </c>
      <c r="T1197" t="s">
        <v>261</v>
      </c>
      <c r="U1197" t="s">
        <v>261</v>
      </c>
      <c r="V1197" t="s">
        <v>262</v>
      </c>
      <c r="W1197" t="s">
        <v>261</v>
      </c>
      <c r="X1197" t="s">
        <v>261</v>
      </c>
      <c r="Y1197" t="s">
        <v>261</v>
      </c>
      <c r="Z1197" t="s">
        <v>409</v>
      </c>
      <c r="AA1197" t="s">
        <v>409</v>
      </c>
      <c r="AB1197" t="s">
        <v>409</v>
      </c>
      <c r="AC1197" t="s">
        <v>409</v>
      </c>
      <c r="AD1197" t="s">
        <v>262</v>
      </c>
      <c r="AH1197" t="s">
        <v>262</v>
      </c>
      <c r="AI1197" t="s">
        <v>262</v>
      </c>
      <c r="AJ1197" t="s">
        <v>261</v>
      </c>
      <c r="AK1197" t="s">
        <v>261</v>
      </c>
      <c r="AM1197" t="s">
        <v>262</v>
      </c>
      <c r="AN1197" t="s">
        <v>3514</v>
      </c>
    </row>
    <row r="1198" spans="1:40" x14ac:dyDescent="0.35">
      <c r="A1198">
        <v>5838458</v>
      </c>
      <c r="B1198" t="s">
        <v>3515</v>
      </c>
      <c r="C1198" t="str">
        <f>"9781783745173"</f>
        <v>9781783745173</v>
      </c>
      <c r="D1198" t="str">
        <f>"9781783745180"</f>
        <v>9781783745180</v>
      </c>
      <c r="E1198" t="s">
        <v>1807</v>
      </c>
      <c r="F1198" t="s">
        <v>1807</v>
      </c>
      <c r="G1198" s="1">
        <v>43641</v>
      </c>
      <c r="H1198" s="1">
        <v>43672</v>
      </c>
      <c r="I1198" t="s">
        <v>189</v>
      </c>
      <c r="J1198">
        <v>1</v>
      </c>
      <c r="L1198" t="s">
        <v>2650</v>
      </c>
      <c r="M1198" t="s">
        <v>219</v>
      </c>
      <c r="Q1198" t="s">
        <v>260</v>
      </c>
      <c r="R1198" t="s">
        <v>261</v>
      </c>
      <c r="S1198" t="s">
        <v>261</v>
      </c>
      <c r="T1198" t="s">
        <v>261</v>
      </c>
      <c r="U1198" t="s">
        <v>261</v>
      </c>
      <c r="V1198" t="s">
        <v>262</v>
      </c>
      <c r="W1198" t="s">
        <v>261</v>
      </c>
      <c r="X1198" t="s">
        <v>261</v>
      </c>
      <c r="Y1198" t="s">
        <v>261</v>
      </c>
      <c r="Z1198" t="s">
        <v>409</v>
      </c>
      <c r="AA1198" t="s">
        <v>409</v>
      </c>
      <c r="AB1198" t="s">
        <v>409</v>
      </c>
      <c r="AC1198" t="s">
        <v>409</v>
      </c>
      <c r="AD1198" t="s">
        <v>262</v>
      </c>
      <c r="AH1198" t="s">
        <v>262</v>
      </c>
      <c r="AI1198" t="s">
        <v>262</v>
      </c>
      <c r="AJ1198" t="s">
        <v>261</v>
      </c>
      <c r="AK1198" t="s">
        <v>261</v>
      </c>
      <c r="AM1198" t="s">
        <v>262</v>
      </c>
      <c r="AN1198" t="s">
        <v>3516</v>
      </c>
    </row>
    <row r="1199" spans="1:40" x14ac:dyDescent="0.35">
      <c r="A1199">
        <v>5838459</v>
      </c>
      <c r="B1199" t="s">
        <v>3517</v>
      </c>
      <c r="C1199" t="str">
        <f>"9781783747115"</f>
        <v>9781783747115</v>
      </c>
      <c r="D1199" t="str">
        <f>"9781783747122"</f>
        <v>9781783747122</v>
      </c>
      <c r="E1199" t="s">
        <v>1807</v>
      </c>
      <c r="F1199" t="s">
        <v>1807</v>
      </c>
      <c r="G1199" s="1">
        <v>43647</v>
      </c>
      <c r="H1199" s="1">
        <v>43672</v>
      </c>
      <c r="I1199" t="s">
        <v>189</v>
      </c>
      <c r="J1199">
        <v>1</v>
      </c>
      <c r="L1199" t="s">
        <v>3518</v>
      </c>
    </row>
    <row r="1200" spans="1:40" x14ac:dyDescent="0.35">
      <c r="A1200">
        <v>5841200</v>
      </c>
      <c r="B1200" t="s">
        <v>3519</v>
      </c>
      <c r="C1200" t="str">
        <f>"9781942401001"</f>
        <v>9781942401001</v>
      </c>
      <c r="D1200" t="str">
        <f>"9781942401018"</f>
        <v>9781942401018</v>
      </c>
      <c r="E1200" t="s">
        <v>3422</v>
      </c>
      <c r="F1200" t="s">
        <v>3422</v>
      </c>
      <c r="G1200" s="1">
        <v>42125</v>
      </c>
      <c r="H1200" s="1">
        <v>43675</v>
      </c>
      <c r="I1200" t="s">
        <v>189</v>
      </c>
      <c r="J1200">
        <v>1</v>
      </c>
      <c r="K1200" t="s">
        <v>3520</v>
      </c>
    </row>
    <row r="1201" spans="1:40" x14ac:dyDescent="0.35">
      <c r="A1201">
        <v>5846456</v>
      </c>
      <c r="B1201" t="s">
        <v>3521</v>
      </c>
      <c r="C1201" t="str">
        <f>"9781783740239"</f>
        <v>9781783740239</v>
      </c>
      <c r="D1201" t="str">
        <f>"9781783740246"</f>
        <v>9781783740246</v>
      </c>
      <c r="E1201" t="s">
        <v>1807</v>
      </c>
      <c r="F1201" t="s">
        <v>1807</v>
      </c>
      <c r="G1201" s="1">
        <v>43654</v>
      </c>
      <c r="H1201" s="1">
        <v>43811</v>
      </c>
      <c r="I1201" t="s">
        <v>189</v>
      </c>
      <c r="J1201">
        <v>1</v>
      </c>
      <c r="L1201" t="s">
        <v>3522</v>
      </c>
      <c r="M1201" t="s">
        <v>323</v>
      </c>
    </row>
    <row r="1202" spans="1:40" x14ac:dyDescent="0.35">
      <c r="A1202">
        <v>5853838</v>
      </c>
      <c r="B1202" t="s">
        <v>3523</v>
      </c>
      <c r="C1202" t="str">
        <f>"9781478005018"</f>
        <v>9781478005018</v>
      </c>
      <c r="D1202" t="str">
        <f>"9781478005346"</f>
        <v>9781478005346</v>
      </c>
      <c r="E1202" t="s">
        <v>687</v>
      </c>
      <c r="F1202" t="s">
        <v>687</v>
      </c>
      <c r="G1202" s="1">
        <v>43721</v>
      </c>
      <c r="H1202" s="1">
        <v>43705</v>
      </c>
      <c r="I1202" t="s">
        <v>189</v>
      </c>
      <c r="J1202">
        <v>1</v>
      </c>
      <c r="K1202" t="s">
        <v>3524</v>
      </c>
      <c r="L1202" t="s">
        <v>3525</v>
      </c>
      <c r="M1202" t="s">
        <v>249</v>
      </c>
      <c r="N1202" t="s">
        <v>3526</v>
      </c>
      <c r="Q1202" t="s">
        <v>260</v>
      </c>
      <c r="R1202" t="s">
        <v>261</v>
      </c>
      <c r="S1202" t="s">
        <v>261</v>
      </c>
      <c r="T1202" t="s">
        <v>261</v>
      </c>
      <c r="U1202" t="s">
        <v>261</v>
      </c>
      <c r="V1202" t="s">
        <v>262</v>
      </c>
      <c r="W1202" t="s">
        <v>261</v>
      </c>
      <c r="X1202" t="s">
        <v>261</v>
      </c>
      <c r="Y1202" t="s">
        <v>261</v>
      </c>
      <c r="Z1202" t="s">
        <v>409</v>
      </c>
      <c r="AB1202" t="s">
        <v>409</v>
      </c>
      <c r="AC1202" t="s">
        <v>409</v>
      </c>
      <c r="AD1202" t="s">
        <v>262</v>
      </c>
      <c r="AH1202" t="s">
        <v>262</v>
      </c>
      <c r="AI1202" t="s">
        <v>262</v>
      </c>
      <c r="AJ1202" t="s">
        <v>261</v>
      </c>
      <c r="AK1202" t="s">
        <v>261</v>
      </c>
      <c r="AM1202" t="s">
        <v>262</v>
      </c>
      <c r="AN1202" t="s">
        <v>3527</v>
      </c>
    </row>
    <row r="1203" spans="1:40" x14ac:dyDescent="0.35">
      <c r="A1203">
        <v>5853842</v>
      </c>
      <c r="B1203" t="s">
        <v>3528</v>
      </c>
      <c r="C1203" t="str">
        <f>"9781478005049"</f>
        <v>9781478005049</v>
      </c>
      <c r="D1203" t="str">
        <f>"9781478005674"</f>
        <v>9781478005674</v>
      </c>
      <c r="E1203" t="s">
        <v>687</v>
      </c>
      <c r="F1203" t="s">
        <v>687</v>
      </c>
      <c r="G1203" s="1">
        <v>43714</v>
      </c>
      <c r="H1203" s="1">
        <v>43776</v>
      </c>
      <c r="I1203" t="s">
        <v>189</v>
      </c>
      <c r="J1203">
        <v>1</v>
      </c>
      <c r="L1203" t="s">
        <v>3529</v>
      </c>
      <c r="M1203" t="s">
        <v>329</v>
      </c>
      <c r="N1203" t="s">
        <v>3530</v>
      </c>
      <c r="Q1203" t="s">
        <v>260</v>
      </c>
      <c r="R1203" t="s">
        <v>261</v>
      </c>
      <c r="S1203" t="s">
        <v>261</v>
      </c>
      <c r="T1203" t="s">
        <v>261</v>
      </c>
      <c r="U1203" t="s">
        <v>261</v>
      </c>
      <c r="V1203" t="s">
        <v>262</v>
      </c>
      <c r="W1203" t="s">
        <v>261</v>
      </c>
      <c r="X1203" t="s">
        <v>261</v>
      </c>
      <c r="Y1203" t="s">
        <v>261</v>
      </c>
      <c r="Z1203" t="s">
        <v>409</v>
      </c>
      <c r="AB1203" t="s">
        <v>409</v>
      </c>
      <c r="AC1203" t="s">
        <v>409</v>
      </c>
      <c r="AD1203" t="s">
        <v>262</v>
      </c>
      <c r="AH1203" t="s">
        <v>262</v>
      </c>
      <c r="AI1203" t="s">
        <v>262</v>
      </c>
      <c r="AJ1203" t="s">
        <v>261</v>
      </c>
      <c r="AK1203" t="s">
        <v>261</v>
      </c>
      <c r="AM1203" t="s">
        <v>262</v>
      </c>
      <c r="AN1203" t="s">
        <v>3531</v>
      </c>
    </row>
    <row r="1204" spans="1:40" x14ac:dyDescent="0.35">
      <c r="A1204">
        <v>5853843</v>
      </c>
      <c r="B1204" t="s">
        <v>3532</v>
      </c>
      <c r="C1204" t="str">
        <f>"9781478004264"</f>
        <v>9781478004264</v>
      </c>
      <c r="D1204" t="str">
        <f>"9781478005292"</f>
        <v>9781478005292</v>
      </c>
      <c r="E1204" t="s">
        <v>687</v>
      </c>
      <c r="F1204" t="s">
        <v>687</v>
      </c>
      <c r="G1204" s="1">
        <v>43721</v>
      </c>
      <c r="H1204" s="1">
        <v>43711</v>
      </c>
      <c r="I1204" t="s">
        <v>189</v>
      </c>
      <c r="J1204">
        <v>1</v>
      </c>
      <c r="L1204" t="s">
        <v>3533</v>
      </c>
      <c r="M1204" t="s">
        <v>389</v>
      </c>
      <c r="N1204" t="s">
        <v>3534</v>
      </c>
      <c r="O1204" t="s">
        <v>3535</v>
      </c>
      <c r="Q1204" t="s">
        <v>260</v>
      </c>
      <c r="R1204" t="s">
        <v>261</v>
      </c>
      <c r="S1204" t="s">
        <v>261</v>
      </c>
      <c r="T1204" t="s">
        <v>261</v>
      </c>
      <c r="U1204" t="s">
        <v>261</v>
      </c>
      <c r="V1204" t="s">
        <v>262</v>
      </c>
      <c r="W1204" t="s">
        <v>261</v>
      </c>
      <c r="X1204" t="s">
        <v>261</v>
      </c>
      <c r="Y1204" t="s">
        <v>261</v>
      </c>
      <c r="Z1204" t="s">
        <v>409</v>
      </c>
      <c r="AB1204" t="s">
        <v>409</v>
      </c>
      <c r="AC1204" t="s">
        <v>409</v>
      </c>
      <c r="AD1204" t="s">
        <v>262</v>
      </c>
      <c r="AH1204" t="s">
        <v>262</v>
      </c>
      <c r="AI1204" t="s">
        <v>262</v>
      </c>
      <c r="AJ1204" t="s">
        <v>261</v>
      </c>
      <c r="AK1204" t="s">
        <v>261</v>
      </c>
      <c r="AM1204" t="s">
        <v>262</v>
      </c>
      <c r="AN1204" t="s">
        <v>3536</v>
      </c>
    </row>
    <row r="1205" spans="1:40" x14ac:dyDescent="0.35">
      <c r="A1205">
        <v>5855006</v>
      </c>
      <c r="B1205" t="s">
        <v>3537</v>
      </c>
      <c r="C1205" t="str">
        <f>"9783110567304"</f>
        <v>9783110567304</v>
      </c>
      <c r="D1205" t="str">
        <f>"9783110567311"</f>
        <v>9783110567311</v>
      </c>
      <c r="E1205" t="s">
        <v>415</v>
      </c>
      <c r="F1205" t="s">
        <v>659</v>
      </c>
      <c r="G1205" s="1">
        <v>43333</v>
      </c>
      <c r="H1205" s="1">
        <v>43728</v>
      </c>
      <c r="I1205" t="s">
        <v>189</v>
      </c>
      <c r="J1205">
        <v>1</v>
      </c>
      <c r="L1205" t="s">
        <v>3538</v>
      </c>
      <c r="M1205" t="s">
        <v>316</v>
      </c>
    </row>
    <row r="1206" spans="1:40" x14ac:dyDescent="0.35">
      <c r="A1206">
        <v>5855100</v>
      </c>
      <c r="B1206" t="s">
        <v>3539</v>
      </c>
      <c r="C1206" t="str">
        <f>"9783110567328"</f>
        <v>9783110567328</v>
      </c>
      <c r="D1206" t="str">
        <f>"9783110567496"</f>
        <v>9783110567496</v>
      </c>
      <c r="E1206" t="s">
        <v>415</v>
      </c>
      <c r="F1206" t="s">
        <v>3134</v>
      </c>
      <c r="G1206" s="1">
        <v>43230</v>
      </c>
      <c r="H1206" s="1">
        <v>43728</v>
      </c>
      <c r="I1206" t="s">
        <v>189</v>
      </c>
      <c r="J1206">
        <v>1</v>
      </c>
      <c r="L1206" t="s">
        <v>3540</v>
      </c>
      <c r="M1206" t="s">
        <v>1578</v>
      </c>
      <c r="Q1206" t="s">
        <v>260</v>
      </c>
      <c r="R1206" t="s">
        <v>261</v>
      </c>
      <c r="S1206" t="s">
        <v>261</v>
      </c>
      <c r="T1206" t="s">
        <v>261</v>
      </c>
      <c r="U1206" t="s">
        <v>261</v>
      </c>
      <c r="V1206" t="s">
        <v>262</v>
      </c>
      <c r="W1206" t="s">
        <v>261</v>
      </c>
      <c r="X1206" t="s">
        <v>261</v>
      </c>
      <c r="Y1206" t="s">
        <v>261</v>
      </c>
      <c r="Z1206" t="s">
        <v>409</v>
      </c>
      <c r="AA1206" t="s">
        <v>409</v>
      </c>
      <c r="AB1206" t="s">
        <v>409</v>
      </c>
      <c r="AC1206" t="s">
        <v>409</v>
      </c>
      <c r="AD1206" t="s">
        <v>261</v>
      </c>
      <c r="AH1206" t="s">
        <v>262</v>
      </c>
      <c r="AI1206" t="s">
        <v>262</v>
      </c>
      <c r="AJ1206" t="s">
        <v>261</v>
      </c>
      <c r="AK1206" t="s">
        <v>261</v>
      </c>
      <c r="AM1206" t="s">
        <v>262</v>
      </c>
      <c r="AN1206" t="s">
        <v>3541</v>
      </c>
    </row>
    <row r="1207" spans="1:40" x14ac:dyDescent="0.35">
      <c r="A1207">
        <v>5855105</v>
      </c>
      <c r="B1207" t="s">
        <v>3542</v>
      </c>
      <c r="C1207" t="str">
        <f>"9783110571202"</f>
        <v>9783110571202</v>
      </c>
      <c r="D1207" t="str">
        <f>"9783110571219"</f>
        <v>9783110571219</v>
      </c>
      <c r="E1207" t="s">
        <v>415</v>
      </c>
      <c r="F1207" t="s">
        <v>3134</v>
      </c>
      <c r="G1207" s="1">
        <v>43406</v>
      </c>
      <c r="H1207" s="1">
        <v>43728</v>
      </c>
      <c r="I1207" t="s">
        <v>189</v>
      </c>
      <c r="J1207">
        <v>1</v>
      </c>
      <c r="L1207" t="s">
        <v>3543</v>
      </c>
    </row>
    <row r="1208" spans="1:40" x14ac:dyDescent="0.35">
      <c r="A1208">
        <v>5855371</v>
      </c>
      <c r="B1208" t="s">
        <v>3544</v>
      </c>
      <c r="C1208" t="str">
        <f>"9783110571233"</f>
        <v>9783110571233</v>
      </c>
      <c r="D1208" t="str">
        <f>"9783110571240"</f>
        <v>9783110571240</v>
      </c>
      <c r="E1208" t="s">
        <v>415</v>
      </c>
      <c r="F1208" t="s">
        <v>3134</v>
      </c>
      <c r="G1208" s="1">
        <v>43100</v>
      </c>
      <c r="H1208" s="1">
        <v>43728</v>
      </c>
      <c r="I1208" t="s">
        <v>189</v>
      </c>
      <c r="J1208">
        <v>1</v>
      </c>
      <c r="L1208" t="s">
        <v>3545</v>
      </c>
    </row>
    <row r="1209" spans="1:40" x14ac:dyDescent="0.35">
      <c r="A1209">
        <v>5879741</v>
      </c>
      <c r="B1209" t="s">
        <v>3546</v>
      </c>
      <c r="C1209" t="str">
        <f>"9781783747054"</f>
        <v>9781783747054</v>
      </c>
      <c r="D1209" t="str">
        <f>"9781783747061"</f>
        <v>9781783747061</v>
      </c>
      <c r="E1209" t="s">
        <v>1807</v>
      </c>
      <c r="F1209" t="s">
        <v>1807</v>
      </c>
      <c r="G1209" s="1">
        <v>43682</v>
      </c>
      <c r="H1209" s="1">
        <v>43701</v>
      </c>
      <c r="I1209" t="s">
        <v>189</v>
      </c>
      <c r="J1209">
        <v>1</v>
      </c>
      <c r="L1209" t="s">
        <v>3547</v>
      </c>
    </row>
    <row r="1210" spans="1:40" x14ac:dyDescent="0.35">
      <c r="A1210">
        <v>5894383</v>
      </c>
      <c r="B1210" t="s">
        <v>3548</v>
      </c>
      <c r="C1210" t="str">
        <f>"9789462983663"</f>
        <v>9789462983663</v>
      </c>
      <c r="D1210" t="str">
        <f>"9789048534012"</f>
        <v>9789048534012</v>
      </c>
      <c r="E1210" t="s">
        <v>361</v>
      </c>
      <c r="F1210" t="s">
        <v>361</v>
      </c>
      <c r="G1210" s="1">
        <v>43739</v>
      </c>
      <c r="H1210" s="1">
        <v>43720</v>
      </c>
      <c r="I1210" t="s">
        <v>189</v>
      </c>
      <c r="J1210">
        <v>1</v>
      </c>
      <c r="K1210" t="s">
        <v>3549</v>
      </c>
      <c r="L1210" t="s">
        <v>3550</v>
      </c>
    </row>
    <row r="1211" spans="1:40" x14ac:dyDescent="0.35">
      <c r="A1211">
        <v>5896598</v>
      </c>
      <c r="B1211" t="s">
        <v>3551</v>
      </c>
      <c r="C1211" t="str">
        <f>"9781783747511"</f>
        <v>9781783747511</v>
      </c>
      <c r="D1211" t="str">
        <f>"9781783747528"</f>
        <v>9781783747528</v>
      </c>
      <c r="E1211" t="s">
        <v>1807</v>
      </c>
      <c r="F1211" t="s">
        <v>1807</v>
      </c>
      <c r="G1211" s="1">
        <v>43704</v>
      </c>
      <c r="H1211" s="1">
        <v>43722</v>
      </c>
      <c r="I1211" t="s">
        <v>189</v>
      </c>
      <c r="J1211">
        <v>1</v>
      </c>
      <c r="L1211" t="s">
        <v>3552</v>
      </c>
    </row>
    <row r="1212" spans="1:40" x14ac:dyDescent="0.35">
      <c r="A1212">
        <v>5896809</v>
      </c>
      <c r="B1212" t="s">
        <v>3553</v>
      </c>
      <c r="C1212" t="str">
        <f>"9781438475639"</f>
        <v>9781438475639</v>
      </c>
      <c r="D1212" t="str">
        <f>"9781438475653"</f>
        <v>9781438475653</v>
      </c>
      <c r="E1212" t="s">
        <v>2073</v>
      </c>
      <c r="F1212" t="s">
        <v>2074</v>
      </c>
      <c r="G1212" s="1">
        <v>43709</v>
      </c>
      <c r="H1212" s="1">
        <v>43723</v>
      </c>
      <c r="I1212" t="s">
        <v>189</v>
      </c>
      <c r="J1212">
        <v>1</v>
      </c>
      <c r="K1212" t="s">
        <v>3554</v>
      </c>
      <c r="L1212" t="s">
        <v>3555</v>
      </c>
    </row>
    <row r="1213" spans="1:40" x14ac:dyDescent="0.35">
      <c r="A1213">
        <v>5899201</v>
      </c>
      <c r="B1213" t="s">
        <v>3556</v>
      </c>
      <c r="C1213" t="str">
        <f>"9781644691281"</f>
        <v>9781644691281</v>
      </c>
      <c r="D1213" t="str">
        <f>"9781644691304"</f>
        <v>9781644691304</v>
      </c>
      <c r="E1213" t="s">
        <v>1592</v>
      </c>
      <c r="F1213" t="s">
        <v>1592</v>
      </c>
      <c r="G1213" s="1">
        <v>43725</v>
      </c>
      <c r="H1213" s="1">
        <v>43728</v>
      </c>
      <c r="I1213" t="s">
        <v>189</v>
      </c>
      <c r="J1213">
        <v>1</v>
      </c>
      <c r="L1213" t="s">
        <v>1721</v>
      </c>
    </row>
    <row r="1214" spans="1:40" x14ac:dyDescent="0.35">
      <c r="A1214">
        <v>5909950</v>
      </c>
      <c r="B1214" t="s">
        <v>3557</v>
      </c>
      <c r="C1214" t="str">
        <f>"9781783747573"</f>
        <v>9781783747573</v>
      </c>
      <c r="D1214" t="str">
        <f>"9781783747580"</f>
        <v>9781783747580</v>
      </c>
      <c r="E1214" t="s">
        <v>1807</v>
      </c>
      <c r="F1214" t="s">
        <v>1807</v>
      </c>
      <c r="G1214" s="1">
        <v>43707</v>
      </c>
      <c r="H1214" s="1">
        <v>43739</v>
      </c>
      <c r="I1214" t="s">
        <v>189</v>
      </c>
      <c r="J1214">
        <v>1</v>
      </c>
      <c r="L1214" t="s">
        <v>1860</v>
      </c>
      <c r="M1214" t="s">
        <v>329</v>
      </c>
    </row>
    <row r="1215" spans="1:40" x14ac:dyDescent="0.35">
      <c r="A1215">
        <v>5921930</v>
      </c>
      <c r="B1215" t="s">
        <v>3558</v>
      </c>
      <c r="C1215" t="str">
        <f>"9783030184797"</f>
        <v>9783030184797</v>
      </c>
      <c r="D1215" t="str">
        <f>"9783030184803"</f>
        <v>9783030184803</v>
      </c>
      <c r="E1215" t="s">
        <v>2289</v>
      </c>
      <c r="F1215" t="s">
        <v>2290</v>
      </c>
      <c r="G1215" s="1">
        <v>43662</v>
      </c>
      <c r="H1215" s="1">
        <v>43812</v>
      </c>
      <c r="I1215" t="s">
        <v>189</v>
      </c>
      <c r="K1215" t="s">
        <v>3559</v>
      </c>
      <c r="L1215" t="s">
        <v>3560</v>
      </c>
    </row>
    <row r="1216" spans="1:40" x14ac:dyDescent="0.35">
      <c r="A1216">
        <v>5922126</v>
      </c>
      <c r="B1216" t="s">
        <v>3561</v>
      </c>
      <c r="C1216" t="str">
        <f>"9789811311895"</f>
        <v>9789811311895</v>
      </c>
      <c r="D1216" t="str">
        <f>"9789811311901"</f>
        <v>9789811311901</v>
      </c>
      <c r="E1216" t="s">
        <v>3404</v>
      </c>
      <c r="F1216" t="s">
        <v>2663</v>
      </c>
      <c r="G1216" s="1">
        <v>43501</v>
      </c>
      <c r="H1216" s="1">
        <v>43889</v>
      </c>
      <c r="I1216" t="s">
        <v>189</v>
      </c>
      <c r="K1216" t="s">
        <v>3562</v>
      </c>
      <c r="L1216" t="s">
        <v>3563</v>
      </c>
    </row>
    <row r="1217" spans="1:40" x14ac:dyDescent="0.35">
      <c r="A1217">
        <v>5928235</v>
      </c>
      <c r="B1217" t="s">
        <v>3564</v>
      </c>
      <c r="C1217" t="str">
        <f>""</f>
        <v/>
      </c>
      <c r="D1217" t="str">
        <f>"9789048550463"</f>
        <v>9789048550463</v>
      </c>
      <c r="E1217" t="s">
        <v>361</v>
      </c>
      <c r="F1217" t="s">
        <v>361</v>
      </c>
      <c r="G1217" s="1">
        <v>43755</v>
      </c>
      <c r="H1217" s="1">
        <v>43747</v>
      </c>
      <c r="I1217" t="s">
        <v>189</v>
      </c>
      <c r="J1217">
        <v>1</v>
      </c>
      <c r="K1217" t="s">
        <v>3565</v>
      </c>
      <c r="L1217" t="s">
        <v>3566</v>
      </c>
      <c r="M1217" t="s">
        <v>1302</v>
      </c>
    </row>
    <row r="1218" spans="1:40" x14ac:dyDescent="0.35">
      <c r="A1218">
        <v>5945037</v>
      </c>
      <c r="B1218" t="s">
        <v>3567</v>
      </c>
      <c r="C1218" t="str">
        <f>"9781783747986"</f>
        <v>9781783747986</v>
      </c>
      <c r="D1218" t="str">
        <f>"9781783747993"</f>
        <v>9781783747993</v>
      </c>
      <c r="E1218" t="s">
        <v>1807</v>
      </c>
      <c r="F1218" t="s">
        <v>1807</v>
      </c>
      <c r="G1218" s="1">
        <v>43739</v>
      </c>
      <c r="H1218" s="1">
        <v>43754</v>
      </c>
      <c r="I1218" t="s">
        <v>189</v>
      </c>
      <c r="J1218">
        <v>1</v>
      </c>
      <c r="K1218" t="s">
        <v>1851</v>
      </c>
      <c r="L1218" t="s">
        <v>3568</v>
      </c>
    </row>
    <row r="1219" spans="1:40" x14ac:dyDescent="0.35">
      <c r="A1219">
        <v>5945038</v>
      </c>
      <c r="B1219" t="s">
        <v>3569</v>
      </c>
      <c r="C1219" t="str">
        <f>"9781783747801"</f>
        <v>9781783747801</v>
      </c>
      <c r="D1219" t="str">
        <f>"9781783747818"</f>
        <v>9781783747818</v>
      </c>
      <c r="E1219" t="s">
        <v>1807</v>
      </c>
      <c r="F1219" t="s">
        <v>1807</v>
      </c>
      <c r="G1219" s="1">
        <v>43740</v>
      </c>
      <c r="H1219" s="1">
        <v>43754</v>
      </c>
      <c r="I1219" t="s">
        <v>189</v>
      </c>
      <c r="J1219">
        <v>1</v>
      </c>
      <c r="L1219" t="s">
        <v>3570</v>
      </c>
      <c r="M1219" t="s">
        <v>239</v>
      </c>
    </row>
    <row r="1220" spans="1:40" x14ac:dyDescent="0.35">
      <c r="A1220">
        <v>5965282</v>
      </c>
      <c r="B1220" t="s">
        <v>3571</v>
      </c>
      <c r="C1220" t="str">
        <f>""</f>
        <v/>
      </c>
      <c r="D1220" t="str">
        <f>"9789048537877"</f>
        <v>9789048537877</v>
      </c>
      <c r="E1220" t="s">
        <v>361</v>
      </c>
      <c r="F1220" t="s">
        <v>361</v>
      </c>
      <c r="G1220" s="1">
        <v>43766</v>
      </c>
      <c r="H1220" s="1">
        <v>43763</v>
      </c>
      <c r="I1220" t="s">
        <v>189</v>
      </c>
      <c r="J1220">
        <v>1</v>
      </c>
      <c r="K1220" t="s">
        <v>3572</v>
      </c>
      <c r="L1220" t="s">
        <v>3573</v>
      </c>
      <c r="M1220" t="s">
        <v>3574</v>
      </c>
    </row>
    <row r="1221" spans="1:40" x14ac:dyDescent="0.35">
      <c r="A1221">
        <v>5968193</v>
      </c>
      <c r="B1221" t="s">
        <v>2396</v>
      </c>
      <c r="C1221" t="str">
        <f>"9781783747764"</f>
        <v>9781783747764</v>
      </c>
      <c r="D1221" t="str">
        <f>"9781783747771"</f>
        <v>9781783747771</v>
      </c>
      <c r="E1221" t="s">
        <v>1807</v>
      </c>
      <c r="F1221" t="s">
        <v>1807</v>
      </c>
      <c r="G1221" s="1">
        <v>43754</v>
      </c>
      <c r="H1221" s="1">
        <v>43811</v>
      </c>
      <c r="I1221" t="s">
        <v>189</v>
      </c>
      <c r="J1221">
        <v>2</v>
      </c>
      <c r="K1221" t="s">
        <v>2545</v>
      </c>
      <c r="L1221" t="s">
        <v>2398</v>
      </c>
      <c r="M1221" t="s">
        <v>1318</v>
      </c>
      <c r="Q1221" t="s">
        <v>260</v>
      </c>
      <c r="R1221" t="s">
        <v>261</v>
      </c>
      <c r="S1221" t="s">
        <v>261</v>
      </c>
      <c r="T1221" t="s">
        <v>261</v>
      </c>
      <c r="U1221" t="s">
        <v>261</v>
      </c>
      <c r="V1221" t="s">
        <v>262</v>
      </c>
      <c r="W1221" t="s">
        <v>261</v>
      </c>
      <c r="X1221" t="s">
        <v>261</v>
      </c>
      <c r="Y1221" t="s">
        <v>261</v>
      </c>
      <c r="Z1221" t="s">
        <v>409</v>
      </c>
      <c r="AA1221" t="s">
        <v>409</v>
      </c>
      <c r="AB1221" t="s">
        <v>409</v>
      </c>
      <c r="AC1221" t="s">
        <v>409</v>
      </c>
      <c r="AD1221" t="s">
        <v>262</v>
      </c>
      <c r="AH1221" t="s">
        <v>262</v>
      </c>
      <c r="AI1221" t="s">
        <v>262</v>
      </c>
      <c r="AJ1221" t="s">
        <v>261</v>
      </c>
      <c r="AK1221" t="s">
        <v>261</v>
      </c>
      <c r="AM1221" t="s">
        <v>262</v>
      </c>
      <c r="AN1221" t="s">
        <v>3575</v>
      </c>
    </row>
    <row r="1222" spans="1:40" x14ac:dyDescent="0.35">
      <c r="A1222">
        <v>5969374</v>
      </c>
      <c r="B1222" t="s">
        <v>3576</v>
      </c>
      <c r="C1222" t="str">
        <f>"9783030216283"</f>
        <v>9783030216283</v>
      </c>
      <c r="D1222" t="str">
        <f>"9783030216290"</f>
        <v>9783030216290</v>
      </c>
      <c r="E1222" t="s">
        <v>2289</v>
      </c>
      <c r="F1222" t="s">
        <v>2663</v>
      </c>
      <c r="G1222" s="1">
        <v>43791</v>
      </c>
      <c r="H1222" s="1">
        <v>43835</v>
      </c>
      <c r="I1222" t="s">
        <v>189</v>
      </c>
      <c r="K1222" t="s">
        <v>3577</v>
      </c>
      <c r="L1222" t="s">
        <v>3578</v>
      </c>
    </row>
    <row r="1223" spans="1:40" x14ac:dyDescent="0.35">
      <c r="A1223">
        <v>5969500</v>
      </c>
      <c r="B1223" t="s">
        <v>3579</v>
      </c>
      <c r="C1223" t="str">
        <f>"9781478001867"</f>
        <v>9781478001867</v>
      </c>
      <c r="D1223" t="str">
        <f>"9781478003380"</f>
        <v>9781478003380</v>
      </c>
      <c r="E1223" t="s">
        <v>687</v>
      </c>
      <c r="F1223" t="s">
        <v>687</v>
      </c>
      <c r="G1223" s="1">
        <v>43760</v>
      </c>
      <c r="H1223" s="1">
        <v>43771</v>
      </c>
      <c r="I1223" t="s">
        <v>189</v>
      </c>
      <c r="J1223">
        <v>1</v>
      </c>
      <c r="L1223" t="s">
        <v>3580</v>
      </c>
      <c r="M1223" t="s">
        <v>578</v>
      </c>
      <c r="N1223" t="s">
        <v>3581</v>
      </c>
      <c r="Q1223" t="s">
        <v>260</v>
      </c>
      <c r="R1223" t="s">
        <v>262</v>
      </c>
      <c r="S1223" t="s">
        <v>261</v>
      </c>
      <c r="T1223" t="s">
        <v>261</v>
      </c>
      <c r="U1223" t="s">
        <v>262</v>
      </c>
      <c r="V1223" t="s">
        <v>262</v>
      </c>
      <c r="W1223" t="s">
        <v>261</v>
      </c>
      <c r="X1223" t="s">
        <v>262</v>
      </c>
      <c r="Y1223" t="s">
        <v>262</v>
      </c>
      <c r="Z1223" t="s">
        <v>748</v>
      </c>
      <c r="AB1223" t="s">
        <v>749</v>
      </c>
      <c r="AC1223" t="s">
        <v>748</v>
      </c>
      <c r="AD1223" t="s">
        <v>262</v>
      </c>
      <c r="AH1223" t="s">
        <v>262</v>
      </c>
      <c r="AI1223" t="s">
        <v>261</v>
      </c>
      <c r="AJ1223" t="s">
        <v>261</v>
      </c>
      <c r="AK1223" t="s">
        <v>261</v>
      </c>
      <c r="AM1223" t="s">
        <v>262</v>
      </c>
      <c r="AN1223" t="s">
        <v>3582</v>
      </c>
    </row>
    <row r="1224" spans="1:40" x14ac:dyDescent="0.35">
      <c r="A1224">
        <v>5973781</v>
      </c>
      <c r="B1224" t="s">
        <v>3583</v>
      </c>
      <c r="C1224" t="str">
        <f>"9781478004141"</f>
        <v>9781478004141</v>
      </c>
      <c r="D1224" t="str">
        <f>"9781478005605"</f>
        <v>9781478005605</v>
      </c>
      <c r="E1224" t="s">
        <v>687</v>
      </c>
      <c r="F1224" t="s">
        <v>687</v>
      </c>
      <c r="G1224" s="1">
        <v>43784</v>
      </c>
      <c r="H1224" s="1">
        <v>43777</v>
      </c>
      <c r="I1224" t="s">
        <v>189</v>
      </c>
      <c r="J1224">
        <v>1</v>
      </c>
      <c r="L1224" t="s">
        <v>3584</v>
      </c>
    </row>
    <row r="1225" spans="1:40" x14ac:dyDescent="0.35">
      <c r="A1225">
        <v>5974959</v>
      </c>
      <c r="B1225" t="s">
        <v>3585</v>
      </c>
      <c r="C1225" t="str">
        <f>"9789811384363"</f>
        <v>9789811384363</v>
      </c>
      <c r="D1225" t="str">
        <f>"9789811384370"</f>
        <v>9789811384370</v>
      </c>
      <c r="E1225" t="s">
        <v>3404</v>
      </c>
      <c r="F1225" t="s">
        <v>2663</v>
      </c>
      <c r="G1225" s="1">
        <v>43788</v>
      </c>
      <c r="H1225" s="1">
        <v>43835</v>
      </c>
      <c r="I1225" t="s">
        <v>189</v>
      </c>
      <c r="L1225" t="s">
        <v>3586</v>
      </c>
      <c r="M1225" t="s">
        <v>329</v>
      </c>
    </row>
    <row r="1226" spans="1:40" x14ac:dyDescent="0.35">
      <c r="A1226">
        <v>5977952</v>
      </c>
      <c r="B1226" t="s">
        <v>3587</v>
      </c>
      <c r="C1226" t="str">
        <f>"9781478005445"</f>
        <v>9781478005445</v>
      </c>
      <c r="D1226" t="str">
        <f>"9781478007111"</f>
        <v>9781478007111</v>
      </c>
      <c r="E1226" t="s">
        <v>687</v>
      </c>
      <c r="F1226" t="s">
        <v>687</v>
      </c>
      <c r="G1226" s="1">
        <v>43784</v>
      </c>
      <c r="H1226" s="1">
        <v>43784</v>
      </c>
      <c r="I1226" t="s">
        <v>189</v>
      </c>
      <c r="J1226">
        <v>1</v>
      </c>
      <c r="L1226" t="s">
        <v>3588</v>
      </c>
      <c r="M1226" t="s">
        <v>249</v>
      </c>
      <c r="N1226" t="s">
        <v>3589</v>
      </c>
      <c r="Q1226" t="s">
        <v>260</v>
      </c>
      <c r="R1226" t="s">
        <v>262</v>
      </c>
      <c r="S1226" t="s">
        <v>261</v>
      </c>
      <c r="T1226" t="s">
        <v>261</v>
      </c>
      <c r="U1226" t="s">
        <v>262</v>
      </c>
      <c r="V1226" t="s">
        <v>262</v>
      </c>
      <c r="W1226" t="s">
        <v>261</v>
      </c>
      <c r="X1226" t="s">
        <v>262</v>
      </c>
      <c r="Y1226" t="s">
        <v>262</v>
      </c>
      <c r="Z1226" t="s">
        <v>3359</v>
      </c>
      <c r="AB1226" t="s">
        <v>3360</v>
      </c>
      <c r="AC1226" t="s">
        <v>3359</v>
      </c>
      <c r="AD1226" t="s">
        <v>262</v>
      </c>
      <c r="AH1226" t="s">
        <v>262</v>
      </c>
      <c r="AI1226" t="s">
        <v>261</v>
      </c>
      <c r="AJ1226" t="s">
        <v>261</v>
      </c>
      <c r="AK1226" t="s">
        <v>261</v>
      </c>
      <c r="AM1226" t="s">
        <v>262</v>
      </c>
      <c r="AN1226" t="s">
        <v>3590</v>
      </c>
    </row>
    <row r="1227" spans="1:40" x14ac:dyDescent="0.35">
      <c r="A1227">
        <v>5983013</v>
      </c>
      <c r="B1227" t="s">
        <v>3591</v>
      </c>
      <c r="C1227" t="str">
        <f>"9781478006084"</f>
        <v>9781478006084</v>
      </c>
      <c r="D1227" t="str">
        <f>"9781478007500"</f>
        <v>9781478007500</v>
      </c>
      <c r="E1227" t="s">
        <v>687</v>
      </c>
      <c r="F1227" t="s">
        <v>687</v>
      </c>
      <c r="G1227" s="1">
        <v>43819</v>
      </c>
      <c r="H1227" s="1">
        <v>43791</v>
      </c>
      <c r="I1227" t="s">
        <v>189</v>
      </c>
      <c r="J1227">
        <v>1</v>
      </c>
      <c r="K1227" t="s">
        <v>3592</v>
      </c>
      <c r="L1227" t="s">
        <v>3593</v>
      </c>
      <c r="M1227" t="s">
        <v>239</v>
      </c>
      <c r="N1227" t="s">
        <v>3594</v>
      </c>
      <c r="Q1227" t="s">
        <v>260</v>
      </c>
      <c r="R1227" t="s">
        <v>261</v>
      </c>
      <c r="S1227" t="s">
        <v>261</v>
      </c>
      <c r="T1227" t="s">
        <v>261</v>
      </c>
      <c r="U1227" t="s">
        <v>261</v>
      </c>
      <c r="V1227" t="s">
        <v>262</v>
      </c>
      <c r="W1227" t="s">
        <v>261</v>
      </c>
      <c r="X1227" t="s">
        <v>261</v>
      </c>
      <c r="Y1227" t="s">
        <v>261</v>
      </c>
      <c r="Z1227" t="s">
        <v>409</v>
      </c>
      <c r="AB1227" t="s">
        <v>409</v>
      </c>
      <c r="AC1227" t="s">
        <v>409</v>
      </c>
      <c r="AD1227" t="s">
        <v>262</v>
      </c>
      <c r="AH1227" t="s">
        <v>262</v>
      </c>
      <c r="AI1227" t="s">
        <v>262</v>
      </c>
      <c r="AJ1227" t="s">
        <v>261</v>
      </c>
      <c r="AK1227" t="s">
        <v>261</v>
      </c>
      <c r="AM1227" t="s">
        <v>262</v>
      </c>
      <c r="AN1227" t="s">
        <v>3595</v>
      </c>
    </row>
    <row r="1228" spans="1:40" x14ac:dyDescent="0.35">
      <c r="A1228">
        <v>5983014</v>
      </c>
      <c r="B1228" t="s">
        <v>3596</v>
      </c>
      <c r="C1228" t="str">
        <f>"9781478003656"</f>
        <v>9781478003656</v>
      </c>
      <c r="D1228" t="str">
        <f>"9781478004578"</f>
        <v>9781478004578</v>
      </c>
      <c r="E1228" t="s">
        <v>687</v>
      </c>
      <c r="F1228" t="s">
        <v>687</v>
      </c>
      <c r="G1228" s="1">
        <v>43826</v>
      </c>
      <c r="H1228" s="1">
        <v>43791</v>
      </c>
      <c r="I1228" t="s">
        <v>189</v>
      </c>
      <c r="J1228">
        <v>1</v>
      </c>
      <c r="L1228" t="s">
        <v>3597</v>
      </c>
      <c r="M1228" t="s">
        <v>249</v>
      </c>
      <c r="N1228" t="s">
        <v>3598</v>
      </c>
      <c r="Q1228" t="s">
        <v>260</v>
      </c>
      <c r="R1228" t="s">
        <v>262</v>
      </c>
      <c r="S1228" t="s">
        <v>261</v>
      </c>
      <c r="T1228" t="s">
        <v>261</v>
      </c>
      <c r="U1228" t="s">
        <v>262</v>
      </c>
      <c r="V1228" t="s">
        <v>262</v>
      </c>
      <c r="W1228" t="s">
        <v>261</v>
      </c>
      <c r="X1228" t="s">
        <v>262</v>
      </c>
      <c r="Y1228" t="s">
        <v>262</v>
      </c>
      <c r="Z1228" t="s">
        <v>703</v>
      </c>
      <c r="AB1228" t="s">
        <v>704</v>
      </c>
      <c r="AC1228" t="s">
        <v>703</v>
      </c>
      <c r="AD1228" t="s">
        <v>262</v>
      </c>
      <c r="AH1228" t="s">
        <v>262</v>
      </c>
      <c r="AI1228" t="s">
        <v>261</v>
      </c>
      <c r="AJ1228" t="s">
        <v>261</v>
      </c>
      <c r="AK1228" t="s">
        <v>261</v>
      </c>
      <c r="AM1228" t="s">
        <v>262</v>
      </c>
      <c r="AN1228" t="s">
        <v>3599</v>
      </c>
    </row>
    <row r="1229" spans="1:40" x14ac:dyDescent="0.35">
      <c r="A1229">
        <v>5988633</v>
      </c>
      <c r="B1229" t="s">
        <v>3600</v>
      </c>
      <c r="C1229" t="str">
        <f>"9781478005940"</f>
        <v>9781478005940</v>
      </c>
      <c r="D1229" t="str">
        <f>"9781478007296"</f>
        <v>9781478007296</v>
      </c>
      <c r="E1229" t="s">
        <v>687</v>
      </c>
      <c r="F1229" t="s">
        <v>687</v>
      </c>
      <c r="G1229" s="1">
        <v>43840</v>
      </c>
      <c r="H1229" s="1">
        <v>43866</v>
      </c>
      <c r="I1229" t="s">
        <v>189</v>
      </c>
      <c r="J1229">
        <v>1</v>
      </c>
      <c r="K1229" t="s">
        <v>2455</v>
      </c>
      <c r="L1229" t="s">
        <v>3601</v>
      </c>
      <c r="M1229" t="s">
        <v>239</v>
      </c>
    </row>
    <row r="1230" spans="1:40" x14ac:dyDescent="0.35">
      <c r="A1230">
        <v>5989093</v>
      </c>
      <c r="B1230" t="s">
        <v>3602</v>
      </c>
      <c r="C1230" t="str">
        <f>"9781478005032"</f>
        <v>9781478005032</v>
      </c>
      <c r="D1230" t="str">
        <f>"9781478005667"</f>
        <v>9781478005667</v>
      </c>
      <c r="E1230" t="s">
        <v>687</v>
      </c>
      <c r="F1230" t="s">
        <v>687</v>
      </c>
      <c r="G1230" s="1">
        <v>43791</v>
      </c>
      <c r="H1230" s="1">
        <v>43804</v>
      </c>
      <c r="I1230" t="s">
        <v>189</v>
      </c>
      <c r="J1230">
        <v>1</v>
      </c>
      <c r="K1230" t="s">
        <v>3603</v>
      </c>
      <c r="L1230" t="s">
        <v>3604</v>
      </c>
      <c r="M1230" t="s">
        <v>316</v>
      </c>
      <c r="N1230" t="s">
        <v>3605</v>
      </c>
      <c r="O1230" t="s">
        <v>3606</v>
      </c>
      <c r="Q1230" t="s">
        <v>260</v>
      </c>
      <c r="R1230" t="s">
        <v>262</v>
      </c>
      <c r="S1230" t="s">
        <v>261</v>
      </c>
      <c r="T1230" t="s">
        <v>261</v>
      </c>
      <c r="U1230" t="s">
        <v>262</v>
      </c>
      <c r="V1230" t="s">
        <v>262</v>
      </c>
      <c r="W1230" t="s">
        <v>261</v>
      </c>
      <c r="X1230" t="s">
        <v>262</v>
      </c>
      <c r="Y1230" t="s">
        <v>262</v>
      </c>
      <c r="Z1230" t="s">
        <v>703</v>
      </c>
      <c r="AB1230" t="s">
        <v>704</v>
      </c>
      <c r="AC1230" t="s">
        <v>703</v>
      </c>
      <c r="AD1230" t="s">
        <v>262</v>
      </c>
      <c r="AH1230" t="s">
        <v>262</v>
      </c>
      <c r="AI1230" t="s">
        <v>261</v>
      </c>
      <c r="AJ1230" t="s">
        <v>261</v>
      </c>
      <c r="AK1230" t="s">
        <v>261</v>
      </c>
      <c r="AM1230" t="s">
        <v>262</v>
      </c>
      <c r="AN1230" t="s">
        <v>3607</v>
      </c>
    </row>
    <row r="1231" spans="1:40" x14ac:dyDescent="0.35">
      <c r="A1231">
        <v>5992908</v>
      </c>
      <c r="B1231" t="s">
        <v>3608</v>
      </c>
      <c r="C1231" t="str">
        <f>""</f>
        <v/>
      </c>
      <c r="D1231" t="str">
        <f>"9789048537426"</f>
        <v>9789048537426</v>
      </c>
      <c r="E1231" t="s">
        <v>361</v>
      </c>
      <c r="F1231" t="s">
        <v>361</v>
      </c>
      <c r="G1231" s="1">
        <v>43766</v>
      </c>
      <c r="H1231" s="1">
        <v>43811</v>
      </c>
      <c r="I1231" t="s">
        <v>189</v>
      </c>
      <c r="J1231">
        <v>1</v>
      </c>
      <c r="K1231" t="s">
        <v>2416</v>
      </c>
      <c r="L1231" t="s">
        <v>3609</v>
      </c>
      <c r="M1231" t="s">
        <v>3610</v>
      </c>
    </row>
    <row r="1232" spans="1:40" x14ac:dyDescent="0.35">
      <c r="A1232">
        <v>5994469</v>
      </c>
      <c r="B1232" t="s">
        <v>3611</v>
      </c>
      <c r="C1232" t="str">
        <f>"9781783748105"</f>
        <v>9781783748105</v>
      </c>
      <c r="D1232" t="str">
        <f>"9781783748112"</f>
        <v>9781783748112</v>
      </c>
      <c r="E1232" t="s">
        <v>1807</v>
      </c>
      <c r="F1232" t="s">
        <v>1807</v>
      </c>
      <c r="G1232" s="1">
        <v>43797</v>
      </c>
      <c r="H1232" s="1">
        <v>43813</v>
      </c>
      <c r="I1232" t="s">
        <v>189</v>
      </c>
      <c r="J1232">
        <v>1</v>
      </c>
      <c r="L1232" t="s">
        <v>3612</v>
      </c>
      <c r="M1232" t="s">
        <v>323</v>
      </c>
    </row>
    <row r="1233" spans="1:40" x14ac:dyDescent="0.35">
      <c r="A1233">
        <v>5994470</v>
      </c>
      <c r="B1233" t="s">
        <v>3613</v>
      </c>
      <c r="C1233" t="str">
        <f>"9781783748648"</f>
        <v>9781783748648</v>
      </c>
      <c r="D1233" t="str">
        <f>"9781783748655"</f>
        <v>9781783748655</v>
      </c>
      <c r="E1233" t="s">
        <v>1807</v>
      </c>
      <c r="F1233" t="s">
        <v>1807</v>
      </c>
      <c r="G1233" s="1">
        <v>43801</v>
      </c>
      <c r="H1233" s="1">
        <v>43813</v>
      </c>
      <c r="I1233" t="s">
        <v>189</v>
      </c>
      <c r="J1233">
        <v>1</v>
      </c>
      <c r="L1233" t="s">
        <v>3614</v>
      </c>
    </row>
    <row r="1234" spans="1:40" x14ac:dyDescent="0.35">
      <c r="A1234">
        <v>5994654</v>
      </c>
      <c r="B1234" t="s">
        <v>3615</v>
      </c>
      <c r="C1234" t="str">
        <f>"9781478005759"</f>
        <v>9781478005759</v>
      </c>
      <c r="D1234" t="str">
        <f>"9781478007388"</f>
        <v>9781478007388</v>
      </c>
      <c r="E1234" t="s">
        <v>687</v>
      </c>
      <c r="F1234" t="s">
        <v>687</v>
      </c>
      <c r="G1234" s="1">
        <v>43784</v>
      </c>
      <c r="H1234" s="1">
        <v>43813</v>
      </c>
      <c r="I1234" t="s">
        <v>189</v>
      </c>
      <c r="J1234">
        <v>1</v>
      </c>
      <c r="L1234" t="s">
        <v>3616</v>
      </c>
      <c r="M1234" t="s">
        <v>316</v>
      </c>
      <c r="N1234" t="s">
        <v>3617</v>
      </c>
      <c r="Q1234" t="s">
        <v>260</v>
      </c>
      <c r="R1234" t="s">
        <v>261</v>
      </c>
      <c r="S1234" t="s">
        <v>261</v>
      </c>
      <c r="T1234" t="s">
        <v>261</v>
      </c>
      <c r="U1234" t="s">
        <v>261</v>
      </c>
      <c r="V1234" t="s">
        <v>262</v>
      </c>
      <c r="W1234" t="s">
        <v>261</v>
      </c>
      <c r="X1234" t="s">
        <v>261</v>
      </c>
      <c r="Y1234" t="s">
        <v>261</v>
      </c>
      <c r="Z1234" t="s">
        <v>409</v>
      </c>
      <c r="AB1234" t="s">
        <v>409</v>
      </c>
      <c r="AC1234" t="s">
        <v>409</v>
      </c>
      <c r="AD1234" t="s">
        <v>262</v>
      </c>
      <c r="AH1234" t="s">
        <v>262</v>
      </c>
      <c r="AI1234" t="s">
        <v>262</v>
      </c>
      <c r="AJ1234" t="s">
        <v>261</v>
      </c>
      <c r="AK1234" t="s">
        <v>261</v>
      </c>
      <c r="AM1234" t="s">
        <v>262</v>
      </c>
      <c r="AN1234" t="s">
        <v>3618</v>
      </c>
    </row>
    <row r="1235" spans="1:40" x14ac:dyDescent="0.35">
      <c r="A1235">
        <v>5996261</v>
      </c>
      <c r="B1235" t="s">
        <v>3619</v>
      </c>
      <c r="C1235" t="str">
        <f>"9781478005933"</f>
        <v>9781478005933</v>
      </c>
      <c r="D1235" t="str">
        <f>"9781478007319"</f>
        <v>9781478007319</v>
      </c>
      <c r="E1235" t="s">
        <v>687</v>
      </c>
      <c r="F1235" t="s">
        <v>687</v>
      </c>
      <c r="G1235" s="1">
        <v>43777</v>
      </c>
      <c r="H1235" s="1">
        <v>43818</v>
      </c>
      <c r="I1235" t="s">
        <v>189</v>
      </c>
      <c r="J1235">
        <v>1</v>
      </c>
      <c r="L1235" t="s">
        <v>3620</v>
      </c>
      <c r="M1235" t="s">
        <v>578</v>
      </c>
      <c r="N1235" t="s">
        <v>1085</v>
      </c>
      <c r="Q1235" t="s">
        <v>260</v>
      </c>
      <c r="R1235" t="s">
        <v>262</v>
      </c>
      <c r="S1235" t="s">
        <v>261</v>
      </c>
      <c r="T1235" t="s">
        <v>261</v>
      </c>
      <c r="U1235" t="s">
        <v>262</v>
      </c>
      <c r="V1235" t="s">
        <v>262</v>
      </c>
      <c r="W1235" t="s">
        <v>261</v>
      </c>
      <c r="X1235" t="s">
        <v>262</v>
      </c>
      <c r="Y1235" t="s">
        <v>262</v>
      </c>
      <c r="Z1235" t="s">
        <v>3359</v>
      </c>
      <c r="AB1235" t="s">
        <v>3360</v>
      </c>
      <c r="AC1235" t="s">
        <v>3359</v>
      </c>
      <c r="AD1235" t="s">
        <v>262</v>
      </c>
      <c r="AH1235" t="s">
        <v>262</v>
      </c>
      <c r="AI1235" t="s">
        <v>261</v>
      </c>
      <c r="AJ1235" t="s">
        <v>261</v>
      </c>
      <c r="AK1235" t="s">
        <v>261</v>
      </c>
      <c r="AM1235" t="s">
        <v>262</v>
      </c>
      <c r="AN1235" t="s">
        <v>3621</v>
      </c>
    </row>
    <row r="1236" spans="1:40" x14ac:dyDescent="0.35">
      <c r="A1236">
        <v>6001948</v>
      </c>
      <c r="B1236" t="s">
        <v>3622</v>
      </c>
      <c r="C1236" t="str">
        <f>"9781478005490"</f>
        <v>9781478005490</v>
      </c>
      <c r="D1236" t="str">
        <f>"9781478007166"</f>
        <v>9781478007166</v>
      </c>
      <c r="E1236" t="s">
        <v>687</v>
      </c>
      <c r="F1236" t="s">
        <v>687</v>
      </c>
      <c r="G1236" s="1">
        <v>43889</v>
      </c>
      <c r="H1236" s="1">
        <v>43828</v>
      </c>
      <c r="I1236" t="s">
        <v>189</v>
      </c>
      <c r="J1236">
        <v>1</v>
      </c>
      <c r="K1236" t="s">
        <v>2452</v>
      </c>
      <c r="L1236" t="s">
        <v>3623</v>
      </c>
    </row>
    <row r="1237" spans="1:40" x14ac:dyDescent="0.35">
      <c r="A1237">
        <v>6020769</v>
      </c>
      <c r="B1237" t="s">
        <v>3624</v>
      </c>
      <c r="C1237" t="str">
        <f>"9781783748280"</f>
        <v>9781783748280</v>
      </c>
      <c r="D1237" t="str">
        <f>"9781783748297"</f>
        <v>9781783748297</v>
      </c>
      <c r="E1237" t="s">
        <v>1807</v>
      </c>
      <c r="F1237" t="s">
        <v>1807</v>
      </c>
      <c r="G1237" s="1">
        <v>43809</v>
      </c>
      <c r="H1237" s="1">
        <v>43847</v>
      </c>
      <c r="I1237" t="s">
        <v>189</v>
      </c>
      <c r="J1237">
        <v>1</v>
      </c>
      <c r="L1237" t="s">
        <v>3625</v>
      </c>
      <c r="M1237" t="s">
        <v>219</v>
      </c>
      <c r="Q1237" t="s">
        <v>260</v>
      </c>
      <c r="R1237" t="s">
        <v>261</v>
      </c>
      <c r="S1237" t="s">
        <v>261</v>
      </c>
      <c r="T1237" t="s">
        <v>261</v>
      </c>
      <c r="U1237" t="s">
        <v>261</v>
      </c>
      <c r="V1237" t="s">
        <v>262</v>
      </c>
      <c r="W1237" t="s">
        <v>261</v>
      </c>
      <c r="X1237" t="s">
        <v>261</v>
      </c>
      <c r="Y1237" t="s">
        <v>261</v>
      </c>
      <c r="Z1237" t="s">
        <v>409</v>
      </c>
      <c r="AA1237" t="s">
        <v>409</v>
      </c>
      <c r="AB1237" t="s">
        <v>409</v>
      </c>
      <c r="AC1237" t="s">
        <v>409</v>
      </c>
      <c r="AD1237" t="s">
        <v>262</v>
      </c>
      <c r="AH1237" t="s">
        <v>262</v>
      </c>
      <c r="AI1237" t="s">
        <v>262</v>
      </c>
      <c r="AJ1237" t="s">
        <v>261</v>
      </c>
      <c r="AK1237" t="s">
        <v>261</v>
      </c>
      <c r="AM1237" t="s">
        <v>262</v>
      </c>
      <c r="AN1237" t="s">
        <v>3626</v>
      </c>
    </row>
    <row r="1238" spans="1:40" x14ac:dyDescent="0.35">
      <c r="A1238">
        <v>6021009</v>
      </c>
      <c r="B1238" t="s">
        <v>3627</v>
      </c>
      <c r="C1238" t="str">
        <f>"9781783747924"</f>
        <v>9781783747924</v>
      </c>
      <c r="D1238" t="str">
        <f>"9781783747931"</f>
        <v>9781783747931</v>
      </c>
      <c r="E1238" t="s">
        <v>1807</v>
      </c>
      <c r="F1238" t="s">
        <v>1807</v>
      </c>
      <c r="G1238" s="1">
        <v>43804</v>
      </c>
      <c r="H1238" s="1">
        <v>43931</v>
      </c>
      <c r="I1238" t="s">
        <v>189</v>
      </c>
      <c r="J1238">
        <v>1</v>
      </c>
      <c r="L1238" t="s">
        <v>3628</v>
      </c>
    </row>
    <row r="1239" spans="1:40" x14ac:dyDescent="0.35">
      <c r="A1239">
        <v>6034256</v>
      </c>
      <c r="B1239" t="s">
        <v>3629</v>
      </c>
      <c r="C1239" t="str">
        <f>"9781478003120"</f>
        <v>9781478003120</v>
      </c>
      <c r="D1239" t="str">
        <f>"9781478004387"</f>
        <v>9781478004387</v>
      </c>
      <c r="E1239" t="s">
        <v>687</v>
      </c>
      <c r="F1239" t="s">
        <v>687</v>
      </c>
      <c r="G1239" s="1">
        <v>43903</v>
      </c>
      <c r="H1239" s="1">
        <v>43866</v>
      </c>
      <c r="I1239" t="s">
        <v>189</v>
      </c>
      <c r="J1239">
        <v>1</v>
      </c>
      <c r="L1239" t="s">
        <v>3630</v>
      </c>
    </row>
    <row r="1240" spans="1:40" x14ac:dyDescent="0.35">
      <c r="A1240">
        <v>6034259</v>
      </c>
      <c r="B1240" t="s">
        <v>3631</v>
      </c>
      <c r="C1240" t="str">
        <f>"9781478005957"</f>
        <v>9781478005957</v>
      </c>
      <c r="D1240" t="str">
        <f>"9781478007326"</f>
        <v>9781478007326</v>
      </c>
      <c r="E1240" t="s">
        <v>687</v>
      </c>
      <c r="F1240" t="s">
        <v>687</v>
      </c>
      <c r="G1240" s="1">
        <v>43903</v>
      </c>
      <c r="H1240" s="1">
        <v>43866</v>
      </c>
      <c r="I1240" t="s">
        <v>189</v>
      </c>
      <c r="J1240">
        <v>1</v>
      </c>
      <c r="K1240" t="s">
        <v>3632</v>
      </c>
      <c r="L1240" t="s">
        <v>3633</v>
      </c>
    </row>
    <row r="1241" spans="1:40" x14ac:dyDescent="0.35">
      <c r="A1241">
        <v>6111529</v>
      </c>
      <c r="B1241" t="s">
        <v>3634</v>
      </c>
      <c r="C1241" t="str">
        <f>"9783030367138"</f>
        <v>9783030367138</v>
      </c>
      <c r="D1241" t="str">
        <f>"9783030367145"</f>
        <v>9783030367145</v>
      </c>
      <c r="E1241" t="s">
        <v>2289</v>
      </c>
      <c r="F1241" t="s">
        <v>3635</v>
      </c>
      <c r="G1241" s="1">
        <v>43834</v>
      </c>
      <c r="H1241" s="1">
        <v>43889</v>
      </c>
      <c r="I1241" t="s">
        <v>189</v>
      </c>
      <c r="K1241" t="s">
        <v>3636</v>
      </c>
      <c r="L1241" t="s">
        <v>3637</v>
      </c>
    </row>
    <row r="1242" spans="1:40" x14ac:dyDescent="0.35">
      <c r="A1242">
        <v>6113652</v>
      </c>
      <c r="B1242" t="s">
        <v>3638</v>
      </c>
      <c r="C1242" t="str">
        <f>"9783030168766"</f>
        <v>9783030168766</v>
      </c>
      <c r="D1242" t="str">
        <f>"9783030168773"</f>
        <v>9783030168773</v>
      </c>
      <c r="E1242" t="s">
        <v>2289</v>
      </c>
      <c r="F1242" t="s">
        <v>2290</v>
      </c>
      <c r="G1242" s="1">
        <v>43780</v>
      </c>
      <c r="H1242" s="1">
        <v>43889</v>
      </c>
      <c r="I1242" t="s">
        <v>189</v>
      </c>
      <c r="J1242">
        <v>2</v>
      </c>
      <c r="K1242" t="s">
        <v>3639</v>
      </c>
      <c r="L1242" t="s">
        <v>3640</v>
      </c>
    </row>
    <row r="1243" spans="1:40" x14ac:dyDescent="0.35">
      <c r="A1243">
        <v>6119032</v>
      </c>
      <c r="B1243" t="s">
        <v>3641</v>
      </c>
      <c r="C1243" t="str">
        <f>""</f>
        <v/>
      </c>
      <c r="D1243" t="str">
        <f>"9789179299866"</f>
        <v>9789179299866</v>
      </c>
      <c r="E1243" t="s">
        <v>3642</v>
      </c>
      <c r="F1243" t="s">
        <v>3642</v>
      </c>
      <c r="G1243" s="1">
        <v>43878</v>
      </c>
      <c r="H1243" s="1">
        <v>43906</v>
      </c>
      <c r="I1243" t="s">
        <v>189</v>
      </c>
      <c r="J1243">
        <v>1</v>
      </c>
      <c r="L1243" t="s">
        <v>3643</v>
      </c>
      <c r="Q1243" t="s">
        <v>260</v>
      </c>
      <c r="R1243" t="s">
        <v>261</v>
      </c>
      <c r="S1243" t="s">
        <v>261</v>
      </c>
      <c r="T1243" t="s">
        <v>261</v>
      </c>
      <c r="U1243" t="s">
        <v>261</v>
      </c>
      <c r="V1243" t="s">
        <v>262</v>
      </c>
      <c r="W1243" t="s">
        <v>261</v>
      </c>
      <c r="X1243" t="s">
        <v>261</v>
      </c>
      <c r="Y1243" t="s">
        <v>261</v>
      </c>
      <c r="AD1243" t="s">
        <v>261</v>
      </c>
      <c r="AH1243" t="s">
        <v>262</v>
      </c>
      <c r="AI1243" t="s">
        <v>261</v>
      </c>
      <c r="AJ1243" t="s">
        <v>261</v>
      </c>
      <c r="AK1243" t="s">
        <v>261</v>
      </c>
      <c r="AM1243" t="s">
        <v>262</v>
      </c>
      <c r="AN1243" t="s">
        <v>3644</v>
      </c>
    </row>
    <row r="1244" spans="1:40" x14ac:dyDescent="0.35">
      <c r="A1244">
        <v>6119033</v>
      </c>
      <c r="B1244" t="s">
        <v>3645</v>
      </c>
      <c r="C1244" t="str">
        <f>""</f>
        <v/>
      </c>
      <c r="D1244" t="str">
        <f>"9789179298845"</f>
        <v>9789179298845</v>
      </c>
      <c r="E1244" t="s">
        <v>3642</v>
      </c>
      <c r="F1244" t="s">
        <v>3642</v>
      </c>
      <c r="G1244" s="1">
        <v>43877</v>
      </c>
      <c r="H1244" s="1">
        <v>43885</v>
      </c>
      <c r="I1244" t="s">
        <v>189</v>
      </c>
      <c r="J1244">
        <v>1</v>
      </c>
      <c r="L1244" t="s">
        <v>3646</v>
      </c>
      <c r="Q1244" t="s">
        <v>260</v>
      </c>
      <c r="R1244" t="s">
        <v>261</v>
      </c>
      <c r="S1244" t="s">
        <v>261</v>
      </c>
      <c r="T1244" t="s">
        <v>261</v>
      </c>
      <c r="U1244" t="s">
        <v>261</v>
      </c>
      <c r="V1244" t="s">
        <v>262</v>
      </c>
      <c r="W1244" t="s">
        <v>261</v>
      </c>
      <c r="X1244" t="s">
        <v>261</v>
      </c>
      <c r="Y1244" t="s">
        <v>261</v>
      </c>
      <c r="AD1244" t="s">
        <v>261</v>
      </c>
      <c r="AH1244" t="s">
        <v>262</v>
      </c>
      <c r="AI1244" t="s">
        <v>261</v>
      </c>
      <c r="AJ1244" t="s">
        <v>261</v>
      </c>
      <c r="AK1244" t="s">
        <v>261</v>
      </c>
      <c r="AM1244" t="s">
        <v>262</v>
      </c>
      <c r="AN1244" t="s">
        <v>3647</v>
      </c>
    </row>
    <row r="1245" spans="1:40" x14ac:dyDescent="0.35">
      <c r="A1245">
        <v>6119034</v>
      </c>
      <c r="B1245" t="s">
        <v>3648</v>
      </c>
      <c r="C1245" t="str">
        <f>""</f>
        <v/>
      </c>
      <c r="D1245" t="str">
        <f>"9789179299439"</f>
        <v>9789179299439</v>
      </c>
      <c r="E1245" t="s">
        <v>3642</v>
      </c>
      <c r="F1245" t="s">
        <v>3642</v>
      </c>
      <c r="G1245" s="1">
        <v>43878</v>
      </c>
      <c r="H1245" s="1">
        <v>43885</v>
      </c>
      <c r="I1245" t="s">
        <v>189</v>
      </c>
      <c r="J1245">
        <v>1</v>
      </c>
      <c r="L1245" t="s">
        <v>3649</v>
      </c>
      <c r="Q1245" t="s">
        <v>260</v>
      </c>
      <c r="R1245" t="s">
        <v>261</v>
      </c>
      <c r="S1245" t="s">
        <v>261</v>
      </c>
      <c r="T1245" t="s">
        <v>261</v>
      </c>
      <c r="U1245" t="s">
        <v>261</v>
      </c>
      <c r="V1245" t="s">
        <v>262</v>
      </c>
      <c r="W1245" t="s">
        <v>261</v>
      </c>
      <c r="X1245" t="s">
        <v>261</v>
      </c>
      <c r="Y1245" t="s">
        <v>261</v>
      </c>
      <c r="AD1245" t="s">
        <v>261</v>
      </c>
      <c r="AH1245" t="s">
        <v>262</v>
      </c>
      <c r="AI1245" t="s">
        <v>261</v>
      </c>
      <c r="AJ1245" t="s">
        <v>261</v>
      </c>
      <c r="AK1245" t="s">
        <v>261</v>
      </c>
      <c r="AM1245" t="s">
        <v>262</v>
      </c>
      <c r="AN1245" t="s">
        <v>3650</v>
      </c>
    </row>
    <row r="1246" spans="1:40" x14ac:dyDescent="0.35">
      <c r="A1246">
        <v>6119035</v>
      </c>
      <c r="B1246" t="s">
        <v>3651</v>
      </c>
      <c r="C1246" t="str">
        <f>""</f>
        <v/>
      </c>
      <c r="D1246" t="str">
        <f>"9789179298937"</f>
        <v>9789179298937</v>
      </c>
      <c r="E1246" t="s">
        <v>3642</v>
      </c>
      <c r="F1246" t="s">
        <v>3642</v>
      </c>
      <c r="G1246" s="1">
        <v>43878</v>
      </c>
      <c r="H1246" s="1">
        <v>43885</v>
      </c>
      <c r="I1246" t="s">
        <v>189</v>
      </c>
      <c r="J1246">
        <v>1</v>
      </c>
      <c r="L1246" t="s">
        <v>3652</v>
      </c>
      <c r="Q1246" t="s">
        <v>260</v>
      </c>
      <c r="R1246" t="s">
        <v>261</v>
      </c>
      <c r="S1246" t="s">
        <v>261</v>
      </c>
      <c r="T1246" t="s">
        <v>261</v>
      </c>
      <c r="U1246" t="s">
        <v>261</v>
      </c>
      <c r="V1246" t="s">
        <v>262</v>
      </c>
      <c r="W1246" t="s">
        <v>261</v>
      </c>
      <c r="X1246" t="s">
        <v>261</v>
      </c>
      <c r="Y1246" t="s">
        <v>261</v>
      </c>
      <c r="AD1246" t="s">
        <v>261</v>
      </c>
      <c r="AH1246" t="s">
        <v>262</v>
      </c>
      <c r="AI1246" t="s">
        <v>261</v>
      </c>
      <c r="AJ1246" t="s">
        <v>261</v>
      </c>
      <c r="AK1246" t="s">
        <v>261</v>
      </c>
      <c r="AM1246" t="s">
        <v>262</v>
      </c>
      <c r="AN1246" t="s">
        <v>3653</v>
      </c>
    </row>
    <row r="1247" spans="1:40" x14ac:dyDescent="0.35">
      <c r="A1247">
        <v>6119036</v>
      </c>
      <c r="B1247" t="s">
        <v>3654</v>
      </c>
      <c r="C1247" t="str">
        <f>""</f>
        <v/>
      </c>
      <c r="D1247" t="str">
        <f>"9789179299408"</f>
        <v>9789179299408</v>
      </c>
      <c r="E1247" t="s">
        <v>3642</v>
      </c>
      <c r="F1247" t="s">
        <v>3642</v>
      </c>
      <c r="G1247" s="1">
        <v>43878</v>
      </c>
      <c r="H1247" s="1">
        <v>43885</v>
      </c>
      <c r="I1247" t="s">
        <v>189</v>
      </c>
      <c r="J1247">
        <v>1</v>
      </c>
      <c r="L1247" t="s">
        <v>3655</v>
      </c>
      <c r="Q1247" t="s">
        <v>260</v>
      </c>
      <c r="R1247" t="s">
        <v>261</v>
      </c>
      <c r="S1247" t="s">
        <v>261</v>
      </c>
      <c r="T1247" t="s">
        <v>261</v>
      </c>
      <c r="U1247" t="s">
        <v>261</v>
      </c>
      <c r="V1247" t="s">
        <v>262</v>
      </c>
      <c r="W1247" t="s">
        <v>261</v>
      </c>
      <c r="X1247" t="s">
        <v>261</v>
      </c>
      <c r="Y1247" t="s">
        <v>261</v>
      </c>
      <c r="AD1247" t="s">
        <v>261</v>
      </c>
      <c r="AH1247" t="s">
        <v>262</v>
      </c>
      <c r="AI1247" t="s">
        <v>261</v>
      </c>
      <c r="AJ1247" t="s">
        <v>261</v>
      </c>
      <c r="AK1247" t="s">
        <v>261</v>
      </c>
      <c r="AM1247" t="s">
        <v>262</v>
      </c>
      <c r="AN1247" t="s">
        <v>3656</v>
      </c>
    </row>
    <row r="1248" spans="1:40" x14ac:dyDescent="0.35">
      <c r="A1248">
        <v>6119037</v>
      </c>
      <c r="B1248" t="s">
        <v>3657</v>
      </c>
      <c r="C1248" t="str">
        <f>""</f>
        <v/>
      </c>
      <c r="D1248" t="str">
        <f>"9789179298944"</f>
        <v>9789179298944</v>
      </c>
      <c r="E1248" t="s">
        <v>3642</v>
      </c>
      <c r="F1248" t="s">
        <v>3642</v>
      </c>
      <c r="G1248" s="1">
        <v>43867</v>
      </c>
      <c r="H1248" s="1">
        <v>43885</v>
      </c>
      <c r="I1248" t="s">
        <v>189</v>
      </c>
      <c r="J1248">
        <v>1</v>
      </c>
      <c r="L1248" t="s">
        <v>3658</v>
      </c>
      <c r="Q1248" t="s">
        <v>260</v>
      </c>
      <c r="R1248" t="s">
        <v>261</v>
      </c>
      <c r="S1248" t="s">
        <v>261</v>
      </c>
      <c r="T1248" t="s">
        <v>261</v>
      </c>
      <c r="U1248" t="s">
        <v>261</v>
      </c>
      <c r="V1248" t="s">
        <v>262</v>
      </c>
      <c r="W1248" t="s">
        <v>261</v>
      </c>
      <c r="X1248" t="s">
        <v>261</v>
      </c>
      <c r="Y1248" t="s">
        <v>261</v>
      </c>
      <c r="AD1248" t="s">
        <v>261</v>
      </c>
      <c r="AH1248" t="s">
        <v>262</v>
      </c>
      <c r="AI1248" t="s">
        <v>261</v>
      </c>
      <c r="AJ1248" t="s">
        <v>261</v>
      </c>
      <c r="AK1248" t="s">
        <v>261</v>
      </c>
      <c r="AM1248" t="s">
        <v>262</v>
      </c>
      <c r="AN1248" t="s">
        <v>3659</v>
      </c>
    </row>
    <row r="1249" spans="1:40" x14ac:dyDescent="0.35">
      <c r="A1249">
        <v>6119038</v>
      </c>
      <c r="B1249" t="s">
        <v>3660</v>
      </c>
      <c r="C1249" t="str">
        <f>""</f>
        <v/>
      </c>
      <c r="D1249" t="str">
        <f>"9789179299057"</f>
        <v>9789179299057</v>
      </c>
      <c r="E1249" t="s">
        <v>3642</v>
      </c>
      <c r="F1249" t="s">
        <v>3642</v>
      </c>
      <c r="G1249" s="1">
        <v>43879</v>
      </c>
      <c r="H1249" s="1">
        <v>43906</v>
      </c>
      <c r="I1249" t="s">
        <v>189</v>
      </c>
      <c r="J1249">
        <v>1</v>
      </c>
      <c r="L1249" t="s">
        <v>3661</v>
      </c>
      <c r="Q1249" t="s">
        <v>260</v>
      </c>
      <c r="R1249" t="s">
        <v>261</v>
      </c>
      <c r="S1249" t="s">
        <v>261</v>
      </c>
      <c r="T1249" t="s">
        <v>261</v>
      </c>
      <c r="U1249" t="s">
        <v>261</v>
      </c>
      <c r="V1249" t="s">
        <v>262</v>
      </c>
      <c r="W1249" t="s">
        <v>261</v>
      </c>
      <c r="X1249" t="s">
        <v>261</v>
      </c>
      <c r="Y1249" t="s">
        <v>261</v>
      </c>
      <c r="AD1249" t="s">
        <v>261</v>
      </c>
      <c r="AH1249" t="s">
        <v>262</v>
      </c>
      <c r="AI1249" t="s">
        <v>261</v>
      </c>
      <c r="AJ1249" t="s">
        <v>261</v>
      </c>
      <c r="AK1249" t="s">
        <v>261</v>
      </c>
      <c r="AM1249" t="s">
        <v>262</v>
      </c>
      <c r="AN1249" t="s">
        <v>3662</v>
      </c>
    </row>
    <row r="1250" spans="1:40" x14ac:dyDescent="0.35">
      <c r="A1250">
        <v>6119039</v>
      </c>
      <c r="B1250" t="s">
        <v>3663</v>
      </c>
      <c r="C1250" t="str">
        <f>""</f>
        <v/>
      </c>
      <c r="D1250" t="str">
        <f>"9789179299095"</f>
        <v>9789179299095</v>
      </c>
      <c r="E1250" t="s">
        <v>3642</v>
      </c>
      <c r="F1250" t="s">
        <v>3642</v>
      </c>
      <c r="G1250" s="1">
        <v>43850</v>
      </c>
      <c r="H1250" s="1">
        <v>43885</v>
      </c>
      <c r="I1250" t="s">
        <v>189</v>
      </c>
      <c r="J1250">
        <v>1</v>
      </c>
      <c r="L1250" t="s">
        <v>3664</v>
      </c>
      <c r="Q1250" t="s">
        <v>260</v>
      </c>
      <c r="R1250" t="s">
        <v>261</v>
      </c>
      <c r="S1250" t="s">
        <v>261</v>
      </c>
      <c r="T1250" t="s">
        <v>261</v>
      </c>
      <c r="U1250" t="s">
        <v>261</v>
      </c>
      <c r="V1250" t="s">
        <v>262</v>
      </c>
      <c r="W1250" t="s">
        <v>261</v>
      </c>
      <c r="X1250" t="s">
        <v>261</v>
      </c>
      <c r="Y1250" t="s">
        <v>261</v>
      </c>
      <c r="AD1250" t="s">
        <v>261</v>
      </c>
      <c r="AH1250" t="s">
        <v>262</v>
      </c>
      <c r="AI1250" t="s">
        <v>261</v>
      </c>
      <c r="AJ1250" t="s">
        <v>261</v>
      </c>
      <c r="AK1250" t="s">
        <v>261</v>
      </c>
      <c r="AM1250" t="s">
        <v>262</v>
      </c>
      <c r="AN1250" t="s">
        <v>3665</v>
      </c>
    </row>
    <row r="1251" spans="1:40" x14ac:dyDescent="0.35">
      <c r="A1251">
        <v>6119556</v>
      </c>
      <c r="B1251" t="s">
        <v>3666</v>
      </c>
      <c r="C1251" t="str">
        <f>"9781783746767"</f>
        <v>9781783746767</v>
      </c>
      <c r="D1251" t="str">
        <f>"9781783746774"</f>
        <v>9781783746774</v>
      </c>
      <c r="E1251" t="s">
        <v>1807</v>
      </c>
      <c r="F1251" t="s">
        <v>1807</v>
      </c>
      <c r="G1251" s="1">
        <v>43858</v>
      </c>
      <c r="H1251" s="1">
        <v>43886</v>
      </c>
      <c r="I1251" t="s">
        <v>189</v>
      </c>
      <c r="J1251">
        <v>1</v>
      </c>
      <c r="K1251" t="s">
        <v>3667</v>
      </c>
      <c r="L1251" t="s">
        <v>3668</v>
      </c>
      <c r="M1251" t="s">
        <v>676</v>
      </c>
      <c r="O1251" t="s">
        <v>3669</v>
      </c>
      <c r="Q1251" t="s">
        <v>260</v>
      </c>
      <c r="R1251" t="s">
        <v>261</v>
      </c>
      <c r="S1251" t="s">
        <v>261</v>
      </c>
      <c r="T1251" t="s">
        <v>261</v>
      </c>
      <c r="U1251" t="s">
        <v>261</v>
      </c>
      <c r="V1251" t="s">
        <v>262</v>
      </c>
      <c r="W1251" t="s">
        <v>261</v>
      </c>
      <c r="X1251" t="s">
        <v>261</v>
      </c>
      <c r="Y1251" t="s">
        <v>261</v>
      </c>
      <c r="Z1251" t="s">
        <v>409</v>
      </c>
      <c r="AA1251" t="s">
        <v>409</v>
      </c>
      <c r="AB1251" t="s">
        <v>409</v>
      </c>
      <c r="AC1251" t="s">
        <v>409</v>
      </c>
      <c r="AD1251" t="s">
        <v>262</v>
      </c>
      <c r="AH1251" t="s">
        <v>262</v>
      </c>
      <c r="AI1251" t="s">
        <v>262</v>
      </c>
      <c r="AJ1251" t="s">
        <v>261</v>
      </c>
      <c r="AK1251" t="s">
        <v>261</v>
      </c>
      <c r="AM1251" t="s">
        <v>262</v>
      </c>
      <c r="AN1251" t="s">
        <v>3670</v>
      </c>
    </row>
    <row r="1252" spans="1:40" x14ac:dyDescent="0.35">
      <c r="A1252">
        <v>6119557</v>
      </c>
      <c r="B1252" t="s">
        <v>3671</v>
      </c>
      <c r="C1252" t="str">
        <f>"9781783748587"</f>
        <v>9781783748587</v>
      </c>
      <c r="D1252" t="str">
        <f>"9781783748594"</f>
        <v>9781783748594</v>
      </c>
      <c r="E1252" t="s">
        <v>1807</v>
      </c>
      <c r="F1252" t="s">
        <v>1807</v>
      </c>
      <c r="G1252" s="1">
        <v>43859</v>
      </c>
      <c r="H1252" s="1">
        <v>43886</v>
      </c>
      <c r="I1252" t="s">
        <v>189</v>
      </c>
      <c r="J1252">
        <v>2</v>
      </c>
      <c r="K1252" t="s">
        <v>3667</v>
      </c>
      <c r="L1252" t="s">
        <v>3668</v>
      </c>
      <c r="M1252" t="s">
        <v>676</v>
      </c>
      <c r="O1252" t="s">
        <v>3669</v>
      </c>
      <c r="Q1252" t="s">
        <v>260</v>
      </c>
      <c r="R1252" t="s">
        <v>261</v>
      </c>
      <c r="S1252" t="s">
        <v>261</v>
      </c>
      <c r="T1252" t="s">
        <v>261</v>
      </c>
      <c r="U1252" t="s">
        <v>261</v>
      </c>
      <c r="V1252" t="s">
        <v>262</v>
      </c>
      <c r="W1252" t="s">
        <v>261</v>
      </c>
      <c r="X1252" t="s">
        <v>261</v>
      </c>
      <c r="Y1252" t="s">
        <v>261</v>
      </c>
      <c r="Z1252" t="s">
        <v>409</v>
      </c>
      <c r="AA1252" t="s">
        <v>409</v>
      </c>
      <c r="AB1252" t="s">
        <v>409</v>
      </c>
      <c r="AC1252" t="s">
        <v>409</v>
      </c>
      <c r="AD1252" t="s">
        <v>262</v>
      </c>
      <c r="AH1252" t="s">
        <v>262</v>
      </c>
      <c r="AI1252" t="s">
        <v>262</v>
      </c>
      <c r="AJ1252" t="s">
        <v>261</v>
      </c>
      <c r="AK1252" t="s">
        <v>261</v>
      </c>
      <c r="AM1252" t="s">
        <v>262</v>
      </c>
      <c r="AN1252" t="s">
        <v>3672</v>
      </c>
    </row>
    <row r="1253" spans="1:40" x14ac:dyDescent="0.35">
      <c r="A1253">
        <v>6121026</v>
      </c>
      <c r="B1253" t="s">
        <v>3673</v>
      </c>
      <c r="C1253" t="str">
        <f>"9789462984530"</f>
        <v>9789462984530</v>
      </c>
      <c r="D1253" t="str">
        <f>"9789048535217"</f>
        <v>9789048535217</v>
      </c>
      <c r="E1253" t="s">
        <v>361</v>
      </c>
      <c r="F1253" t="s">
        <v>361</v>
      </c>
      <c r="G1253" s="1">
        <v>43902</v>
      </c>
      <c r="H1253" s="1">
        <v>43887</v>
      </c>
      <c r="I1253" t="s">
        <v>189</v>
      </c>
      <c r="J1253">
        <v>1</v>
      </c>
      <c r="K1253" t="s">
        <v>580</v>
      </c>
      <c r="L1253" t="s">
        <v>3674</v>
      </c>
      <c r="M1253" t="s">
        <v>535</v>
      </c>
    </row>
    <row r="1254" spans="1:40" x14ac:dyDescent="0.35">
      <c r="A1254">
        <v>6122290</v>
      </c>
      <c r="B1254" t="s">
        <v>3675</v>
      </c>
      <c r="C1254" t="str">
        <f>"9781783748402"</f>
        <v>9781783748402</v>
      </c>
      <c r="D1254" t="str">
        <f>"9781783748419"</f>
        <v>9781783748419</v>
      </c>
      <c r="E1254" t="s">
        <v>1807</v>
      </c>
      <c r="F1254" t="s">
        <v>1807</v>
      </c>
      <c r="G1254" s="1">
        <v>43845</v>
      </c>
      <c r="H1254" s="1">
        <v>43889</v>
      </c>
      <c r="I1254" t="s">
        <v>189</v>
      </c>
      <c r="J1254">
        <v>1</v>
      </c>
      <c r="L1254" t="s">
        <v>3676</v>
      </c>
      <c r="M1254" t="s">
        <v>323</v>
      </c>
    </row>
    <row r="1255" spans="1:40" x14ac:dyDescent="0.35">
      <c r="A1255">
        <v>6125607</v>
      </c>
      <c r="B1255" t="s">
        <v>3677</v>
      </c>
      <c r="C1255" t="str">
        <f>""</f>
        <v/>
      </c>
      <c r="D1255" t="str">
        <f>"9789179299392"</f>
        <v>9789179299392</v>
      </c>
      <c r="E1255" t="s">
        <v>3642</v>
      </c>
      <c r="F1255" t="s">
        <v>3642</v>
      </c>
      <c r="G1255" s="1">
        <v>43886</v>
      </c>
      <c r="H1255" s="1">
        <v>43899</v>
      </c>
      <c r="I1255" t="s">
        <v>189</v>
      </c>
      <c r="J1255">
        <v>1</v>
      </c>
      <c r="L1255" t="s">
        <v>3678</v>
      </c>
      <c r="Q1255" t="s">
        <v>260</v>
      </c>
      <c r="R1255" t="s">
        <v>261</v>
      </c>
      <c r="S1255" t="s">
        <v>261</v>
      </c>
      <c r="T1255" t="s">
        <v>261</v>
      </c>
      <c r="U1255" t="s">
        <v>261</v>
      </c>
      <c r="V1255" t="s">
        <v>262</v>
      </c>
      <c r="W1255" t="s">
        <v>261</v>
      </c>
      <c r="X1255" t="s">
        <v>261</v>
      </c>
      <c r="Y1255" t="s">
        <v>261</v>
      </c>
      <c r="AD1255" t="s">
        <v>261</v>
      </c>
      <c r="AH1255" t="s">
        <v>262</v>
      </c>
      <c r="AI1255" t="s">
        <v>261</v>
      </c>
      <c r="AJ1255" t="s">
        <v>261</v>
      </c>
      <c r="AK1255" t="s">
        <v>261</v>
      </c>
      <c r="AM1255" t="s">
        <v>262</v>
      </c>
      <c r="AN1255" t="s">
        <v>3679</v>
      </c>
    </row>
    <row r="1256" spans="1:40" x14ac:dyDescent="0.35">
      <c r="A1256">
        <v>6127852</v>
      </c>
      <c r="B1256" t="s">
        <v>3680</v>
      </c>
      <c r="C1256" t="str">
        <f>"9781478006169"</f>
        <v>9781478006169</v>
      </c>
      <c r="D1256" t="str">
        <f>"9781478007586"</f>
        <v>9781478007586</v>
      </c>
      <c r="E1256" t="s">
        <v>687</v>
      </c>
      <c r="F1256" t="s">
        <v>687</v>
      </c>
      <c r="G1256" s="1">
        <v>43931</v>
      </c>
      <c r="H1256" s="1">
        <v>43895</v>
      </c>
      <c r="I1256" t="s">
        <v>189</v>
      </c>
      <c r="J1256">
        <v>1</v>
      </c>
      <c r="K1256" t="s">
        <v>3494</v>
      </c>
      <c r="L1256" t="s">
        <v>3681</v>
      </c>
      <c r="M1256" t="s">
        <v>210</v>
      </c>
    </row>
    <row r="1257" spans="1:40" x14ac:dyDescent="0.35">
      <c r="A1257">
        <v>6129767</v>
      </c>
      <c r="B1257" t="s">
        <v>3682</v>
      </c>
      <c r="C1257" t="str">
        <f>""</f>
        <v/>
      </c>
      <c r="D1257" t="str">
        <f>"9789179298869"</f>
        <v>9789179298869</v>
      </c>
      <c r="E1257" t="s">
        <v>3642</v>
      </c>
      <c r="F1257" t="s">
        <v>3642</v>
      </c>
      <c r="G1257" s="1">
        <v>43892</v>
      </c>
      <c r="H1257" s="1">
        <v>43899</v>
      </c>
      <c r="I1257" t="s">
        <v>189</v>
      </c>
      <c r="J1257">
        <v>1</v>
      </c>
      <c r="L1257" t="s">
        <v>3683</v>
      </c>
      <c r="Q1257" t="s">
        <v>260</v>
      </c>
      <c r="R1257" t="s">
        <v>261</v>
      </c>
      <c r="S1257" t="s">
        <v>261</v>
      </c>
      <c r="T1257" t="s">
        <v>261</v>
      </c>
      <c r="U1257" t="s">
        <v>261</v>
      </c>
      <c r="V1257" t="s">
        <v>262</v>
      </c>
      <c r="W1257" t="s">
        <v>261</v>
      </c>
      <c r="X1257" t="s">
        <v>261</v>
      </c>
      <c r="Y1257" t="s">
        <v>261</v>
      </c>
      <c r="AD1257" t="s">
        <v>261</v>
      </c>
      <c r="AH1257" t="s">
        <v>262</v>
      </c>
      <c r="AI1257" t="s">
        <v>261</v>
      </c>
      <c r="AJ1257" t="s">
        <v>261</v>
      </c>
      <c r="AK1257" t="s">
        <v>261</v>
      </c>
      <c r="AM1257" t="s">
        <v>262</v>
      </c>
      <c r="AN1257" t="s">
        <v>3684</v>
      </c>
    </row>
    <row r="1258" spans="1:40" x14ac:dyDescent="0.35">
      <c r="A1258">
        <v>6129768</v>
      </c>
      <c r="B1258" t="s">
        <v>3685</v>
      </c>
      <c r="C1258" t="str">
        <f>""</f>
        <v/>
      </c>
      <c r="D1258" t="str">
        <f>"9789179298791"</f>
        <v>9789179298791</v>
      </c>
      <c r="E1258" t="s">
        <v>3642</v>
      </c>
      <c r="F1258" t="s">
        <v>3642</v>
      </c>
      <c r="G1258" s="1">
        <v>43882</v>
      </c>
      <c r="H1258" s="1">
        <v>43906</v>
      </c>
      <c r="I1258" t="s">
        <v>189</v>
      </c>
      <c r="J1258">
        <v>1</v>
      </c>
      <c r="L1258" t="s">
        <v>3686</v>
      </c>
      <c r="Q1258" t="s">
        <v>260</v>
      </c>
      <c r="R1258" t="s">
        <v>261</v>
      </c>
      <c r="S1258" t="s">
        <v>261</v>
      </c>
      <c r="T1258" t="s">
        <v>261</v>
      </c>
      <c r="U1258" t="s">
        <v>261</v>
      </c>
      <c r="V1258" t="s">
        <v>262</v>
      </c>
      <c r="W1258" t="s">
        <v>261</v>
      </c>
      <c r="X1258" t="s">
        <v>261</v>
      </c>
      <c r="Y1258" t="s">
        <v>261</v>
      </c>
      <c r="AD1258" t="s">
        <v>261</v>
      </c>
      <c r="AH1258" t="s">
        <v>262</v>
      </c>
      <c r="AI1258" t="s">
        <v>261</v>
      </c>
      <c r="AJ1258" t="s">
        <v>261</v>
      </c>
      <c r="AK1258" t="s">
        <v>261</v>
      </c>
      <c r="AM1258" t="s">
        <v>262</v>
      </c>
      <c r="AN1258" t="s">
        <v>3687</v>
      </c>
    </row>
    <row r="1259" spans="1:40" x14ac:dyDescent="0.35">
      <c r="A1259">
        <v>6129769</v>
      </c>
      <c r="B1259" t="s">
        <v>3688</v>
      </c>
      <c r="C1259" t="str">
        <f>""</f>
        <v/>
      </c>
      <c r="D1259" t="str">
        <f>"9789179299521"</f>
        <v>9789179299521</v>
      </c>
      <c r="E1259" t="s">
        <v>3642</v>
      </c>
      <c r="F1259" t="s">
        <v>3642</v>
      </c>
      <c r="G1259" s="1">
        <v>43895</v>
      </c>
      <c r="H1259" s="1">
        <v>43899</v>
      </c>
      <c r="I1259" t="s">
        <v>189</v>
      </c>
      <c r="J1259">
        <v>1</v>
      </c>
      <c r="L1259" t="s">
        <v>3689</v>
      </c>
      <c r="Q1259" t="s">
        <v>260</v>
      </c>
      <c r="R1259" t="s">
        <v>261</v>
      </c>
      <c r="S1259" t="s">
        <v>261</v>
      </c>
      <c r="T1259" t="s">
        <v>261</v>
      </c>
      <c r="U1259" t="s">
        <v>261</v>
      </c>
      <c r="V1259" t="s">
        <v>262</v>
      </c>
      <c r="W1259" t="s">
        <v>261</v>
      </c>
      <c r="X1259" t="s">
        <v>261</v>
      </c>
      <c r="Y1259" t="s">
        <v>261</v>
      </c>
      <c r="AD1259" t="s">
        <v>261</v>
      </c>
      <c r="AH1259" t="s">
        <v>262</v>
      </c>
      <c r="AI1259" t="s">
        <v>261</v>
      </c>
      <c r="AJ1259" t="s">
        <v>261</v>
      </c>
      <c r="AK1259" t="s">
        <v>261</v>
      </c>
      <c r="AM1259" t="s">
        <v>262</v>
      </c>
      <c r="AN1259" t="s">
        <v>3690</v>
      </c>
    </row>
    <row r="1260" spans="1:40" x14ac:dyDescent="0.35">
      <c r="A1260">
        <v>6130869</v>
      </c>
      <c r="B1260" t="s">
        <v>3691</v>
      </c>
      <c r="C1260" t="str">
        <f>"9781478006114"</f>
        <v>9781478006114</v>
      </c>
      <c r="D1260" t="str">
        <f>"9781478007531"</f>
        <v>9781478007531</v>
      </c>
      <c r="E1260" t="s">
        <v>687</v>
      </c>
      <c r="F1260" t="s">
        <v>687</v>
      </c>
      <c r="G1260" s="1">
        <v>43903</v>
      </c>
      <c r="H1260" s="1">
        <v>43909</v>
      </c>
      <c r="I1260" t="s">
        <v>189</v>
      </c>
      <c r="J1260">
        <v>1</v>
      </c>
      <c r="L1260" t="s">
        <v>3692</v>
      </c>
      <c r="M1260" t="s">
        <v>578</v>
      </c>
      <c r="N1260" t="s">
        <v>3693</v>
      </c>
      <c r="Q1260" t="s">
        <v>260</v>
      </c>
      <c r="R1260" t="s">
        <v>261</v>
      </c>
      <c r="S1260" t="s">
        <v>261</v>
      </c>
      <c r="T1260" t="s">
        <v>261</v>
      </c>
      <c r="U1260" t="s">
        <v>261</v>
      </c>
      <c r="V1260" t="s">
        <v>262</v>
      </c>
      <c r="W1260" t="s">
        <v>261</v>
      </c>
      <c r="X1260" t="s">
        <v>261</v>
      </c>
      <c r="Y1260" t="s">
        <v>261</v>
      </c>
      <c r="Z1260" t="s">
        <v>409</v>
      </c>
      <c r="AB1260" t="s">
        <v>409</v>
      </c>
      <c r="AC1260" t="s">
        <v>409</v>
      </c>
      <c r="AD1260" t="s">
        <v>262</v>
      </c>
      <c r="AH1260" t="s">
        <v>262</v>
      </c>
      <c r="AI1260" t="s">
        <v>262</v>
      </c>
      <c r="AJ1260" t="s">
        <v>261</v>
      </c>
      <c r="AK1260" t="s">
        <v>261</v>
      </c>
      <c r="AM1260" t="s">
        <v>262</v>
      </c>
      <c r="AN1260" t="s">
        <v>3694</v>
      </c>
    </row>
    <row r="1261" spans="1:40" x14ac:dyDescent="0.35">
      <c r="A1261">
        <v>6132344</v>
      </c>
      <c r="B1261" t="s">
        <v>3695</v>
      </c>
      <c r="C1261" t="str">
        <f>"9781789620177"</f>
        <v>9781789620177</v>
      </c>
      <c r="D1261" t="str">
        <f>"9781789624342"</f>
        <v>9781789624342</v>
      </c>
      <c r="E1261" t="s">
        <v>3696</v>
      </c>
      <c r="F1261" t="s">
        <v>3696</v>
      </c>
      <c r="G1261" s="1">
        <v>43782</v>
      </c>
      <c r="H1261" s="1">
        <v>44545</v>
      </c>
      <c r="I1261" t="s">
        <v>189</v>
      </c>
      <c r="J1261">
        <v>1</v>
      </c>
      <c r="K1261" t="s">
        <v>3697</v>
      </c>
      <c r="L1261" t="s">
        <v>3698</v>
      </c>
      <c r="M1261" t="s">
        <v>219</v>
      </c>
      <c r="O1261" t="s">
        <v>3699</v>
      </c>
      <c r="Q1261" t="s">
        <v>260</v>
      </c>
      <c r="R1261" t="s">
        <v>261</v>
      </c>
      <c r="S1261" t="s">
        <v>261</v>
      </c>
      <c r="T1261" t="s">
        <v>261</v>
      </c>
      <c r="U1261" t="s">
        <v>261</v>
      </c>
      <c r="V1261" t="s">
        <v>262</v>
      </c>
      <c r="W1261" t="s">
        <v>261</v>
      </c>
      <c r="X1261" t="s">
        <v>261</v>
      </c>
      <c r="Y1261" t="s">
        <v>261</v>
      </c>
      <c r="AC1261" t="s">
        <v>409</v>
      </c>
      <c r="AD1261" t="s">
        <v>261</v>
      </c>
      <c r="AH1261" t="s">
        <v>262</v>
      </c>
      <c r="AI1261" t="s">
        <v>262</v>
      </c>
      <c r="AJ1261" t="s">
        <v>261</v>
      </c>
      <c r="AK1261" t="s">
        <v>261</v>
      </c>
      <c r="AM1261" t="s">
        <v>262</v>
      </c>
      <c r="AN1261" t="s">
        <v>3700</v>
      </c>
    </row>
    <row r="1262" spans="1:40" x14ac:dyDescent="0.35">
      <c r="A1262">
        <v>6132349</v>
      </c>
      <c r="B1262" t="s">
        <v>3701</v>
      </c>
      <c r="C1262" t="str">
        <f>"9781789620801"</f>
        <v>9781789620801</v>
      </c>
      <c r="D1262" t="str">
        <f>"9781789624915"</f>
        <v>9781789624915</v>
      </c>
      <c r="E1262" t="s">
        <v>3696</v>
      </c>
      <c r="F1262" t="s">
        <v>3696</v>
      </c>
      <c r="G1262" s="1">
        <v>43802</v>
      </c>
      <c r="H1262" s="1">
        <v>44545</v>
      </c>
      <c r="I1262" t="s">
        <v>189</v>
      </c>
      <c r="J1262">
        <v>1</v>
      </c>
      <c r="K1262" t="s">
        <v>3702</v>
      </c>
      <c r="L1262" t="s">
        <v>3703</v>
      </c>
      <c r="M1262" t="s">
        <v>282</v>
      </c>
      <c r="O1262" s="2">
        <v>3.3188162510944E+18</v>
      </c>
      <c r="Q1262" t="s">
        <v>260</v>
      </c>
      <c r="R1262" t="s">
        <v>261</v>
      </c>
      <c r="S1262" t="s">
        <v>261</v>
      </c>
      <c r="T1262" t="s">
        <v>261</v>
      </c>
      <c r="U1262" t="s">
        <v>261</v>
      </c>
      <c r="V1262" t="s">
        <v>262</v>
      </c>
      <c r="W1262" t="s">
        <v>261</v>
      </c>
      <c r="X1262" t="s">
        <v>261</v>
      </c>
      <c r="Y1262" t="s">
        <v>261</v>
      </c>
      <c r="AC1262" t="s">
        <v>409</v>
      </c>
      <c r="AD1262" t="s">
        <v>261</v>
      </c>
      <c r="AH1262" t="s">
        <v>262</v>
      </c>
      <c r="AI1262" t="s">
        <v>262</v>
      </c>
      <c r="AJ1262" t="s">
        <v>261</v>
      </c>
      <c r="AK1262" t="s">
        <v>261</v>
      </c>
      <c r="AM1262" t="s">
        <v>262</v>
      </c>
      <c r="AN1262" t="s">
        <v>3704</v>
      </c>
    </row>
    <row r="1263" spans="1:40" x14ac:dyDescent="0.35">
      <c r="A1263">
        <v>6133845</v>
      </c>
      <c r="B1263" t="s">
        <v>3705</v>
      </c>
      <c r="C1263" t="str">
        <f>"9781478003151"</f>
        <v>9781478003151</v>
      </c>
      <c r="D1263" t="str">
        <f>"9781478004424"</f>
        <v>9781478004424</v>
      </c>
      <c r="E1263" t="s">
        <v>687</v>
      </c>
      <c r="F1263" t="s">
        <v>687</v>
      </c>
      <c r="G1263" s="1">
        <v>43812</v>
      </c>
      <c r="H1263" s="1">
        <v>43908</v>
      </c>
      <c r="I1263" t="s">
        <v>189</v>
      </c>
      <c r="J1263">
        <v>1</v>
      </c>
      <c r="L1263" t="s">
        <v>3706</v>
      </c>
    </row>
    <row r="1264" spans="1:40" x14ac:dyDescent="0.35">
      <c r="A1264">
        <v>6134160</v>
      </c>
      <c r="B1264" t="s">
        <v>3707</v>
      </c>
      <c r="C1264" t="str">
        <f>""</f>
        <v/>
      </c>
      <c r="D1264" t="str">
        <f>"9789179299101"</f>
        <v>9789179299101</v>
      </c>
      <c r="E1264" t="s">
        <v>3642</v>
      </c>
      <c r="F1264" t="s">
        <v>3642</v>
      </c>
      <c r="G1264" s="1">
        <v>43903</v>
      </c>
      <c r="H1264" s="1">
        <v>43906</v>
      </c>
      <c r="I1264" t="s">
        <v>189</v>
      </c>
      <c r="J1264">
        <v>1</v>
      </c>
      <c r="L1264" t="s">
        <v>3708</v>
      </c>
      <c r="Q1264" t="s">
        <v>260</v>
      </c>
      <c r="R1264" t="s">
        <v>261</v>
      </c>
      <c r="S1264" t="s">
        <v>261</v>
      </c>
      <c r="T1264" t="s">
        <v>261</v>
      </c>
      <c r="U1264" t="s">
        <v>261</v>
      </c>
      <c r="V1264" t="s">
        <v>262</v>
      </c>
      <c r="W1264" t="s">
        <v>261</v>
      </c>
      <c r="X1264" t="s">
        <v>261</v>
      </c>
      <c r="Y1264" t="s">
        <v>261</v>
      </c>
      <c r="AD1264" t="s">
        <v>261</v>
      </c>
      <c r="AH1264" t="s">
        <v>262</v>
      </c>
      <c r="AI1264" t="s">
        <v>261</v>
      </c>
      <c r="AJ1264" t="s">
        <v>261</v>
      </c>
      <c r="AK1264" t="s">
        <v>261</v>
      </c>
      <c r="AM1264" t="s">
        <v>262</v>
      </c>
      <c r="AN1264" t="s">
        <v>3709</v>
      </c>
    </row>
    <row r="1265" spans="1:40" x14ac:dyDescent="0.35">
      <c r="A1265">
        <v>6134161</v>
      </c>
      <c r="B1265" t="s">
        <v>3710</v>
      </c>
      <c r="C1265" t="str">
        <f>""</f>
        <v/>
      </c>
      <c r="D1265" t="str">
        <f>"9789179298968"</f>
        <v>9789179298968</v>
      </c>
      <c r="E1265" t="s">
        <v>3642</v>
      </c>
      <c r="F1265" t="s">
        <v>3642</v>
      </c>
      <c r="G1265" s="1">
        <v>43900</v>
      </c>
      <c r="H1265" s="1">
        <v>43913</v>
      </c>
      <c r="I1265" t="s">
        <v>189</v>
      </c>
      <c r="J1265">
        <v>1</v>
      </c>
      <c r="L1265" t="s">
        <v>3711</v>
      </c>
      <c r="Q1265" t="s">
        <v>260</v>
      </c>
      <c r="R1265" t="s">
        <v>261</v>
      </c>
      <c r="S1265" t="s">
        <v>261</v>
      </c>
      <c r="T1265" t="s">
        <v>261</v>
      </c>
      <c r="U1265" t="s">
        <v>261</v>
      </c>
      <c r="V1265" t="s">
        <v>262</v>
      </c>
      <c r="W1265" t="s">
        <v>261</v>
      </c>
      <c r="X1265" t="s">
        <v>261</v>
      </c>
      <c r="Y1265" t="s">
        <v>261</v>
      </c>
      <c r="AD1265" t="s">
        <v>261</v>
      </c>
      <c r="AH1265" t="s">
        <v>262</v>
      </c>
      <c r="AI1265" t="s">
        <v>261</v>
      </c>
      <c r="AJ1265" t="s">
        <v>261</v>
      </c>
      <c r="AK1265" t="s">
        <v>261</v>
      </c>
      <c r="AM1265" t="s">
        <v>262</v>
      </c>
      <c r="AN1265" t="s">
        <v>3712</v>
      </c>
    </row>
    <row r="1266" spans="1:40" x14ac:dyDescent="0.35">
      <c r="A1266">
        <v>6134162</v>
      </c>
      <c r="B1266" t="s">
        <v>3713</v>
      </c>
      <c r="C1266" t="str">
        <f>""</f>
        <v/>
      </c>
      <c r="D1266" t="str">
        <f>"9789179299149"</f>
        <v>9789179299149</v>
      </c>
      <c r="E1266" t="s">
        <v>3642</v>
      </c>
      <c r="F1266" t="s">
        <v>3642</v>
      </c>
      <c r="G1266" s="1">
        <v>43899</v>
      </c>
      <c r="H1266" s="1">
        <v>43906</v>
      </c>
      <c r="I1266" t="s">
        <v>189</v>
      </c>
      <c r="J1266">
        <v>1</v>
      </c>
      <c r="L1266" t="s">
        <v>3714</v>
      </c>
      <c r="Q1266" t="s">
        <v>260</v>
      </c>
      <c r="R1266" t="s">
        <v>261</v>
      </c>
      <c r="S1266" t="s">
        <v>261</v>
      </c>
      <c r="T1266" t="s">
        <v>261</v>
      </c>
      <c r="U1266" t="s">
        <v>261</v>
      </c>
      <c r="V1266" t="s">
        <v>262</v>
      </c>
      <c r="W1266" t="s">
        <v>261</v>
      </c>
      <c r="X1266" t="s">
        <v>261</v>
      </c>
      <c r="Y1266" t="s">
        <v>261</v>
      </c>
      <c r="AD1266" t="s">
        <v>261</v>
      </c>
      <c r="AH1266" t="s">
        <v>262</v>
      </c>
      <c r="AI1266" t="s">
        <v>261</v>
      </c>
      <c r="AJ1266" t="s">
        <v>261</v>
      </c>
      <c r="AK1266" t="s">
        <v>261</v>
      </c>
      <c r="AM1266" t="s">
        <v>262</v>
      </c>
      <c r="AN1266" t="s">
        <v>3715</v>
      </c>
    </row>
    <row r="1267" spans="1:40" x14ac:dyDescent="0.35">
      <c r="A1267">
        <v>6142605</v>
      </c>
      <c r="B1267" t="s">
        <v>3716</v>
      </c>
      <c r="C1267" t="str">
        <f>""</f>
        <v/>
      </c>
      <c r="D1267" t="str">
        <f>"9789179298852"</f>
        <v>9789179298852</v>
      </c>
      <c r="E1267" t="s">
        <v>3642</v>
      </c>
      <c r="F1267" t="s">
        <v>3642</v>
      </c>
      <c r="G1267" s="1">
        <v>43907</v>
      </c>
      <c r="H1267" s="1">
        <v>43913</v>
      </c>
      <c r="I1267" t="s">
        <v>189</v>
      </c>
      <c r="J1267">
        <v>1</v>
      </c>
      <c r="L1267" t="s">
        <v>3717</v>
      </c>
      <c r="Q1267" t="s">
        <v>260</v>
      </c>
      <c r="R1267" t="s">
        <v>261</v>
      </c>
      <c r="S1267" t="s">
        <v>261</v>
      </c>
      <c r="T1267" t="s">
        <v>261</v>
      </c>
      <c r="U1267" t="s">
        <v>261</v>
      </c>
      <c r="V1267" t="s">
        <v>262</v>
      </c>
      <c r="W1267" t="s">
        <v>261</v>
      </c>
      <c r="X1267" t="s">
        <v>261</v>
      </c>
      <c r="Y1267" t="s">
        <v>261</v>
      </c>
      <c r="AD1267" t="s">
        <v>261</v>
      </c>
      <c r="AH1267" t="s">
        <v>262</v>
      </c>
      <c r="AI1267" t="s">
        <v>261</v>
      </c>
      <c r="AJ1267" t="s">
        <v>261</v>
      </c>
      <c r="AK1267" t="s">
        <v>261</v>
      </c>
      <c r="AM1267" t="s">
        <v>262</v>
      </c>
      <c r="AN1267" t="s">
        <v>3718</v>
      </c>
    </row>
    <row r="1268" spans="1:40" x14ac:dyDescent="0.35">
      <c r="A1268">
        <v>6142606</v>
      </c>
      <c r="B1268" t="s">
        <v>3719</v>
      </c>
      <c r="C1268" t="str">
        <f>""</f>
        <v/>
      </c>
      <c r="D1268" t="str">
        <f>"9789179299163"</f>
        <v>9789179299163</v>
      </c>
      <c r="E1268" t="s">
        <v>3642</v>
      </c>
      <c r="F1268" t="s">
        <v>3642</v>
      </c>
      <c r="G1268" s="1">
        <v>43910</v>
      </c>
      <c r="H1268" s="1">
        <v>43920</v>
      </c>
      <c r="I1268" t="s">
        <v>189</v>
      </c>
      <c r="J1268">
        <v>1</v>
      </c>
      <c r="L1268" t="s">
        <v>3720</v>
      </c>
      <c r="Q1268" t="s">
        <v>260</v>
      </c>
      <c r="R1268" t="s">
        <v>261</v>
      </c>
      <c r="S1268" t="s">
        <v>261</v>
      </c>
      <c r="T1268" t="s">
        <v>261</v>
      </c>
      <c r="U1268" t="s">
        <v>261</v>
      </c>
      <c r="V1268" t="s">
        <v>262</v>
      </c>
      <c r="W1268" t="s">
        <v>261</v>
      </c>
      <c r="X1268" t="s">
        <v>261</v>
      </c>
      <c r="Y1268" t="s">
        <v>261</v>
      </c>
      <c r="AD1268" t="s">
        <v>261</v>
      </c>
      <c r="AH1268" t="s">
        <v>262</v>
      </c>
      <c r="AI1268" t="s">
        <v>261</v>
      </c>
      <c r="AJ1268" t="s">
        <v>261</v>
      </c>
      <c r="AK1268" t="s">
        <v>261</v>
      </c>
      <c r="AM1268" t="s">
        <v>262</v>
      </c>
      <c r="AN1268" t="s">
        <v>3721</v>
      </c>
    </row>
    <row r="1269" spans="1:40" x14ac:dyDescent="0.35">
      <c r="A1269">
        <v>6142607</v>
      </c>
      <c r="B1269" t="s">
        <v>3722</v>
      </c>
      <c r="C1269" t="str">
        <f>""</f>
        <v/>
      </c>
      <c r="D1269" t="str">
        <f>"9789179298784"</f>
        <v>9789179298784</v>
      </c>
      <c r="E1269" t="s">
        <v>3642</v>
      </c>
      <c r="F1269" t="s">
        <v>3642</v>
      </c>
      <c r="G1269" s="1">
        <v>43908</v>
      </c>
      <c r="H1269" s="1">
        <v>43920</v>
      </c>
      <c r="I1269" t="s">
        <v>189</v>
      </c>
      <c r="J1269">
        <v>1</v>
      </c>
      <c r="L1269" t="s">
        <v>3723</v>
      </c>
      <c r="Q1269" t="s">
        <v>260</v>
      </c>
      <c r="R1269" t="s">
        <v>261</v>
      </c>
      <c r="S1269" t="s">
        <v>261</v>
      </c>
      <c r="T1269" t="s">
        <v>261</v>
      </c>
      <c r="U1269" t="s">
        <v>261</v>
      </c>
      <c r="V1269" t="s">
        <v>262</v>
      </c>
      <c r="W1269" t="s">
        <v>261</v>
      </c>
      <c r="X1269" t="s">
        <v>261</v>
      </c>
      <c r="Y1269" t="s">
        <v>261</v>
      </c>
      <c r="AD1269" t="s">
        <v>261</v>
      </c>
      <c r="AH1269" t="s">
        <v>262</v>
      </c>
      <c r="AI1269" t="s">
        <v>261</v>
      </c>
      <c r="AJ1269" t="s">
        <v>261</v>
      </c>
      <c r="AK1269" t="s">
        <v>261</v>
      </c>
      <c r="AM1269" t="s">
        <v>262</v>
      </c>
      <c r="AN1269" t="s">
        <v>3724</v>
      </c>
    </row>
    <row r="1270" spans="1:40" x14ac:dyDescent="0.35">
      <c r="A1270">
        <v>6142608</v>
      </c>
      <c r="B1270" t="s">
        <v>3725</v>
      </c>
      <c r="C1270" t="str">
        <f>""</f>
        <v/>
      </c>
      <c r="D1270" t="str">
        <f>"9789179298722"</f>
        <v>9789179298722</v>
      </c>
      <c r="E1270" t="s">
        <v>3642</v>
      </c>
      <c r="F1270" t="s">
        <v>3642</v>
      </c>
      <c r="G1270" s="1">
        <v>43908</v>
      </c>
      <c r="H1270" s="1">
        <v>43920</v>
      </c>
      <c r="I1270" t="s">
        <v>189</v>
      </c>
      <c r="J1270">
        <v>1</v>
      </c>
      <c r="L1270" t="s">
        <v>3726</v>
      </c>
      <c r="Q1270" t="s">
        <v>260</v>
      </c>
      <c r="R1270" t="s">
        <v>261</v>
      </c>
      <c r="S1270" t="s">
        <v>261</v>
      </c>
      <c r="T1270" t="s">
        <v>261</v>
      </c>
      <c r="U1270" t="s">
        <v>261</v>
      </c>
      <c r="V1270" t="s">
        <v>262</v>
      </c>
      <c r="W1270" t="s">
        <v>261</v>
      </c>
      <c r="X1270" t="s">
        <v>261</v>
      </c>
      <c r="Y1270" t="s">
        <v>261</v>
      </c>
      <c r="AD1270" t="s">
        <v>261</v>
      </c>
      <c r="AH1270" t="s">
        <v>262</v>
      </c>
      <c r="AI1270" t="s">
        <v>261</v>
      </c>
      <c r="AJ1270" t="s">
        <v>261</v>
      </c>
      <c r="AK1270" t="s">
        <v>261</v>
      </c>
      <c r="AM1270" t="s">
        <v>262</v>
      </c>
      <c r="AN1270" t="s">
        <v>3727</v>
      </c>
    </row>
    <row r="1271" spans="1:40" x14ac:dyDescent="0.35">
      <c r="A1271">
        <v>6147646</v>
      </c>
      <c r="B1271" t="s">
        <v>3728</v>
      </c>
      <c r="C1271" t="str">
        <f>""</f>
        <v/>
      </c>
      <c r="D1271" t="str">
        <f>"9789179299125"</f>
        <v>9789179299125</v>
      </c>
      <c r="E1271" t="s">
        <v>3642</v>
      </c>
      <c r="F1271" t="s">
        <v>3642</v>
      </c>
      <c r="G1271" s="1">
        <v>43914</v>
      </c>
      <c r="H1271" s="1">
        <v>43941</v>
      </c>
      <c r="I1271" t="s">
        <v>189</v>
      </c>
      <c r="J1271">
        <v>1</v>
      </c>
      <c r="L1271" t="s">
        <v>3729</v>
      </c>
      <c r="Q1271" t="s">
        <v>260</v>
      </c>
      <c r="R1271" t="s">
        <v>261</v>
      </c>
      <c r="S1271" t="s">
        <v>261</v>
      </c>
      <c r="T1271" t="s">
        <v>261</v>
      </c>
      <c r="U1271" t="s">
        <v>261</v>
      </c>
      <c r="V1271" t="s">
        <v>262</v>
      </c>
      <c r="W1271" t="s">
        <v>261</v>
      </c>
      <c r="X1271" t="s">
        <v>261</v>
      </c>
      <c r="Y1271" t="s">
        <v>261</v>
      </c>
      <c r="AD1271" t="s">
        <v>261</v>
      </c>
      <c r="AH1271" t="s">
        <v>262</v>
      </c>
      <c r="AI1271" t="s">
        <v>261</v>
      </c>
      <c r="AJ1271" t="s">
        <v>261</v>
      </c>
      <c r="AK1271" t="s">
        <v>261</v>
      </c>
      <c r="AM1271" t="s">
        <v>262</v>
      </c>
      <c r="AN1271" t="s">
        <v>3730</v>
      </c>
    </row>
    <row r="1272" spans="1:40" x14ac:dyDescent="0.35">
      <c r="A1272">
        <v>6147647</v>
      </c>
      <c r="B1272" t="s">
        <v>3731</v>
      </c>
      <c r="C1272" t="str">
        <f>""</f>
        <v/>
      </c>
      <c r="D1272" t="str">
        <f>"9789179298982"</f>
        <v>9789179298982</v>
      </c>
      <c r="E1272" t="s">
        <v>3642</v>
      </c>
      <c r="F1272" t="s">
        <v>3642</v>
      </c>
      <c r="G1272" s="1">
        <v>43897</v>
      </c>
      <c r="H1272" s="1">
        <v>43920</v>
      </c>
      <c r="I1272" t="s">
        <v>189</v>
      </c>
      <c r="J1272">
        <v>1</v>
      </c>
      <c r="L1272" t="s">
        <v>3732</v>
      </c>
      <c r="Q1272" t="s">
        <v>260</v>
      </c>
      <c r="R1272" t="s">
        <v>261</v>
      </c>
      <c r="S1272" t="s">
        <v>261</v>
      </c>
      <c r="T1272" t="s">
        <v>261</v>
      </c>
      <c r="U1272" t="s">
        <v>261</v>
      </c>
      <c r="V1272" t="s">
        <v>262</v>
      </c>
      <c r="W1272" t="s">
        <v>261</v>
      </c>
      <c r="X1272" t="s">
        <v>261</v>
      </c>
      <c r="Y1272" t="s">
        <v>261</v>
      </c>
      <c r="AD1272" t="s">
        <v>261</v>
      </c>
      <c r="AH1272" t="s">
        <v>262</v>
      </c>
      <c r="AI1272" t="s">
        <v>261</v>
      </c>
      <c r="AJ1272" t="s">
        <v>261</v>
      </c>
      <c r="AK1272" t="s">
        <v>261</v>
      </c>
      <c r="AM1272" t="s">
        <v>262</v>
      </c>
      <c r="AN1272" t="s">
        <v>3733</v>
      </c>
    </row>
    <row r="1273" spans="1:40" x14ac:dyDescent="0.35">
      <c r="A1273">
        <v>6148188</v>
      </c>
      <c r="B1273" t="s">
        <v>3734</v>
      </c>
      <c r="C1273" t="str">
        <f>"9781783748884"</f>
        <v>9781783748884</v>
      </c>
      <c r="D1273" t="str">
        <f>"9781783748891"</f>
        <v>9781783748891</v>
      </c>
      <c r="E1273" t="s">
        <v>1807</v>
      </c>
      <c r="F1273" t="s">
        <v>1807</v>
      </c>
      <c r="G1273" s="1">
        <v>43902</v>
      </c>
      <c r="H1273" s="1">
        <v>43927</v>
      </c>
      <c r="I1273" t="s">
        <v>189</v>
      </c>
      <c r="J1273">
        <v>1</v>
      </c>
      <c r="L1273" t="s">
        <v>3735</v>
      </c>
      <c r="M1273" t="s">
        <v>329</v>
      </c>
    </row>
    <row r="1274" spans="1:40" x14ac:dyDescent="0.35">
      <c r="A1274">
        <v>6151556</v>
      </c>
      <c r="B1274" t="s">
        <v>3736</v>
      </c>
      <c r="C1274" t="str">
        <f>"9781783749218"</f>
        <v>9781783749218</v>
      </c>
      <c r="D1274" t="str">
        <f>"9781783749225"</f>
        <v>9781783749225</v>
      </c>
      <c r="E1274" t="s">
        <v>1807</v>
      </c>
      <c r="F1274" t="s">
        <v>1807</v>
      </c>
      <c r="G1274" s="1">
        <v>43908</v>
      </c>
      <c r="H1274" s="1">
        <v>43927</v>
      </c>
      <c r="I1274" t="s">
        <v>189</v>
      </c>
      <c r="J1274">
        <v>1</v>
      </c>
      <c r="L1274" t="s">
        <v>3737</v>
      </c>
    </row>
    <row r="1275" spans="1:40" x14ac:dyDescent="0.35">
      <c r="A1275">
        <v>6151557</v>
      </c>
      <c r="B1275" t="s">
        <v>3738</v>
      </c>
      <c r="C1275" t="str">
        <f>"9781783748938"</f>
        <v>9781783748938</v>
      </c>
      <c r="D1275" t="str">
        <f>"9781783748945"</f>
        <v>9781783748945</v>
      </c>
      <c r="E1275" t="s">
        <v>1807</v>
      </c>
      <c r="F1275" t="s">
        <v>1807</v>
      </c>
      <c r="G1275" s="1">
        <v>43908</v>
      </c>
      <c r="H1275" s="1">
        <v>43927</v>
      </c>
      <c r="I1275" t="s">
        <v>189</v>
      </c>
      <c r="J1275">
        <v>1</v>
      </c>
      <c r="L1275" t="s">
        <v>3737</v>
      </c>
    </row>
    <row r="1276" spans="1:40" x14ac:dyDescent="0.35">
      <c r="A1276">
        <v>6154392</v>
      </c>
      <c r="B1276" t="s">
        <v>3739</v>
      </c>
      <c r="C1276" t="str">
        <f>"9781783748761"</f>
        <v>9781783748761</v>
      </c>
      <c r="D1276" t="str">
        <f>"9781783748778"</f>
        <v>9781783748778</v>
      </c>
      <c r="E1276" t="s">
        <v>1807</v>
      </c>
      <c r="F1276" t="s">
        <v>1807</v>
      </c>
      <c r="G1276" s="1">
        <v>43914</v>
      </c>
      <c r="H1276" s="1">
        <v>43924</v>
      </c>
      <c r="I1276" t="s">
        <v>189</v>
      </c>
      <c r="J1276">
        <v>1</v>
      </c>
      <c r="L1276" t="s">
        <v>3740</v>
      </c>
      <c r="M1276" t="s">
        <v>199</v>
      </c>
      <c r="O1276" t="s">
        <v>3741</v>
      </c>
      <c r="Q1276" t="s">
        <v>260</v>
      </c>
      <c r="R1276" t="s">
        <v>261</v>
      </c>
      <c r="S1276" t="s">
        <v>261</v>
      </c>
      <c r="T1276" t="s">
        <v>261</v>
      </c>
      <c r="U1276" t="s">
        <v>261</v>
      </c>
      <c r="V1276" t="s">
        <v>262</v>
      </c>
      <c r="W1276" t="s">
        <v>261</v>
      </c>
      <c r="X1276" t="s">
        <v>261</v>
      </c>
      <c r="Y1276" t="s">
        <v>261</v>
      </c>
      <c r="Z1276" t="s">
        <v>409</v>
      </c>
      <c r="AA1276" t="s">
        <v>409</v>
      </c>
      <c r="AB1276" t="s">
        <v>409</v>
      </c>
      <c r="AC1276" t="s">
        <v>409</v>
      </c>
      <c r="AD1276" t="s">
        <v>262</v>
      </c>
      <c r="AH1276" t="s">
        <v>262</v>
      </c>
      <c r="AI1276" t="s">
        <v>262</v>
      </c>
      <c r="AJ1276" t="s">
        <v>261</v>
      </c>
      <c r="AK1276" t="s">
        <v>261</v>
      </c>
      <c r="AM1276" t="s">
        <v>262</v>
      </c>
      <c r="AN1276" t="s">
        <v>3742</v>
      </c>
    </row>
    <row r="1277" spans="1:40" x14ac:dyDescent="0.35">
      <c r="A1277">
        <v>6157380</v>
      </c>
      <c r="B1277" t="s">
        <v>3743</v>
      </c>
      <c r="C1277" t="str">
        <f>""</f>
        <v/>
      </c>
      <c r="D1277" t="str">
        <f>"9789179298630"</f>
        <v>9789179298630</v>
      </c>
      <c r="E1277" t="s">
        <v>3642</v>
      </c>
      <c r="F1277" t="s">
        <v>3642</v>
      </c>
      <c r="G1277" s="1">
        <v>43923</v>
      </c>
      <c r="H1277" s="1">
        <v>43969</v>
      </c>
      <c r="I1277" t="s">
        <v>189</v>
      </c>
      <c r="J1277">
        <v>1</v>
      </c>
      <c r="L1277" t="s">
        <v>3744</v>
      </c>
      <c r="Q1277" t="s">
        <v>260</v>
      </c>
      <c r="R1277" t="s">
        <v>261</v>
      </c>
      <c r="S1277" t="s">
        <v>261</v>
      </c>
      <c r="T1277" t="s">
        <v>261</v>
      </c>
      <c r="U1277" t="s">
        <v>261</v>
      </c>
      <c r="V1277" t="s">
        <v>262</v>
      </c>
      <c r="W1277" t="s">
        <v>261</v>
      </c>
      <c r="X1277" t="s">
        <v>261</v>
      </c>
      <c r="Y1277" t="s">
        <v>261</v>
      </c>
      <c r="AD1277" t="s">
        <v>261</v>
      </c>
      <c r="AH1277" t="s">
        <v>262</v>
      </c>
      <c r="AI1277" t="s">
        <v>261</v>
      </c>
      <c r="AJ1277" t="s">
        <v>261</v>
      </c>
      <c r="AK1277" t="s">
        <v>261</v>
      </c>
      <c r="AM1277" t="s">
        <v>262</v>
      </c>
      <c r="AN1277" t="s">
        <v>3745</v>
      </c>
    </row>
    <row r="1278" spans="1:40" x14ac:dyDescent="0.35">
      <c r="A1278">
        <v>6157381</v>
      </c>
      <c r="B1278" t="s">
        <v>3746</v>
      </c>
      <c r="C1278" t="str">
        <f>""</f>
        <v/>
      </c>
      <c r="D1278" t="str">
        <f>"9789179298913"</f>
        <v>9789179298913</v>
      </c>
      <c r="E1278" t="s">
        <v>3642</v>
      </c>
      <c r="F1278" t="s">
        <v>3642</v>
      </c>
      <c r="G1278" s="1">
        <v>43922</v>
      </c>
      <c r="H1278" s="1">
        <v>43927</v>
      </c>
      <c r="I1278" t="s">
        <v>189</v>
      </c>
      <c r="J1278">
        <v>1</v>
      </c>
      <c r="L1278" t="s">
        <v>3747</v>
      </c>
      <c r="Q1278" t="s">
        <v>260</v>
      </c>
      <c r="R1278" t="s">
        <v>261</v>
      </c>
      <c r="S1278" t="s">
        <v>261</v>
      </c>
      <c r="T1278" t="s">
        <v>261</v>
      </c>
      <c r="U1278" t="s">
        <v>261</v>
      </c>
      <c r="V1278" t="s">
        <v>262</v>
      </c>
      <c r="W1278" t="s">
        <v>261</v>
      </c>
      <c r="X1278" t="s">
        <v>261</v>
      </c>
      <c r="Y1278" t="s">
        <v>261</v>
      </c>
      <c r="AD1278" t="s">
        <v>261</v>
      </c>
      <c r="AH1278" t="s">
        <v>262</v>
      </c>
      <c r="AI1278" t="s">
        <v>261</v>
      </c>
      <c r="AJ1278" t="s">
        <v>261</v>
      </c>
      <c r="AK1278" t="s">
        <v>261</v>
      </c>
      <c r="AM1278" t="s">
        <v>262</v>
      </c>
      <c r="AN1278" t="s">
        <v>3748</v>
      </c>
    </row>
    <row r="1279" spans="1:40" x14ac:dyDescent="0.35">
      <c r="A1279">
        <v>6157382</v>
      </c>
      <c r="B1279" t="s">
        <v>3749</v>
      </c>
      <c r="C1279" t="str">
        <f>""</f>
        <v/>
      </c>
      <c r="D1279" t="str">
        <f>"9789179298692"</f>
        <v>9789179298692</v>
      </c>
      <c r="E1279" t="s">
        <v>3642</v>
      </c>
      <c r="F1279" t="s">
        <v>3642</v>
      </c>
      <c r="G1279" s="1">
        <v>43922</v>
      </c>
      <c r="H1279" s="1">
        <v>43927</v>
      </c>
      <c r="I1279" t="s">
        <v>189</v>
      </c>
      <c r="J1279">
        <v>1</v>
      </c>
      <c r="L1279" t="s">
        <v>3750</v>
      </c>
      <c r="Q1279" t="s">
        <v>260</v>
      </c>
      <c r="R1279" t="s">
        <v>261</v>
      </c>
      <c r="S1279" t="s">
        <v>261</v>
      </c>
      <c r="T1279" t="s">
        <v>261</v>
      </c>
      <c r="U1279" t="s">
        <v>261</v>
      </c>
      <c r="V1279" t="s">
        <v>262</v>
      </c>
      <c r="W1279" t="s">
        <v>261</v>
      </c>
      <c r="X1279" t="s">
        <v>261</v>
      </c>
      <c r="Y1279" t="s">
        <v>261</v>
      </c>
      <c r="AD1279" t="s">
        <v>261</v>
      </c>
      <c r="AH1279" t="s">
        <v>262</v>
      </c>
      <c r="AI1279" t="s">
        <v>261</v>
      </c>
      <c r="AJ1279" t="s">
        <v>261</v>
      </c>
      <c r="AK1279" t="s">
        <v>261</v>
      </c>
      <c r="AM1279" t="s">
        <v>262</v>
      </c>
      <c r="AN1279" t="s">
        <v>3751</v>
      </c>
    </row>
    <row r="1280" spans="1:40" x14ac:dyDescent="0.35">
      <c r="A1280">
        <v>6173782</v>
      </c>
      <c r="B1280" t="s">
        <v>3752</v>
      </c>
      <c r="C1280" t="str">
        <f>""</f>
        <v/>
      </c>
      <c r="D1280" t="str">
        <f>"9789179299033"</f>
        <v>9789179299033</v>
      </c>
      <c r="E1280" t="s">
        <v>3642</v>
      </c>
      <c r="F1280" t="s">
        <v>3642</v>
      </c>
      <c r="G1280" s="1">
        <v>43906</v>
      </c>
      <c r="H1280" s="1">
        <v>43934</v>
      </c>
      <c r="I1280" t="s">
        <v>189</v>
      </c>
      <c r="J1280">
        <v>1</v>
      </c>
      <c r="L1280" t="s">
        <v>3753</v>
      </c>
      <c r="Q1280" t="s">
        <v>260</v>
      </c>
      <c r="R1280" t="s">
        <v>261</v>
      </c>
      <c r="S1280" t="s">
        <v>261</v>
      </c>
      <c r="T1280" t="s">
        <v>261</v>
      </c>
      <c r="U1280" t="s">
        <v>261</v>
      </c>
      <c r="V1280" t="s">
        <v>262</v>
      </c>
      <c r="W1280" t="s">
        <v>261</v>
      </c>
      <c r="X1280" t="s">
        <v>261</v>
      </c>
      <c r="Y1280" t="s">
        <v>261</v>
      </c>
      <c r="AD1280" t="s">
        <v>261</v>
      </c>
      <c r="AH1280" t="s">
        <v>262</v>
      </c>
      <c r="AI1280" t="s">
        <v>261</v>
      </c>
      <c r="AJ1280" t="s">
        <v>261</v>
      </c>
      <c r="AK1280" t="s">
        <v>261</v>
      </c>
      <c r="AM1280" t="s">
        <v>262</v>
      </c>
      <c r="AN1280" t="s">
        <v>3754</v>
      </c>
    </row>
    <row r="1281" spans="1:40" x14ac:dyDescent="0.35">
      <c r="A1281">
        <v>6173783</v>
      </c>
      <c r="B1281" t="s">
        <v>3755</v>
      </c>
      <c r="C1281" t="str">
        <f>""</f>
        <v/>
      </c>
      <c r="D1281" t="str">
        <f>"9789179298906"</f>
        <v>9789179298906</v>
      </c>
      <c r="E1281" t="s">
        <v>3642</v>
      </c>
      <c r="F1281" t="s">
        <v>3642</v>
      </c>
      <c r="G1281" s="1">
        <v>43928</v>
      </c>
      <c r="H1281" s="1">
        <v>43934</v>
      </c>
      <c r="I1281" t="s">
        <v>189</v>
      </c>
      <c r="J1281">
        <v>1</v>
      </c>
      <c r="L1281" t="s">
        <v>3756</v>
      </c>
      <c r="Q1281" t="s">
        <v>260</v>
      </c>
      <c r="R1281" t="s">
        <v>261</v>
      </c>
      <c r="S1281" t="s">
        <v>261</v>
      </c>
      <c r="T1281" t="s">
        <v>261</v>
      </c>
      <c r="U1281" t="s">
        <v>261</v>
      </c>
      <c r="V1281" t="s">
        <v>262</v>
      </c>
      <c r="W1281" t="s">
        <v>261</v>
      </c>
      <c r="X1281" t="s">
        <v>261</v>
      </c>
      <c r="Y1281" t="s">
        <v>261</v>
      </c>
      <c r="AD1281" t="s">
        <v>261</v>
      </c>
      <c r="AH1281" t="s">
        <v>262</v>
      </c>
      <c r="AI1281" t="s">
        <v>261</v>
      </c>
      <c r="AJ1281" t="s">
        <v>261</v>
      </c>
      <c r="AK1281" t="s">
        <v>261</v>
      </c>
      <c r="AM1281" t="s">
        <v>262</v>
      </c>
      <c r="AN1281" t="s">
        <v>3757</v>
      </c>
    </row>
    <row r="1282" spans="1:40" x14ac:dyDescent="0.35">
      <c r="A1282">
        <v>6173784</v>
      </c>
      <c r="B1282" t="s">
        <v>3758</v>
      </c>
      <c r="C1282" t="str">
        <f>""</f>
        <v/>
      </c>
      <c r="D1282" t="str">
        <f>"9789179298890"</f>
        <v>9789179298890</v>
      </c>
      <c r="E1282" t="s">
        <v>3642</v>
      </c>
      <c r="F1282" t="s">
        <v>3642</v>
      </c>
      <c r="G1282" s="1">
        <v>43916</v>
      </c>
      <c r="H1282" s="1">
        <v>43934</v>
      </c>
      <c r="I1282" t="s">
        <v>189</v>
      </c>
      <c r="J1282">
        <v>1</v>
      </c>
      <c r="L1282" t="s">
        <v>3759</v>
      </c>
      <c r="Q1282" t="s">
        <v>260</v>
      </c>
      <c r="R1282" t="s">
        <v>261</v>
      </c>
      <c r="S1282" t="s">
        <v>261</v>
      </c>
      <c r="T1282" t="s">
        <v>261</v>
      </c>
      <c r="U1282" t="s">
        <v>261</v>
      </c>
      <c r="V1282" t="s">
        <v>262</v>
      </c>
      <c r="W1282" t="s">
        <v>261</v>
      </c>
      <c r="X1282" t="s">
        <v>261</v>
      </c>
      <c r="Y1282" t="s">
        <v>261</v>
      </c>
      <c r="AD1282" t="s">
        <v>261</v>
      </c>
      <c r="AH1282" t="s">
        <v>262</v>
      </c>
      <c r="AI1282" t="s">
        <v>261</v>
      </c>
      <c r="AJ1282" t="s">
        <v>261</v>
      </c>
      <c r="AK1282" t="s">
        <v>261</v>
      </c>
      <c r="AM1282" t="s">
        <v>262</v>
      </c>
      <c r="AN1282" t="s">
        <v>3760</v>
      </c>
    </row>
    <row r="1283" spans="1:40" x14ac:dyDescent="0.35">
      <c r="A1283">
        <v>6173785</v>
      </c>
      <c r="B1283" t="s">
        <v>3761</v>
      </c>
      <c r="C1283" t="str">
        <f>""</f>
        <v/>
      </c>
      <c r="D1283" t="str">
        <f>"9789179298951"</f>
        <v>9789179298951</v>
      </c>
      <c r="E1283" t="s">
        <v>3642</v>
      </c>
      <c r="F1283" t="s">
        <v>3642</v>
      </c>
      <c r="G1283" s="1">
        <v>43928</v>
      </c>
      <c r="H1283" s="1">
        <v>43934</v>
      </c>
      <c r="I1283" t="s">
        <v>189</v>
      </c>
      <c r="J1283">
        <v>1</v>
      </c>
      <c r="L1283" t="s">
        <v>3762</v>
      </c>
      <c r="Q1283" t="s">
        <v>260</v>
      </c>
      <c r="R1283" t="s">
        <v>261</v>
      </c>
      <c r="S1283" t="s">
        <v>261</v>
      </c>
      <c r="T1283" t="s">
        <v>261</v>
      </c>
      <c r="U1283" t="s">
        <v>261</v>
      </c>
      <c r="V1283" t="s">
        <v>262</v>
      </c>
      <c r="W1283" t="s">
        <v>261</v>
      </c>
      <c r="X1283" t="s">
        <v>261</v>
      </c>
      <c r="Y1283" t="s">
        <v>261</v>
      </c>
      <c r="AD1283" t="s">
        <v>261</v>
      </c>
      <c r="AH1283" t="s">
        <v>262</v>
      </c>
      <c r="AI1283" t="s">
        <v>261</v>
      </c>
      <c r="AJ1283" t="s">
        <v>261</v>
      </c>
      <c r="AK1283" t="s">
        <v>261</v>
      </c>
      <c r="AM1283" t="s">
        <v>262</v>
      </c>
      <c r="AN1283" t="s">
        <v>3763</v>
      </c>
    </row>
    <row r="1284" spans="1:40" x14ac:dyDescent="0.35">
      <c r="A1284">
        <v>6175848</v>
      </c>
      <c r="B1284" t="s">
        <v>3764</v>
      </c>
      <c r="C1284" t="str">
        <f>"9781783748709"</f>
        <v>9781783748709</v>
      </c>
      <c r="D1284" t="str">
        <f>"9781783748716"</f>
        <v>9781783748716</v>
      </c>
      <c r="E1284" t="s">
        <v>1807</v>
      </c>
      <c r="F1284" t="s">
        <v>1807</v>
      </c>
      <c r="G1284" s="1">
        <v>43923</v>
      </c>
      <c r="H1284" s="1">
        <v>43937</v>
      </c>
      <c r="I1284" t="s">
        <v>189</v>
      </c>
      <c r="J1284">
        <v>1</v>
      </c>
      <c r="L1284" t="s">
        <v>3392</v>
      </c>
      <c r="M1284" t="s">
        <v>219</v>
      </c>
    </row>
    <row r="1285" spans="1:40" x14ac:dyDescent="0.35">
      <c r="A1285">
        <v>6177564</v>
      </c>
      <c r="B1285" t="s">
        <v>3765</v>
      </c>
      <c r="C1285" t="str">
        <f>""</f>
        <v/>
      </c>
      <c r="D1285" t="str">
        <f>"9789179298760"</f>
        <v>9789179298760</v>
      </c>
      <c r="E1285" t="s">
        <v>3642</v>
      </c>
      <c r="F1285" t="s">
        <v>3642</v>
      </c>
      <c r="G1285" s="1">
        <v>43937</v>
      </c>
      <c r="H1285" s="1">
        <v>43948</v>
      </c>
      <c r="I1285" t="s">
        <v>189</v>
      </c>
      <c r="J1285">
        <v>1</v>
      </c>
      <c r="L1285" t="s">
        <v>3766</v>
      </c>
      <c r="Q1285" t="s">
        <v>260</v>
      </c>
      <c r="R1285" t="s">
        <v>261</v>
      </c>
      <c r="S1285" t="s">
        <v>261</v>
      </c>
      <c r="T1285" t="s">
        <v>261</v>
      </c>
      <c r="U1285" t="s">
        <v>261</v>
      </c>
      <c r="V1285" t="s">
        <v>262</v>
      </c>
      <c r="W1285" t="s">
        <v>261</v>
      </c>
      <c r="X1285" t="s">
        <v>261</v>
      </c>
      <c r="Y1285" t="s">
        <v>261</v>
      </c>
      <c r="AD1285" t="s">
        <v>261</v>
      </c>
      <c r="AH1285" t="s">
        <v>262</v>
      </c>
      <c r="AI1285" t="s">
        <v>261</v>
      </c>
      <c r="AJ1285" t="s">
        <v>261</v>
      </c>
      <c r="AK1285" t="s">
        <v>261</v>
      </c>
      <c r="AM1285" t="s">
        <v>262</v>
      </c>
      <c r="AN1285" t="s">
        <v>3767</v>
      </c>
    </row>
    <row r="1286" spans="1:40" x14ac:dyDescent="0.35">
      <c r="A1286">
        <v>6177565</v>
      </c>
      <c r="B1286" t="s">
        <v>3768</v>
      </c>
      <c r="C1286" t="str">
        <f>""</f>
        <v/>
      </c>
      <c r="D1286" t="str">
        <f>"9789179298814"</f>
        <v>9789179298814</v>
      </c>
      <c r="E1286" t="s">
        <v>3642</v>
      </c>
      <c r="F1286" t="s">
        <v>3642</v>
      </c>
      <c r="G1286" s="1">
        <v>43936</v>
      </c>
      <c r="H1286" s="1">
        <v>43941</v>
      </c>
      <c r="I1286" t="s">
        <v>189</v>
      </c>
      <c r="J1286">
        <v>1</v>
      </c>
      <c r="L1286" t="s">
        <v>3769</v>
      </c>
      <c r="Q1286" t="s">
        <v>260</v>
      </c>
      <c r="R1286" t="s">
        <v>261</v>
      </c>
      <c r="S1286" t="s">
        <v>261</v>
      </c>
      <c r="T1286" t="s">
        <v>261</v>
      </c>
      <c r="U1286" t="s">
        <v>261</v>
      </c>
      <c r="V1286" t="s">
        <v>262</v>
      </c>
      <c r="W1286" t="s">
        <v>261</v>
      </c>
      <c r="X1286" t="s">
        <v>261</v>
      </c>
      <c r="Y1286" t="s">
        <v>261</v>
      </c>
      <c r="AD1286" t="s">
        <v>261</v>
      </c>
      <c r="AH1286" t="s">
        <v>262</v>
      </c>
      <c r="AI1286" t="s">
        <v>261</v>
      </c>
      <c r="AJ1286" t="s">
        <v>261</v>
      </c>
      <c r="AK1286" t="s">
        <v>261</v>
      </c>
      <c r="AM1286" t="s">
        <v>262</v>
      </c>
      <c r="AN1286" t="s">
        <v>3770</v>
      </c>
    </row>
    <row r="1287" spans="1:40" x14ac:dyDescent="0.35">
      <c r="A1287">
        <v>6179391</v>
      </c>
      <c r="B1287" t="s">
        <v>3771</v>
      </c>
      <c r="C1287" t="str">
        <f>"9780813590745"</f>
        <v>9780813590745</v>
      </c>
      <c r="D1287" t="str">
        <f>"9780813590776"</f>
        <v>9780813590776</v>
      </c>
      <c r="E1287" t="s">
        <v>336</v>
      </c>
      <c r="F1287" t="s">
        <v>336</v>
      </c>
      <c r="G1287" s="1">
        <v>43994</v>
      </c>
      <c r="H1287" s="1">
        <v>43944</v>
      </c>
      <c r="I1287" t="s">
        <v>189</v>
      </c>
      <c r="J1287">
        <v>1</v>
      </c>
      <c r="L1287" t="s">
        <v>3772</v>
      </c>
      <c r="M1287" t="s">
        <v>3181</v>
      </c>
    </row>
    <row r="1288" spans="1:40" x14ac:dyDescent="0.35">
      <c r="A1288">
        <v>6183814</v>
      </c>
      <c r="B1288" t="s">
        <v>3773</v>
      </c>
      <c r="C1288" t="str">
        <f>""</f>
        <v/>
      </c>
      <c r="D1288" t="str">
        <f>"9789179298432"</f>
        <v>9789179298432</v>
      </c>
      <c r="E1288" t="s">
        <v>3642</v>
      </c>
      <c r="F1288" t="s">
        <v>3642</v>
      </c>
      <c r="G1288" s="1">
        <v>43944</v>
      </c>
      <c r="H1288" s="1">
        <v>43962</v>
      </c>
      <c r="I1288" t="s">
        <v>189</v>
      </c>
      <c r="J1288">
        <v>1</v>
      </c>
      <c r="L1288" t="s">
        <v>3774</v>
      </c>
      <c r="Q1288" t="s">
        <v>3775</v>
      </c>
      <c r="R1288" t="s">
        <v>261</v>
      </c>
      <c r="S1288" t="s">
        <v>261</v>
      </c>
      <c r="T1288" t="s">
        <v>261</v>
      </c>
      <c r="U1288" t="s">
        <v>261</v>
      </c>
      <c r="V1288" t="s">
        <v>262</v>
      </c>
      <c r="W1288" t="s">
        <v>261</v>
      </c>
      <c r="X1288" t="s">
        <v>261</v>
      </c>
      <c r="Y1288" t="s">
        <v>261</v>
      </c>
      <c r="AD1288" t="s">
        <v>261</v>
      </c>
      <c r="AH1288" t="s">
        <v>262</v>
      </c>
      <c r="AI1288" t="s">
        <v>261</v>
      </c>
      <c r="AJ1288" t="s">
        <v>261</v>
      </c>
      <c r="AK1288" t="s">
        <v>261</v>
      </c>
      <c r="AM1288" t="s">
        <v>262</v>
      </c>
      <c r="AN1288" t="s">
        <v>3776</v>
      </c>
    </row>
    <row r="1289" spans="1:40" x14ac:dyDescent="0.35">
      <c r="A1289">
        <v>6183815</v>
      </c>
      <c r="B1289" t="s">
        <v>3777</v>
      </c>
      <c r="C1289" t="str">
        <f>""</f>
        <v/>
      </c>
      <c r="D1289" t="str">
        <f>"9789179298586"</f>
        <v>9789179298586</v>
      </c>
      <c r="E1289" t="s">
        <v>3642</v>
      </c>
      <c r="F1289" t="s">
        <v>3642</v>
      </c>
      <c r="G1289" s="1">
        <v>43941</v>
      </c>
      <c r="H1289" s="1">
        <v>43955</v>
      </c>
      <c r="I1289" t="s">
        <v>189</v>
      </c>
      <c r="J1289">
        <v>1</v>
      </c>
      <c r="L1289" t="s">
        <v>3778</v>
      </c>
      <c r="Q1289" t="s">
        <v>260</v>
      </c>
      <c r="R1289" t="s">
        <v>261</v>
      </c>
      <c r="S1289" t="s">
        <v>261</v>
      </c>
      <c r="T1289" t="s">
        <v>261</v>
      </c>
      <c r="U1289" t="s">
        <v>261</v>
      </c>
      <c r="V1289" t="s">
        <v>262</v>
      </c>
      <c r="W1289" t="s">
        <v>261</v>
      </c>
      <c r="X1289" t="s">
        <v>261</v>
      </c>
      <c r="Y1289" t="s">
        <v>261</v>
      </c>
      <c r="AD1289" t="s">
        <v>261</v>
      </c>
      <c r="AH1289" t="s">
        <v>262</v>
      </c>
      <c r="AI1289" t="s">
        <v>261</v>
      </c>
      <c r="AJ1289" t="s">
        <v>261</v>
      </c>
      <c r="AK1289" t="s">
        <v>261</v>
      </c>
      <c r="AM1289" t="s">
        <v>262</v>
      </c>
      <c r="AN1289" t="s">
        <v>3779</v>
      </c>
    </row>
    <row r="1290" spans="1:40" x14ac:dyDescent="0.35">
      <c r="A1290">
        <v>6183817</v>
      </c>
      <c r="B1290" t="s">
        <v>3780</v>
      </c>
      <c r="C1290" t="str">
        <f>""</f>
        <v/>
      </c>
      <c r="D1290" t="str">
        <f>"9789179298487"</f>
        <v>9789179298487</v>
      </c>
      <c r="E1290" t="s">
        <v>3642</v>
      </c>
      <c r="F1290" t="s">
        <v>3642</v>
      </c>
      <c r="G1290" s="1">
        <v>43941</v>
      </c>
      <c r="H1290" s="1">
        <v>43948</v>
      </c>
      <c r="I1290" t="s">
        <v>189</v>
      </c>
      <c r="J1290">
        <v>1</v>
      </c>
      <c r="L1290" t="s">
        <v>3781</v>
      </c>
      <c r="Q1290" t="s">
        <v>260</v>
      </c>
      <c r="R1290" t="s">
        <v>261</v>
      </c>
      <c r="S1290" t="s">
        <v>261</v>
      </c>
      <c r="T1290" t="s">
        <v>261</v>
      </c>
      <c r="U1290" t="s">
        <v>261</v>
      </c>
      <c r="V1290" t="s">
        <v>262</v>
      </c>
      <c r="W1290" t="s">
        <v>261</v>
      </c>
      <c r="X1290" t="s">
        <v>261</v>
      </c>
      <c r="Y1290" t="s">
        <v>261</v>
      </c>
      <c r="AD1290" t="s">
        <v>261</v>
      </c>
      <c r="AH1290" t="s">
        <v>262</v>
      </c>
      <c r="AI1290" t="s">
        <v>261</v>
      </c>
      <c r="AJ1290" t="s">
        <v>261</v>
      </c>
      <c r="AK1290" t="s">
        <v>261</v>
      </c>
      <c r="AM1290" t="s">
        <v>262</v>
      </c>
      <c r="AN1290" t="s">
        <v>3782</v>
      </c>
    </row>
    <row r="1291" spans="1:40" x14ac:dyDescent="0.35">
      <c r="A1291">
        <v>6183818</v>
      </c>
      <c r="B1291" t="s">
        <v>3783</v>
      </c>
      <c r="C1291" t="str">
        <f>""</f>
        <v/>
      </c>
      <c r="D1291" t="str">
        <f>"9789179298456"</f>
        <v>9789179298456</v>
      </c>
      <c r="E1291" t="s">
        <v>3642</v>
      </c>
      <c r="F1291" t="s">
        <v>3642</v>
      </c>
      <c r="G1291" s="1">
        <v>43943</v>
      </c>
      <c r="H1291" s="1">
        <v>43990</v>
      </c>
      <c r="I1291" t="s">
        <v>189</v>
      </c>
      <c r="J1291">
        <v>1</v>
      </c>
      <c r="L1291" t="s">
        <v>3784</v>
      </c>
      <c r="Q1291" t="s">
        <v>3775</v>
      </c>
      <c r="R1291" t="s">
        <v>261</v>
      </c>
      <c r="S1291" t="s">
        <v>261</v>
      </c>
      <c r="T1291" t="s">
        <v>261</v>
      </c>
      <c r="U1291" t="s">
        <v>261</v>
      </c>
      <c r="V1291" t="s">
        <v>262</v>
      </c>
      <c r="W1291" t="s">
        <v>261</v>
      </c>
      <c r="X1291" t="s">
        <v>261</v>
      </c>
      <c r="Y1291" t="s">
        <v>261</v>
      </c>
      <c r="AD1291" t="s">
        <v>261</v>
      </c>
      <c r="AH1291" t="s">
        <v>262</v>
      </c>
      <c r="AI1291" t="s">
        <v>261</v>
      </c>
      <c r="AJ1291" t="s">
        <v>261</v>
      </c>
      <c r="AK1291" t="s">
        <v>261</v>
      </c>
      <c r="AM1291" t="s">
        <v>262</v>
      </c>
      <c r="AN1291" t="s">
        <v>3785</v>
      </c>
    </row>
    <row r="1292" spans="1:40" x14ac:dyDescent="0.35">
      <c r="A1292">
        <v>6183819</v>
      </c>
      <c r="B1292" t="s">
        <v>3786</v>
      </c>
      <c r="C1292" t="str">
        <f>""</f>
        <v/>
      </c>
      <c r="D1292" t="str">
        <f>"9789179298715"</f>
        <v>9789179298715</v>
      </c>
      <c r="E1292" t="s">
        <v>3642</v>
      </c>
      <c r="F1292" t="s">
        <v>3642</v>
      </c>
      <c r="G1292" s="1">
        <v>43942</v>
      </c>
      <c r="H1292" s="1">
        <v>43955</v>
      </c>
      <c r="I1292" t="s">
        <v>189</v>
      </c>
      <c r="J1292">
        <v>1</v>
      </c>
      <c r="L1292" t="s">
        <v>3787</v>
      </c>
      <c r="Q1292" t="s">
        <v>3775</v>
      </c>
      <c r="R1292" t="s">
        <v>261</v>
      </c>
      <c r="S1292" t="s">
        <v>261</v>
      </c>
      <c r="T1292" t="s">
        <v>261</v>
      </c>
      <c r="U1292" t="s">
        <v>261</v>
      </c>
      <c r="V1292" t="s">
        <v>262</v>
      </c>
      <c r="W1292" t="s">
        <v>261</v>
      </c>
      <c r="X1292" t="s">
        <v>261</v>
      </c>
      <c r="Y1292" t="s">
        <v>261</v>
      </c>
      <c r="AD1292" t="s">
        <v>261</v>
      </c>
      <c r="AH1292" t="s">
        <v>262</v>
      </c>
      <c r="AI1292" t="s">
        <v>261</v>
      </c>
      <c r="AJ1292" t="s">
        <v>261</v>
      </c>
      <c r="AK1292" t="s">
        <v>261</v>
      </c>
      <c r="AM1292" t="s">
        <v>262</v>
      </c>
      <c r="AN1292" t="s">
        <v>3788</v>
      </c>
    </row>
    <row r="1293" spans="1:40" x14ac:dyDescent="0.35">
      <c r="A1293">
        <v>6183820</v>
      </c>
      <c r="B1293" t="s">
        <v>3789</v>
      </c>
      <c r="C1293" t="str">
        <f>""</f>
        <v/>
      </c>
      <c r="D1293" t="str">
        <f>"9789179298739"</f>
        <v>9789179298739</v>
      </c>
      <c r="E1293" t="s">
        <v>3642</v>
      </c>
      <c r="F1293" t="s">
        <v>3642</v>
      </c>
      <c r="G1293" s="1">
        <v>43941</v>
      </c>
      <c r="H1293" s="1">
        <v>43948</v>
      </c>
      <c r="I1293" t="s">
        <v>189</v>
      </c>
      <c r="J1293">
        <v>1</v>
      </c>
      <c r="L1293" t="s">
        <v>3790</v>
      </c>
      <c r="Q1293" t="s">
        <v>260</v>
      </c>
      <c r="R1293" t="s">
        <v>261</v>
      </c>
      <c r="S1293" t="s">
        <v>261</v>
      </c>
      <c r="T1293" t="s">
        <v>261</v>
      </c>
      <c r="U1293" t="s">
        <v>261</v>
      </c>
      <c r="V1293" t="s">
        <v>262</v>
      </c>
      <c r="W1293" t="s">
        <v>261</v>
      </c>
      <c r="X1293" t="s">
        <v>261</v>
      </c>
      <c r="Y1293" t="s">
        <v>261</v>
      </c>
      <c r="AD1293" t="s">
        <v>261</v>
      </c>
      <c r="AH1293" t="s">
        <v>262</v>
      </c>
      <c r="AI1293" t="s">
        <v>261</v>
      </c>
      <c r="AJ1293" t="s">
        <v>261</v>
      </c>
      <c r="AK1293" t="s">
        <v>261</v>
      </c>
      <c r="AM1293" t="s">
        <v>262</v>
      </c>
      <c r="AN1293" t="s">
        <v>3791</v>
      </c>
    </row>
    <row r="1294" spans="1:40" x14ac:dyDescent="0.35">
      <c r="A1294">
        <v>6184690</v>
      </c>
      <c r="B1294" t="s">
        <v>3792</v>
      </c>
      <c r="C1294" t="str">
        <f>"9781783748464"</f>
        <v>9781783748464</v>
      </c>
      <c r="D1294" t="str">
        <f>"9781783748471"</f>
        <v>9781783748471</v>
      </c>
      <c r="E1294" t="s">
        <v>1807</v>
      </c>
      <c r="F1294" t="s">
        <v>1807</v>
      </c>
      <c r="G1294" s="1">
        <v>43943</v>
      </c>
      <c r="H1294" s="1">
        <v>43949</v>
      </c>
      <c r="I1294" t="s">
        <v>189</v>
      </c>
      <c r="J1294">
        <v>1</v>
      </c>
      <c r="L1294" t="s">
        <v>3793</v>
      </c>
      <c r="M1294" t="s">
        <v>964</v>
      </c>
      <c r="O1294" t="s">
        <v>966</v>
      </c>
      <c r="Q1294" t="s">
        <v>260</v>
      </c>
      <c r="R1294" t="s">
        <v>261</v>
      </c>
      <c r="S1294" t="s">
        <v>261</v>
      </c>
      <c r="T1294" t="s">
        <v>261</v>
      </c>
      <c r="U1294" t="s">
        <v>261</v>
      </c>
      <c r="V1294" t="s">
        <v>262</v>
      </c>
      <c r="W1294" t="s">
        <v>261</v>
      </c>
      <c r="X1294" t="s">
        <v>261</v>
      </c>
      <c r="Y1294" t="s">
        <v>261</v>
      </c>
      <c r="Z1294" t="s">
        <v>409</v>
      </c>
      <c r="AA1294" t="s">
        <v>409</v>
      </c>
      <c r="AB1294" t="s">
        <v>409</v>
      </c>
      <c r="AC1294" t="s">
        <v>409</v>
      </c>
      <c r="AD1294" t="s">
        <v>262</v>
      </c>
      <c r="AH1294" t="s">
        <v>262</v>
      </c>
      <c r="AI1294" t="s">
        <v>262</v>
      </c>
      <c r="AJ1294" t="s">
        <v>261</v>
      </c>
      <c r="AK1294" t="s">
        <v>261</v>
      </c>
      <c r="AM1294" t="s">
        <v>262</v>
      </c>
      <c r="AN1294" t="s">
        <v>3794</v>
      </c>
    </row>
    <row r="1295" spans="1:40" x14ac:dyDescent="0.35">
      <c r="A1295">
        <v>6184691</v>
      </c>
      <c r="B1295" t="s">
        <v>3795</v>
      </c>
      <c r="C1295" t="str">
        <f>"9781783748822"</f>
        <v>9781783748822</v>
      </c>
      <c r="D1295" t="str">
        <f>"9781783748839"</f>
        <v>9781783748839</v>
      </c>
      <c r="E1295" t="s">
        <v>1807</v>
      </c>
      <c r="F1295" t="s">
        <v>1807</v>
      </c>
      <c r="G1295" s="1">
        <v>43931</v>
      </c>
      <c r="H1295" s="1">
        <v>43949</v>
      </c>
      <c r="I1295" t="s">
        <v>189</v>
      </c>
      <c r="J1295">
        <v>1</v>
      </c>
      <c r="L1295" t="s">
        <v>3796</v>
      </c>
      <c r="M1295" t="s">
        <v>329</v>
      </c>
      <c r="O1295" s="2">
        <v>30542092</v>
      </c>
      <c r="Q1295" t="s">
        <v>260</v>
      </c>
      <c r="R1295" t="s">
        <v>261</v>
      </c>
      <c r="S1295" t="s">
        <v>261</v>
      </c>
      <c r="T1295" t="s">
        <v>261</v>
      </c>
      <c r="U1295" t="s">
        <v>261</v>
      </c>
      <c r="V1295" t="s">
        <v>262</v>
      </c>
      <c r="W1295" t="s">
        <v>261</v>
      </c>
      <c r="X1295" t="s">
        <v>261</v>
      </c>
      <c r="Y1295" t="s">
        <v>261</v>
      </c>
      <c r="Z1295" t="s">
        <v>409</v>
      </c>
      <c r="AA1295" t="s">
        <v>409</v>
      </c>
      <c r="AB1295" t="s">
        <v>409</v>
      </c>
      <c r="AC1295" t="s">
        <v>409</v>
      </c>
      <c r="AD1295" t="s">
        <v>262</v>
      </c>
      <c r="AH1295" t="s">
        <v>262</v>
      </c>
      <c r="AI1295" t="s">
        <v>262</v>
      </c>
      <c r="AJ1295" t="s">
        <v>261</v>
      </c>
      <c r="AK1295" t="s">
        <v>261</v>
      </c>
      <c r="AM1295" t="s">
        <v>262</v>
      </c>
      <c r="AN1295" t="s">
        <v>3797</v>
      </c>
    </row>
    <row r="1296" spans="1:40" x14ac:dyDescent="0.35">
      <c r="A1296">
        <v>6188803</v>
      </c>
      <c r="B1296" t="s">
        <v>3798</v>
      </c>
      <c r="C1296" t="str">
        <f>""</f>
        <v/>
      </c>
      <c r="D1296" t="str">
        <f>"9789179298326"</f>
        <v>9789179298326</v>
      </c>
      <c r="E1296" t="s">
        <v>3642</v>
      </c>
      <c r="F1296" t="s">
        <v>3642</v>
      </c>
      <c r="G1296" s="1">
        <v>43948</v>
      </c>
      <c r="H1296" s="1">
        <v>44002</v>
      </c>
      <c r="I1296" t="s">
        <v>189</v>
      </c>
      <c r="J1296">
        <v>1</v>
      </c>
      <c r="L1296" t="s">
        <v>3799</v>
      </c>
      <c r="Q1296" t="s">
        <v>260</v>
      </c>
      <c r="R1296" t="s">
        <v>261</v>
      </c>
      <c r="S1296" t="s">
        <v>261</v>
      </c>
      <c r="T1296" t="s">
        <v>261</v>
      </c>
      <c r="U1296" t="s">
        <v>261</v>
      </c>
      <c r="V1296" t="s">
        <v>262</v>
      </c>
      <c r="W1296" t="s">
        <v>261</v>
      </c>
      <c r="X1296" t="s">
        <v>261</v>
      </c>
      <c r="Y1296" t="s">
        <v>261</v>
      </c>
      <c r="AD1296" t="s">
        <v>261</v>
      </c>
      <c r="AH1296" t="s">
        <v>262</v>
      </c>
      <c r="AI1296" t="s">
        <v>261</v>
      </c>
      <c r="AJ1296" t="s">
        <v>261</v>
      </c>
      <c r="AK1296" t="s">
        <v>261</v>
      </c>
      <c r="AM1296" t="s">
        <v>262</v>
      </c>
      <c r="AN1296" t="s">
        <v>3800</v>
      </c>
    </row>
    <row r="1297" spans="1:40" x14ac:dyDescent="0.35">
      <c r="A1297">
        <v>6188804</v>
      </c>
      <c r="B1297" t="s">
        <v>3801</v>
      </c>
      <c r="C1297" t="str">
        <f>""</f>
        <v/>
      </c>
      <c r="D1297" t="str">
        <f>"9789179298470"</f>
        <v>9789179298470</v>
      </c>
      <c r="E1297" t="s">
        <v>3642</v>
      </c>
      <c r="F1297" t="s">
        <v>3642</v>
      </c>
      <c r="G1297" s="1">
        <v>43942</v>
      </c>
      <c r="H1297" s="1">
        <v>43955</v>
      </c>
      <c r="I1297" t="s">
        <v>189</v>
      </c>
      <c r="J1297">
        <v>1</v>
      </c>
      <c r="L1297" t="s">
        <v>3802</v>
      </c>
      <c r="Q1297" t="s">
        <v>260</v>
      </c>
      <c r="R1297" t="s">
        <v>261</v>
      </c>
      <c r="S1297" t="s">
        <v>261</v>
      </c>
      <c r="T1297" t="s">
        <v>261</v>
      </c>
      <c r="U1297" t="s">
        <v>261</v>
      </c>
      <c r="V1297" t="s">
        <v>262</v>
      </c>
      <c r="W1297" t="s">
        <v>261</v>
      </c>
      <c r="X1297" t="s">
        <v>261</v>
      </c>
      <c r="Y1297" t="s">
        <v>261</v>
      </c>
      <c r="AD1297" t="s">
        <v>261</v>
      </c>
      <c r="AH1297" t="s">
        <v>262</v>
      </c>
      <c r="AI1297" t="s">
        <v>261</v>
      </c>
      <c r="AJ1297" t="s">
        <v>261</v>
      </c>
      <c r="AK1297" t="s">
        <v>261</v>
      </c>
      <c r="AM1297" t="s">
        <v>262</v>
      </c>
      <c r="AN1297" t="s">
        <v>3803</v>
      </c>
    </row>
    <row r="1298" spans="1:40" x14ac:dyDescent="0.35">
      <c r="A1298">
        <v>6188805</v>
      </c>
      <c r="B1298" t="s">
        <v>3804</v>
      </c>
      <c r="C1298" t="str">
        <f>""</f>
        <v/>
      </c>
      <c r="D1298" t="str">
        <f>"9789179298685"</f>
        <v>9789179298685</v>
      </c>
      <c r="E1298" t="s">
        <v>3642</v>
      </c>
      <c r="F1298" t="s">
        <v>3642</v>
      </c>
      <c r="G1298" s="1">
        <v>43949</v>
      </c>
      <c r="H1298" s="1">
        <v>44004</v>
      </c>
      <c r="I1298" t="s">
        <v>189</v>
      </c>
      <c r="J1298">
        <v>1</v>
      </c>
      <c r="L1298" t="s">
        <v>3805</v>
      </c>
      <c r="Q1298" t="s">
        <v>260</v>
      </c>
      <c r="R1298" t="s">
        <v>261</v>
      </c>
      <c r="S1298" t="s">
        <v>261</v>
      </c>
      <c r="T1298" t="s">
        <v>261</v>
      </c>
      <c r="U1298" t="s">
        <v>261</v>
      </c>
      <c r="V1298" t="s">
        <v>262</v>
      </c>
      <c r="W1298" t="s">
        <v>261</v>
      </c>
      <c r="X1298" t="s">
        <v>261</v>
      </c>
      <c r="Y1298" t="s">
        <v>261</v>
      </c>
      <c r="AD1298" t="s">
        <v>261</v>
      </c>
      <c r="AH1298" t="s">
        <v>262</v>
      </c>
      <c r="AI1298" t="s">
        <v>261</v>
      </c>
      <c r="AJ1298" t="s">
        <v>261</v>
      </c>
      <c r="AK1298" t="s">
        <v>261</v>
      </c>
      <c r="AM1298" t="s">
        <v>262</v>
      </c>
      <c r="AN1298" t="s">
        <v>3806</v>
      </c>
    </row>
    <row r="1299" spans="1:40" x14ac:dyDescent="0.35">
      <c r="A1299">
        <v>6188806</v>
      </c>
      <c r="B1299" t="s">
        <v>3807</v>
      </c>
      <c r="C1299" t="str">
        <f>""</f>
        <v/>
      </c>
      <c r="D1299" t="str">
        <f>"9789179299071"</f>
        <v>9789179299071</v>
      </c>
      <c r="E1299" t="s">
        <v>3642</v>
      </c>
      <c r="F1299" t="s">
        <v>3642</v>
      </c>
      <c r="G1299" s="1">
        <v>43948</v>
      </c>
      <c r="H1299" s="1">
        <v>43955</v>
      </c>
      <c r="I1299" t="s">
        <v>189</v>
      </c>
      <c r="J1299">
        <v>1</v>
      </c>
      <c r="L1299" t="s">
        <v>3808</v>
      </c>
      <c r="Q1299" t="s">
        <v>3775</v>
      </c>
      <c r="R1299" t="s">
        <v>261</v>
      </c>
      <c r="S1299" t="s">
        <v>261</v>
      </c>
      <c r="T1299" t="s">
        <v>261</v>
      </c>
      <c r="U1299" t="s">
        <v>261</v>
      </c>
      <c r="V1299" t="s">
        <v>262</v>
      </c>
      <c r="W1299" t="s">
        <v>261</v>
      </c>
      <c r="X1299" t="s">
        <v>261</v>
      </c>
      <c r="Y1299" t="s">
        <v>261</v>
      </c>
      <c r="AD1299" t="s">
        <v>261</v>
      </c>
      <c r="AH1299" t="s">
        <v>262</v>
      </c>
      <c r="AI1299" t="s">
        <v>261</v>
      </c>
      <c r="AJ1299" t="s">
        <v>261</v>
      </c>
      <c r="AK1299" t="s">
        <v>261</v>
      </c>
      <c r="AM1299" t="s">
        <v>262</v>
      </c>
      <c r="AN1299" t="s">
        <v>3809</v>
      </c>
    </row>
    <row r="1300" spans="1:40" x14ac:dyDescent="0.35">
      <c r="A1300">
        <v>6188807</v>
      </c>
      <c r="B1300" t="s">
        <v>3810</v>
      </c>
      <c r="C1300" t="str">
        <f>""</f>
        <v/>
      </c>
      <c r="D1300" t="str">
        <f>"9789179298609"</f>
        <v>9789179298609</v>
      </c>
      <c r="E1300" t="s">
        <v>3642</v>
      </c>
      <c r="F1300" t="s">
        <v>3642</v>
      </c>
      <c r="G1300" s="1">
        <v>43949</v>
      </c>
      <c r="H1300" s="1">
        <v>43962</v>
      </c>
      <c r="I1300" t="s">
        <v>189</v>
      </c>
      <c r="J1300">
        <v>1</v>
      </c>
      <c r="L1300" t="s">
        <v>3811</v>
      </c>
      <c r="Q1300" t="s">
        <v>260</v>
      </c>
      <c r="R1300" t="s">
        <v>261</v>
      </c>
      <c r="S1300" t="s">
        <v>261</v>
      </c>
      <c r="T1300" t="s">
        <v>261</v>
      </c>
      <c r="U1300" t="s">
        <v>261</v>
      </c>
      <c r="V1300" t="s">
        <v>262</v>
      </c>
      <c r="W1300" t="s">
        <v>261</v>
      </c>
      <c r="X1300" t="s">
        <v>261</v>
      </c>
      <c r="Y1300" t="s">
        <v>261</v>
      </c>
      <c r="AD1300" t="s">
        <v>261</v>
      </c>
      <c r="AH1300" t="s">
        <v>262</v>
      </c>
      <c r="AI1300" t="s">
        <v>261</v>
      </c>
      <c r="AJ1300" t="s">
        <v>261</v>
      </c>
      <c r="AK1300" t="s">
        <v>261</v>
      </c>
      <c r="AM1300" t="s">
        <v>262</v>
      </c>
      <c r="AN1300" t="s">
        <v>3812</v>
      </c>
    </row>
    <row r="1301" spans="1:40" x14ac:dyDescent="0.35">
      <c r="A1301">
        <v>6192717</v>
      </c>
      <c r="B1301" t="s">
        <v>3813</v>
      </c>
      <c r="C1301" t="str">
        <f>""</f>
        <v/>
      </c>
      <c r="D1301" t="str">
        <f>"9789179298807"</f>
        <v>9789179298807</v>
      </c>
      <c r="E1301" t="s">
        <v>3642</v>
      </c>
      <c r="F1301" t="s">
        <v>3642</v>
      </c>
      <c r="G1301" s="1">
        <v>43957</v>
      </c>
      <c r="H1301" s="1">
        <v>43962</v>
      </c>
      <c r="I1301" t="s">
        <v>189</v>
      </c>
      <c r="J1301">
        <v>1</v>
      </c>
      <c r="L1301" t="s">
        <v>3814</v>
      </c>
      <c r="Q1301" t="s">
        <v>260</v>
      </c>
      <c r="R1301" t="s">
        <v>261</v>
      </c>
      <c r="S1301" t="s">
        <v>261</v>
      </c>
      <c r="T1301" t="s">
        <v>261</v>
      </c>
      <c r="U1301" t="s">
        <v>261</v>
      </c>
      <c r="V1301" t="s">
        <v>262</v>
      </c>
      <c r="W1301" t="s">
        <v>261</v>
      </c>
      <c r="X1301" t="s">
        <v>261</v>
      </c>
      <c r="Y1301" t="s">
        <v>261</v>
      </c>
      <c r="AD1301" t="s">
        <v>261</v>
      </c>
      <c r="AH1301" t="s">
        <v>262</v>
      </c>
      <c r="AI1301" t="s">
        <v>261</v>
      </c>
      <c r="AJ1301" t="s">
        <v>261</v>
      </c>
      <c r="AK1301" t="s">
        <v>261</v>
      </c>
      <c r="AM1301" t="s">
        <v>262</v>
      </c>
      <c r="AN1301" t="s">
        <v>3815</v>
      </c>
    </row>
    <row r="1302" spans="1:40" x14ac:dyDescent="0.35">
      <c r="A1302">
        <v>6192719</v>
      </c>
      <c r="B1302" t="s">
        <v>3816</v>
      </c>
      <c r="C1302" t="str">
        <f>""</f>
        <v/>
      </c>
      <c r="D1302" t="str">
        <f>"9789179298678"</f>
        <v>9789179298678</v>
      </c>
      <c r="E1302" t="s">
        <v>3642</v>
      </c>
      <c r="F1302" t="s">
        <v>3642</v>
      </c>
      <c r="G1302" s="1">
        <v>43956</v>
      </c>
      <c r="H1302" s="1">
        <v>43962</v>
      </c>
      <c r="I1302" t="s">
        <v>189</v>
      </c>
      <c r="J1302">
        <v>1</v>
      </c>
      <c r="L1302" t="s">
        <v>3817</v>
      </c>
      <c r="Q1302" t="s">
        <v>260</v>
      </c>
      <c r="R1302" t="s">
        <v>261</v>
      </c>
      <c r="S1302" t="s">
        <v>261</v>
      </c>
      <c r="T1302" t="s">
        <v>261</v>
      </c>
      <c r="U1302" t="s">
        <v>261</v>
      </c>
      <c r="V1302" t="s">
        <v>262</v>
      </c>
      <c r="W1302" t="s">
        <v>261</v>
      </c>
      <c r="X1302" t="s">
        <v>261</v>
      </c>
      <c r="Y1302" t="s">
        <v>261</v>
      </c>
      <c r="AD1302" t="s">
        <v>261</v>
      </c>
      <c r="AH1302" t="s">
        <v>262</v>
      </c>
      <c r="AI1302" t="s">
        <v>261</v>
      </c>
      <c r="AJ1302" t="s">
        <v>261</v>
      </c>
      <c r="AK1302" t="s">
        <v>261</v>
      </c>
      <c r="AM1302" t="s">
        <v>262</v>
      </c>
      <c r="AN1302" t="s">
        <v>3818</v>
      </c>
    </row>
    <row r="1303" spans="1:40" x14ac:dyDescent="0.35">
      <c r="A1303">
        <v>6192720</v>
      </c>
      <c r="B1303" t="s">
        <v>3819</v>
      </c>
      <c r="C1303" t="str">
        <f>""</f>
        <v/>
      </c>
      <c r="D1303" t="str">
        <f>"9789179298562"</f>
        <v>9789179298562</v>
      </c>
      <c r="E1303" t="s">
        <v>3642</v>
      </c>
      <c r="F1303" t="s">
        <v>3642</v>
      </c>
      <c r="G1303" s="1">
        <v>43957</v>
      </c>
      <c r="H1303" s="1">
        <v>43962</v>
      </c>
      <c r="I1303" t="s">
        <v>189</v>
      </c>
      <c r="J1303">
        <v>1</v>
      </c>
      <c r="L1303" t="s">
        <v>3820</v>
      </c>
      <c r="Q1303" t="s">
        <v>260</v>
      </c>
      <c r="R1303" t="s">
        <v>261</v>
      </c>
      <c r="S1303" t="s">
        <v>261</v>
      </c>
      <c r="T1303" t="s">
        <v>261</v>
      </c>
      <c r="U1303" t="s">
        <v>261</v>
      </c>
      <c r="V1303" t="s">
        <v>262</v>
      </c>
      <c r="W1303" t="s">
        <v>261</v>
      </c>
      <c r="X1303" t="s">
        <v>261</v>
      </c>
      <c r="Y1303" t="s">
        <v>261</v>
      </c>
      <c r="AD1303" t="s">
        <v>261</v>
      </c>
      <c r="AH1303" t="s">
        <v>262</v>
      </c>
      <c r="AI1303" t="s">
        <v>261</v>
      </c>
      <c r="AJ1303" t="s">
        <v>261</v>
      </c>
      <c r="AK1303" t="s">
        <v>261</v>
      </c>
      <c r="AM1303" t="s">
        <v>262</v>
      </c>
      <c r="AN1303" t="s">
        <v>3821</v>
      </c>
    </row>
    <row r="1304" spans="1:40" x14ac:dyDescent="0.35">
      <c r="A1304">
        <v>6192721</v>
      </c>
      <c r="B1304" t="s">
        <v>3822</v>
      </c>
      <c r="C1304" t="str">
        <f>""</f>
        <v/>
      </c>
      <c r="D1304" t="str">
        <f>"9789179298395"</f>
        <v>9789179298395</v>
      </c>
      <c r="E1304" t="s">
        <v>3642</v>
      </c>
      <c r="F1304" t="s">
        <v>3642</v>
      </c>
      <c r="G1304" s="1">
        <v>43955</v>
      </c>
      <c r="H1304" s="1">
        <v>43962</v>
      </c>
      <c r="I1304" t="s">
        <v>189</v>
      </c>
      <c r="J1304">
        <v>1</v>
      </c>
      <c r="L1304" t="s">
        <v>3823</v>
      </c>
      <c r="Q1304" t="s">
        <v>260</v>
      </c>
      <c r="R1304" t="s">
        <v>261</v>
      </c>
      <c r="S1304" t="s">
        <v>261</v>
      </c>
      <c r="T1304" t="s">
        <v>261</v>
      </c>
      <c r="U1304" t="s">
        <v>261</v>
      </c>
      <c r="V1304" t="s">
        <v>262</v>
      </c>
      <c r="W1304" t="s">
        <v>261</v>
      </c>
      <c r="X1304" t="s">
        <v>261</v>
      </c>
      <c r="Y1304" t="s">
        <v>261</v>
      </c>
      <c r="AD1304" t="s">
        <v>261</v>
      </c>
      <c r="AH1304" t="s">
        <v>262</v>
      </c>
      <c r="AI1304" t="s">
        <v>261</v>
      </c>
      <c r="AJ1304" t="s">
        <v>261</v>
      </c>
      <c r="AK1304" t="s">
        <v>261</v>
      </c>
      <c r="AM1304" t="s">
        <v>262</v>
      </c>
      <c r="AN1304" t="s">
        <v>3824</v>
      </c>
    </row>
    <row r="1305" spans="1:40" x14ac:dyDescent="0.35">
      <c r="A1305">
        <v>6192722</v>
      </c>
      <c r="B1305" t="s">
        <v>3825</v>
      </c>
      <c r="C1305" t="str">
        <f>""</f>
        <v/>
      </c>
      <c r="D1305" t="str">
        <f>"9789179298555"</f>
        <v>9789179298555</v>
      </c>
      <c r="E1305" t="s">
        <v>3642</v>
      </c>
      <c r="F1305" t="s">
        <v>3642</v>
      </c>
      <c r="G1305" s="1">
        <v>43957</v>
      </c>
      <c r="H1305" s="1">
        <v>43962</v>
      </c>
      <c r="I1305" t="s">
        <v>189</v>
      </c>
      <c r="J1305">
        <v>1</v>
      </c>
      <c r="L1305" t="s">
        <v>3826</v>
      </c>
      <c r="Q1305" t="s">
        <v>260</v>
      </c>
      <c r="R1305" t="s">
        <v>261</v>
      </c>
      <c r="S1305" t="s">
        <v>261</v>
      </c>
      <c r="T1305" t="s">
        <v>261</v>
      </c>
      <c r="U1305" t="s">
        <v>261</v>
      </c>
      <c r="V1305" t="s">
        <v>262</v>
      </c>
      <c r="W1305" t="s">
        <v>261</v>
      </c>
      <c r="X1305" t="s">
        <v>261</v>
      </c>
      <c r="Y1305" t="s">
        <v>261</v>
      </c>
      <c r="AD1305" t="s">
        <v>261</v>
      </c>
      <c r="AH1305" t="s">
        <v>262</v>
      </c>
      <c r="AI1305" t="s">
        <v>261</v>
      </c>
      <c r="AJ1305" t="s">
        <v>261</v>
      </c>
      <c r="AK1305" t="s">
        <v>261</v>
      </c>
      <c r="AM1305" t="s">
        <v>262</v>
      </c>
      <c r="AN1305" t="s">
        <v>3827</v>
      </c>
    </row>
    <row r="1306" spans="1:40" x14ac:dyDescent="0.35">
      <c r="A1306">
        <v>6192723</v>
      </c>
      <c r="B1306" t="s">
        <v>3828</v>
      </c>
      <c r="C1306" t="str">
        <f>""</f>
        <v/>
      </c>
      <c r="D1306" t="str">
        <f>"9789179298647"</f>
        <v>9789179298647</v>
      </c>
      <c r="E1306" t="s">
        <v>3642</v>
      </c>
      <c r="F1306" t="s">
        <v>3642</v>
      </c>
      <c r="G1306" s="1">
        <v>43956</v>
      </c>
      <c r="H1306" s="1">
        <v>43962</v>
      </c>
      <c r="I1306" t="s">
        <v>189</v>
      </c>
      <c r="J1306">
        <v>1</v>
      </c>
      <c r="L1306" t="s">
        <v>3829</v>
      </c>
      <c r="Q1306" t="s">
        <v>260</v>
      </c>
      <c r="R1306" t="s">
        <v>261</v>
      </c>
      <c r="S1306" t="s">
        <v>261</v>
      </c>
      <c r="T1306" t="s">
        <v>261</v>
      </c>
      <c r="U1306" t="s">
        <v>261</v>
      </c>
      <c r="V1306" t="s">
        <v>262</v>
      </c>
      <c r="W1306" t="s">
        <v>261</v>
      </c>
      <c r="X1306" t="s">
        <v>261</v>
      </c>
      <c r="Y1306" t="s">
        <v>261</v>
      </c>
      <c r="AD1306" t="s">
        <v>261</v>
      </c>
      <c r="AH1306" t="s">
        <v>262</v>
      </c>
      <c r="AI1306" t="s">
        <v>261</v>
      </c>
      <c r="AJ1306" t="s">
        <v>261</v>
      </c>
      <c r="AK1306" t="s">
        <v>261</v>
      </c>
      <c r="AM1306" t="s">
        <v>262</v>
      </c>
      <c r="AN1306" t="s">
        <v>3830</v>
      </c>
    </row>
    <row r="1307" spans="1:40" x14ac:dyDescent="0.35">
      <c r="A1307">
        <v>6192724</v>
      </c>
      <c r="B1307" t="s">
        <v>3831</v>
      </c>
      <c r="C1307" t="str">
        <f>""</f>
        <v/>
      </c>
      <c r="D1307" t="str">
        <f>"9789179298593"</f>
        <v>9789179298593</v>
      </c>
      <c r="E1307" t="s">
        <v>3642</v>
      </c>
      <c r="F1307" t="s">
        <v>3642</v>
      </c>
      <c r="G1307" s="1">
        <v>43957</v>
      </c>
      <c r="H1307" s="1">
        <v>43962</v>
      </c>
      <c r="I1307" t="s">
        <v>189</v>
      </c>
      <c r="J1307">
        <v>1</v>
      </c>
      <c r="L1307" t="s">
        <v>3832</v>
      </c>
      <c r="Q1307" t="s">
        <v>260</v>
      </c>
      <c r="R1307" t="s">
        <v>261</v>
      </c>
      <c r="S1307" t="s">
        <v>261</v>
      </c>
      <c r="T1307" t="s">
        <v>261</v>
      </c>
      <c r="U1307" t="s">
        <v>261</v>
      </c>
      <c r="V1307" t="s">
        <v>262</v>
      </c>
      <c r="W1307" t="s">
        <v>261</v>
      </c>
      <c r="X1307" t="s">
        <v>261</v>
      </c>
      <c r="Y1307" t="s">
        <v>261</v>
      </c>
      <c r="AD1307" t="s">
        <v>261</v>
      </c>
      <c r="AH1307" t="s">
        <v>262</v>
      </c>
      <c r="AI1307" t="s">
        <v>261</v>
      </c>
      <c r="AJ1307" t="s">
        <v>261</v>
      </c>
      <c r="AK1307" t="s">
        <v>261</v>
      </c>
      <c r="AM1307" t="s">
        <v>262</v>
      </c>
      <c r="AN1307" t="s">
        <v>3833</v>
      </c>
    </row>
    <row r="1308" spans="1:40" x14ac:dyDescent="0.35">
      <c r="A1308">
        <v>6192725</v>
      </c>
      <c r="B1308" t="s">
        <v>3834</v>
      </c>
      <c r="C1308" t="str">
        <f>""</f>
        <v/>
      </c>
      <c r="D1308" t="str">
        <f>"9789179298579"</f>
        <v>9789179298579</v>
      </c>
      <c r="E1308" t="s">
        <v>3642</v>
      </c>
      <c r="F1308" t="s">
        <v>3642</v>
      </c>
      <c r="G1308" s="1">
        <v>43956</v>
      </c>
      <c r="H1308" s="1">
        <v>43969</v>
      </c>
      <c r="I1308" t="s">
        <v>189</v>
      </c>
      <c r="J1308">
        <v>1</v>
      </c>
      <c r="L1308" t="s">
        <v>3835</v>
      </c>
      <c r="Q1308" t="s">
        <v>260</v>
      </c>
      <c r="R1308" t="s">
        <v>261</v>
      </c>
      <c r="S1308" t="s">
        <v>261</v>
      </c>
      <c r="T1308" t="s">
        <v>261</v>
      </c>
      <c r="U1308" t="s">
        <v>261</v>
      </c>
      <c r="V1308" t="s">
        <v>262</v>
      </c>
      <c r="W1308" t="s">
        <v>261</v>
      </c>
      <c r="X1308" t="s">
        <v>261</v>
      </c>
      <c r="Y1308" t="s">
        <v>261</v>
      </c>
      <c r="AD1308" t="s">
        <v>261</v>
      </c>
      <c r="AH1308" t="s">
        <v>262</v>
      </c>
      <c r="AI1308" t="s">
        <v>261</v>
      </c>
      <c r="AJ1308" t="s">
        <v>261</v>
      </c>
      <c r="AK1308" t="s">
        <v>261</v>
      </c>
      <c r="AM1308" t="s">
        <v>262</v>
      </c>
      <c r="AN1308" t="s">
        <v>3836</v>
      </c>
    </row>
    <row r="1309" spans="1:40" x14ac:dyDescent="0.35">
      <c r="A1309">
        <v>6192727</v>
      </c>
      <c r="B1309" t="s">
        <v>3837</v>
      </c>
      <c r="C1309" t="str">
        <f>""</f>
        <v/>
      </c>
      <c r="D1309" t="str">
        <f>"9789179298876"</f>
        <v>9789179298876</v>
      </c>
      <c r="E1309" t="s">
        <v>3642</v>
      </c>
      <c r="F1309" t="s">
        <v>3642</v>
      </c>
      <c r="G1309" s="1">
        <v>43935</v>
      </c>
      <c r="H1309" s="1">
        <v>43962</v>
      </c>
      <c r="I1309" t="s">
        <v>189</v>
      </c>
      <c r="J1309">
        <v>1</v>
      </c>
      <c r="L1309" t="s">
        <v>3838</v>
      </c>
      <c r="Q1309" t="s">
        <v>260</v>
      </c>
      <c r="R1309" t="s">
        <v>261</v>
      </c>
      <c r="S1309" t="s">
        <v>261</v>
      </c>
      <c r="T1309" t="s">
        <v>261</v>
      </c>
      <c r="U1309" t="s">
        <v>261</v>
      </c>
      <c r="V1309" t="s">
        <v>262</v>
      </c>
      <c r="W1309" t="s">
        <v>261</v>
      </c>
      <c r="X1309" t="s">
        <v>261</v>
      </c>
      <c r="Y1309" t="s">
        <v>261</v>
      </c>
      <c r="AD1309" t="s">
        <v>261</v>
      </c>
      <c r="AH1309" t="s">
        <v>262</v>
      </c>
      <c r="AI1309" t="s">
        <v>261</v>
      </c>
      <c r="AJ1309" t="s">
        <v>261</v>
      </c>
      <c r="AK1309" t="s">
        <v>261</v>
      </c>
      <c r="AM1309" t="s">
        <v>262</v>
      </c>
      <c r="AN1309" t="s">
        <v>3839</v>
      </c>
    </row>
    <row r="1310" spans="1:40" x14ac:dyDescent="0.35">
      <c r="A1310">
        <v>6192800</v>
      </c>
      <c r="B1310" t="s">
        <v>3840</v>
      </c>
      <c r="C1310" t="str">
        <f>"9781478007920"</f>
        <v>9781478007920</v>
      </c>
      <c r="D1310" t="str">
        <f>"9781478012085"</f>
        <v>9781478012085</v>
      </c>
      <c r="E1310" t="s">
        <v>687</v>
      </c>
      <c r="F1310" t="s">
        <v>687</v>
      </c>
      <c r="G1310" s="1">
        <v>43994</v>
      </c>
      <c r="H1310" s="1">
        <v>43962</v>
      </c>
      <c r="I1310" t="s">
        <v>189</v>
      </c>
      <c r="J1310">
        <v>1</v>
      </c>
      <c r="K1310" t="s">
        <v>3841</v>
      </c>
      <c r="L1310" t="s">
        <v>3842</v>
      </c>
      <c r="M1310" t="s">
        <v>578</v>
      </c>
      <c r="N1310" t="s">
        <v>1085</v>
      </c>
      <c r="O1310" s="2">
        <v>70905015</v>
      </c>
      <c r="Q1310" t="s">
        <v>260</v>
      </c>
      <c r="R1310" t="s">
        <v>262</v>
      </c>
      <c r="S1310" t="s">
        <v>261</v>
      </c>
      <c r="T1310" t="s">
        <v>261</v>
      </c>
      <c r="U1310" t="s">
        <v>262</v>
      </c>
      <c r="V1310" t="s">
        <v>262</v>
      </c>
      <c r="W1310" t="s">
        <v>261</v>
      </c>
      <c r="X1310" t="s">
        <v>262</v>
      </c>
      <c r="Y1310" t="s">
        <v>262</v>
      </c>
      <c r="Z1310" t="s">
        <v>703</v>
      </c>
      <c r="AB1310" t="s">
        <v>704</v>
      </c>
      <c r="AC1310" t="s">
        <v>703</v>
      </c>
      <c r="AD1310" t="s">
        <v>262</v>
      </c>
      <c r="AH1310" t="s">
        <v>262</v>
      </c>
      <c r="AI1310" t="s">
        <v>261</v>
      </c>
      <c r="AJ1310" t="s">
        <v>261</v>
      </c>
      <c r="AK1310" t="s">
        <v>261</v>
      </c>
      <c r="AM1310" t="s">
        <v>262</v>
      </c>
      <c r="AN1310" t="s">
        <v>3843</v>
      </c>
    </row>
    <row r="1311" spans="1:40" x14ac:dyDescent="0.35">
      <c r="A1311">
        <v>6199845</v>
      </c>
      <c r="B1311" t="s">
        <v>3844</v>
      </c>
      <c r="C1311" t="str">
        <f>""</f>
        <v/>
      </c>
      <c r="D1311" t="str">
        <f>"9789179298357"</f>
        <v>9789179298357</v>
      </c>
      <c r="E1311" t="s">
        <v>3642</v>
      </c>
      <c r="F1311" t="s">
        <v>3642</v>
      </c>
      <c r="G1311" s="1">
        <v>43961</v>
      </c>
      <c r="H1311" s="1">
        <v>43976</v>
      </c>
      <c r="I1311" t="s">
        <v>189</v>
      </c>
      <c r="J1311">
        <v>1</v>
      </c>
      <c r="L1311" t="s">
        <v>3845</v>
      </c>
      <c r="Q1311" t="s">
        <v>260</v>
      </c>
      <c r="R1311" t="s">
        <v>261</v>
      </c>
      <c r="S1311" t="s">
        <v>261</v>
      </c>
      <c r="T1311" t="s">
        <v>261</v>
      </c>
      <c r="U1311" t="s">
        <v>261</v>
      </c>
      <c r="V1311" t="s">
        <v>262</v>
      </c>
      <c r="W1311" t="s">
        <v>261</v>
      </c>
      <c r="X1311" t="s">
        <v>261</v>
      </c>
      <c r="Y1311" t="s">
        <v>261</v>
      </c>
      <c r="AD1311" t="s">
        <v>261</v>
      </c>
      <c r="AH1311" t="s">
        <v>262</v>
      </c>
      <c r="AI1311" t="s">
        <v>261</v>
      </c>
      <c r="AJ1311" t="s">
        <v>261</v>
      </c>
      <c r="AK1311" t="s">
        <v>261</v>
      </c>
      <c r="AM1311" t="s">
        <v>262</v>
      </c>
      <c r="AN1311" t="s">
        <v>3846</v>
      </c>
    </row>
    <row r="1312" spans="1:40" x14ac:dyDescent="0.35">
      <c r="A1312">
        <v>6199846</v>
      </c>
      <c r="B1312" t="s">
        <v>3847</v>
      </c>
      <c r="C1312" t="str">
        <f>""</f>
        <v/>
      </c>
      <c r="D1312" t="str">
        <f>"9789179298661"</f>
        <v>9789179298661</v>
      </c>
      <c r="E1312" t="s">
        <v>3642</v>
      </c>
      <c r="F1312" t="s">
        <v>3642</v>
      </c>
      <c r="G1312" s="1">
        <v>43965</v>
      </c>
      <c r="H1312" s="1">
        <v>43976</v>
      </c>
      <c r="I1312" t="s">
        <v>189</v>
      </c>
      <c r="J1312">
        <v>1</v>
      </c>
      <c r="L1312" t="s">
        <v>3848</v>
      </c>
      <c r="Q1312" t="s">
        <v>260</v>
      </c>
      <c r="R1312" t="s">
        <v>261</v>
      </c>
      <c r="S1312" t="s">
        <v>261</v>
      </c>
      <c r="T1312" t="s">
        <v>261</v>
      </c>
      <c r="U1312" t="s">
        <v>261</v>
      </c>
      <c r="V1312" t="s">
        <v>262</v>
      </c>
      <c r="W1312" t="s">
        <v>261</v>
      </c>
      <c r="X1312" t="s">
        <v>261</v>
      </c>
      <c r="Y1312" t="s">
        <v>261</v>
      </c>
      <c r="AD1312" t="s">
        <v>261</v>
      </c>
      <c r="AH1312" t="s">
        <v>262</v>
      </c>
      <c r="AI1312" t="s">
        <v>261</v>
      </c>
      <c r="AJ1312" t="s">
        <v>261</v>
      </c>
      <c r="AK1312" t="s">
        <v>261</v>
      </c>
      <c r="AM1312" t="s">
        <v>262</v>
      </c>
      <c r="AN1312" t="s">
        <v>3849</v>
      </c>
    </row>
    <row r="1313" spans="1:40" x14ac:dyDescent="0.35">
      <c r="A1313">
        <v>6199847</v>
      </c>
      <c r="B1313" t="s">
        <v>3850</v>
      </c>
      <c r="C1313" t="str">
        <f>""</f>
        <v/>
      </c>
      <c r="D1313" t="str">
        <f>"9789179298463"</f>
        <v>9789179298463</v>
      </c>
      <c r="E1313" t="s">
        <v>3642</v>
      </c>
      <c r="F1313" t="s">
        <v>3642</v>
      </c>
      <c r="G1313" s="1">
        <v>43963</v>
      </c>
      <c r="H1313" s="1">
        <v>43969</v>
      </c>
      <c r="I1313" t="s">
        <v>189</v>
      </c>
      <c r="J1313">
        <v>1</v>
      </c>
      <c r="L1313" t="s">
        <v>3851</v>
      </c>
      <c r="Q1313" t="s">
        <v>260</v>
      </c>
      <c r="R1313" t="s">
        <v>261</v>
      </c>
      <c r="S1313" t="s">
        <v>261</v>
      </c>
      <c r="T1313" t="s">
        <v>261</v>
      </c>
      <c r="U1313" t="s">
        <v>261</v>
      </c>
      <c r="V1313" t="s">
        <v>262</v>
      </c>
      <c r="W1313" t="s">
        <v>261</v>
      </c>
      <c r="X1313" t="s">
        <v>261</v>
      </c>
      <c r="Y1313" t="s">
        <v>261</v>
      </c>
      <c r="AD1313" t="s">
        <v>261</v>
      </c>
      <c r="AH1313" t="s">
        <v>262</v>
      </c>
      <c r="AI1313" t="s">
        <v>261</v>
      </c>
      <c r="AJ1313" t="s">
        <v>261</v>
      </c>
      <c r="AK1313" t="s">
        <v>261</v>
      </c>
      <c r="AM1313" t="s">
        <v>262</v>
      </c>
      <c r="AN1313" t="s">
        <v>3852</v>
      </c>
    </row>
    <row r="1314" spans="1:40" x14ac:dyDescent="0.35">
      <c r="A1314">
        <v>6207711</v>
      </c>
      <c r="B1314" t="s">
        <v>3853</v>
      </c>
      <c r="C1314" t="str">
        <f>"9781783749300"</f>
        <v>9781783749300</v>
      </c>
      <c r="D1314" t="str">
        <f>"9781783749317"</f>
        <v>9781783749317</v>
      </c>
      <c r="E1314" t="s">
        <v>1807</v>
      </c>
      <c r="F1314" t="s">
        <v>1807</v>
      </c>
      <c r="G1314" s="1">
        <v>43956</v>
      </c>
      <c r="H1314" s="1">
        <v>43974</v>
      </c>
      <c r="I1314" t="s">
        <v>189</v>
      </c>
      <c r="J1314">
        <v>1</v>
      </c>
      <c r="L1314" t="s">
        <v>3854</v>
      </c>
    </row>
    <row r="1315" spans="1:40" x14ac:dyDescent="0.35">
      <c r="A1315">
        <v>6207712</v>
      </c>
      <c r="B1315" t="s">
        <v>3855</v>
      </c>
      <c r="C1315" t="str">
        <f>"9781783748044"</f>
        <v>9781783748044</v>
      </c>
      <c r="D1315" t="str">
        <f>"9781783748051"</f>
        <v>9781783748051</v>
      </c>
      <c r="E1315" t="s">
        <v>1807</v>
      </c>
      <c r="F1315" t="s">
        <v>1807</v>
      </c>
      <c r="G1315" s="1">
        <v>43943</v>
      </c>
      <c r="H1315" s="1">
        <v>43974</v>
      </c>
      <c r="I1315" t="s">
        <v>189</v>
      </c>
      <c r="J1315">
        <v>1</v>
      </c>
      <c r="L1315" t="s">
        <v>3856</v>
      </c>
    </row>
    <row r="1316" spans="1:40" x14ac:dyDescent="0.35">
      <c r="A1316">
        <v>6207713</v>
      </c>
      <c r="B1316" t="s">
        <v>3857</v>
      </c>
      <c r="C1316" t="str">
        <f>"9781783746811"</f>
        <v>9781783746811</v>
      </c>
      <c r="D1316" t="str">
        <f>"9781783746828"</f>
        <v>9781783746828</v>
      </c>
      <c r="E1316" t="s">
        <v>1807</v>
      </c>
      <c r="F1316" t="s">
        <v>1807</v>
      </c>
      <c r="G1316" s="1">
        <v>43916</v>
      </c>
      <c r="H1316" s="1">
        <v>43974</v>
      </c>
      <c r="I1316" t="s">
        <v>189</v>
      </c>
      <c r="J1316">
        <v>1</v>
      </c>
      <c r="K1316" t="s">
        <v>3667</v>
      </c>
      <c r="L1316" t="s">
        <v>3858</v>
      </c>
    </row>
    <row r="1317" spans="1:40" x14ac:dyDescent="0.35">
      <c r="A1317">
        <v>6209771</v>
      </c>
      <c r="B1317" t="s">
        <v>3859</v>
      </c>
      <c r="C1317" t="str">
        <f>""</f>
        <v/>
      </c>
      <c r="D1317" t="str">
        <f>"9783110634822"</f>
        <v>9783110634822</v>
      </c>
      <c r="E1317" t="s">
        <v>415</v>
      </c>
      <c r="F1317" t="s">
        <v>415</v>
      </c>
      <c r="G1317" s="1">
        <v>43801</v>
      </c>
      <c r="H1317" s="1">
        <v>44039</v>
      </c>
      <c r="I1317" t="s">
        <v>189</v>
      </c>
      <c r="J1317">
        <v>1</v>
      </c>
      <c r="K1317" t="s">
        <v>3860</v>
      </c>
      <c r="L1317" t="s">
        <v>11</v>
      </c>
    </row>
    <row r="1318" spans="1:40" x14ac:dyDescent="0.35">
      <c r="A1318">
        <v>6209779</v>
      </c>
      <c r="B1318" t="s">
        <v>3861</v>
      </c>
      <c r="C1318" t="str">
        <f>"9783110477740"</f>
        <v>9783110477740</v>
      </c>
      <c r="D1318" t="str">
        <f>"9783110479133"</f>
        <v>9783110479133</v>
      </c>
      <c r="E1318" t="s">
        <v>415</v>
      </c>
      <c r="F1318" t="s">
        <v>415</v>
      </c>
      <c r="G1318" s="1">
        <v>43941</v>
      </c>
      <c r="H1318" s="1">
        <v>44037</v>
      </c>
      <c r="I1318" t="s">
        <v>189</v>
      </c>
      <c r="J1318">
        <v>1</v>
      </c>
      <c r="L1318" t="s">
        <v>3862</v>
      </c>
    </row>
    <row r="1319" spans="1:40" x14ac:dyDescent="0.35">
      <c r="A1319">
        <v>6209780</v>
      </c>
      <c r="B1319" t="s">
        <v>3863</v>
      </c>
      <c r="C1319" t="str">
        <f>""</f>
        <v/>
      </c>
      <c r="D1319" t="str">
        <f>"9783110673678"</f>
        <v>9783110673678</v>
      </c>
      <c r="E1319" t="s">
        <v>415</v>
      </c>
      <c r="F1319" t="s">
        <v>415</v>
      </c>
      <c r="G1319" s="1">
        <v>43850</v>
      </c>
      <c r="H1319" s="1">
        <v>44037</v>
      </c>
      <c r="I1319" t="s">
        <v>189</v>
      </c>
      <c r="J1319">
        <v>1</v>
      </c>
      <c r="K1319" t="s">
        <v>3327</v>
      </c>
      <c r="L1319" t="s">
        <v>3864</v>
      </c>
    </row>
    <row r="1320" spans="1:40" x14ac:dyDescent="0.35">
      <c r="A1320">
        <v>6209790</v>
      </c>
      <c r="B1320" t="s">
        <v>3865</v>
      </c>
      <c r="C1320" t="str">
        <f>"9783110618013"</f>
        <v>9783110618013</v>
      </c>
      <c r="D1320" t="str">
        <f>"9783110619744"</f>
        <v>9783110619744</v>
      </c>
      <c r="E1320" t="s">
        <v>415</v>
      </c>
      <c r="F1320" t="s">
        <v>415</v>
      </c>
      <c r="G1320" s="1">
        <v>43815</v>
      </c>
      <c r="H1320" s="1">
        <v>44039</v>
      </c>
      <c r="I1320" t="s">
        <v>189</v>
      </c>
      <c r="J1320">
        <v>1</v>
      </c>
      <c r="K1320" t="s">
        <v>3866</v>
      </c>
      <c r="L1320" t="s">
        <v>3867</v>
      </c>
      <c r="M1320" t="s">
        <v>219</v>
      </c>
      <c r="Q1320" t="s">
        <v>408</v>
      </c>
      <c r="R1320" t="s">
        <v>261</v>
      </c>
      <c r="S1320" t="s">
        <v>261</v>
      </c>
      <c r="T1320" t="s">
        <v>261</v>
      </c>
      <c r="U1320" t="s">
        <v>261</v>
      </c>
      <c r="V1320" t="s">
        <v>262</v>
      </c>
      <c r="W1320" t="s">
        <v>261</v>
      </c>
      <c r="X1320" t="s">
        <v>261</v>
      </c>
      <c r="Y1320" t="s">
        <v>261</v>
      </c>
      <c r="Z1320" t="s">
        <v>409</v>
      </c>
      <c r="AA1320" t="s">
        <v>409</v>
      </c>
      <c r="AB1320" t="s">
        <v>409</v>
      </c>
      <c r="AC1320" t="s">
        <v>409</v>
      </c>
      <c r="AD1320" t="s">
        <v>261</v>
      </c>
      <c r="AH1320" t="s">
        <v>262</v>
      </c>
      <c r="AI1320" t="s">
        <v>262</v>
      </c>
      <c r="AJ1320" t="s">
        <v>261</v>
      </c>
      <c r="AK1320" t="s">
        <v>261</v>
      </c>
      <c r="AM1320" t="s">
        <v>262</v>
      </c>
      <c r="AN1320" t="s">
        <v>3868</v>
      </c>
    </row>
    <row r="1321" spans="1:40" x14ac:dyDescent="0.35">
      <c r="A1321">
        <v>6209791</v>
      </c>
      <c r="B1321" t="s">
        <v>3869</v>
      </c>
      <c r="C1321" t="str">
        <f>"9783110589962"</f>
        <v>9783110589962</v>
      </c>
      <c r="D1321" t="str">
        <f>"9783110591330"</f>
        <v>9783110591330</v>
      </c>
      <c r="E1321" t="s">
        <v>415</v>
      </c>
      <c r="F1321" t="s">
        <v>415</v>
      </c>
      <c r="G1321" s="1">
        <v>43774</v>
      </c>
      <c r="H1321" s="1">
        <v>44039</v>
      </c>
      <c r="I1321" t="s">
        <v>189</v>
      </c>
      <c r="J1321">
        <v>1</v>
      </c>
      <c r="L1321" t="s">
        <v>3870</v>
      </c>
      <c r="M1321" t="s">
        <v>3871</v>
      </c>
    </row>
    <row r="1322" spans="1:40" x14ac:dyDescent="0.35">
      <c r="A1322">
        <v>6209792</v>
      </c>
      <c r="B1322" t="s">
        <v>3872</v>
      </c>
      <c r="C1322" t="str">
        <f>""</f>
        <v/>
      </c>
      <c r="D1322" t="str">
        <f>"9783110650686"</f>
        <v>9783110650686</v>
      </c>
      <c r="E1322" t="s">
        <v>415</v>
      </c>
      <c r="F1322" t="s">
        <v>415</v>
      </c>
      <c r="G1322" s="1">
        <v>43774</v>
      </c>
      <c r="H1322" s="1">
        <v>44039</v>
      </c>
      <c r="I1322" t="s">
        <v>189</v>
      </c>
      <c r="J1322">
        <v>1</v>
      </c>
      <c r="L1322" t="s">
        <v>3873</v>
      </c>
      <c r="M1322" t="s">
        <v>219</v>
      </c>
      <c r="Q1322" t="s">
        <v>408</v>
      </c>
      <c r="R1322" t="s">
        <v>261</v>
      </c>
      <c r="S1322" t="s">
        <v>261</v>
      </c>
      <c r="T1322" t="s">
        <v>261</v>
      </c>
      <c r="U1322" t="s">
        <v>261</v>
      </c>
      <c r="V1322" t="s">
        <v>262</v>
      </c>
      <c r="W1322" t="s">
        <v>261</v>
      </c>
      <c r="X1322" t="s">
        <v>261</v>
      </c>
      <c r="Y1322" t="s">
        <v>261</v>
      </c>
      <c r="Z1322" t="s">
        <v>409</v>
      </c>
      <c r="AA1322" t="s">
        <v>409</v>
      </c>
      <c r="AB1322" t="s">
        <v>409</v>
      </c>
      <c r="AC1322" t="s">
        <v>409</v>
      </c>
      <c r="AD1322" t="s">
        <v>261</v>
      </c>
      <c r="AH1322" t="s">
        <v>262</v>
      </c>
      <c r="AI1322" t="s">
        <v>262</v>
      </c>
      <c r="AJ1322" t="s">
        <v>261</v>
      </c>
      <c r="AK1322" t="s">
        <v>261</v>
      </c>
      <c r="AM1322" t="s">
        <v>262</v>
      </c>
      <c r="AN1322" t="s">
        <v>3874</v>
      </c>
    </row>
    <row r="1323" spans="1:40" x14ac:dyDescent="0.35">
      <c r="A1323">
        <v>6209801</v>
      </c>
      <c r="B1323" t="s">
        <v>3875</v>
      </c>
      <c r="C1323" t="str">
        <f>""</f>
        <v/>
      </c>
      <c r="D1323" t="str">
        <f>"9783110642698"</f>
        <v>9783110642698</v>
      </c>
      <c r="E1323" t="s">
        <v>415</v>
      </c>
      <c r="F1323" t="s">
        <v>415</v>
      </c>
      <c r="G1323" s="1">
        <v>43774</v>
      </c>
      <c r="H1323" s="1">
        <v>44039</v>
      </c>
      <c r="I1323" t="s">
        <v>189</v>
      </c>
      <c r="J1323">
        <v>1</v>
      </c>
      <c r="K1323" t="s">
        <v>3876</v>
      </c>
      <c r="L1323" t="s">
        <v>3877</v>
      </c>
    </row>
    <row r="1324" spans="1:40" x14ac:dyDescent="0.35">
      <c r="A1324">
        <v>6209815</v>
      </c>
      <c r="B1324" t="s">
        <v>3878</v>
      </c>
      <c r="C1324" t="str">
        <f>""</f>
        <v/>
      </c>
      <c r="D1324" t="str">
        <f>"9783110580853"</f>
        <v>9783110580853</v>
      </c>
      <c r="E1324" t="s">
        <v>415</v>
      </c>
      <c r="F1324" t="s">
        <v>415</v>
      </c>
      <c r="G1324" s="1">
        <v>43815</v>
      </c>
      <c r="H1324" s="1">
        <v>44039</v>
      </c>
      <c r="I1324" t="s">
        <v>189</v>
      </c>
      <c r="J1324">
        <v>1</v>
      </c>
      <c r="L1324" t="s">
        <v>3879</v>
      </c>
    </row>
    <row r="1325" spans="1:40" x14ac:dyDescent="0.35">
      <c r="A1325">
        <v>6209817</v>
      </c>
      <c r="B1325" t="s">
        <v>3880</v>
      </c>
      <c r="C1325" t="str">
        <f>""</f>
        <v/>
      </c>
      <c r="D1325" t="str">
        <f>"9783110637489"</f>
        <v>9783110637489</v>
      </c>
      <c r="E1325" t="s">
        <v>415</v>
      </c>
      <c r="F1325" t="s">
        <v>415</v>
      </c>
      <c r="G1325" s="1">
        <v>43899</v>
      </c>
      <c r="H1325" s="1">
        <v>44037</v>
      </c>
      <c r="I1325" t="s">
        <v>189</v>
      </c>
      <c r="J1325">
        <v>1</v>
      </c>
      <c r="K1325" t="s">
        <v>1272</v>
      </c>
      <c r="L1325" t="s">
        <v>90</v>
      </c>
    </row>
    <row r="1326" spans="1:40" x14ac:dyDescent="0.35">
      <c r="A1326">
        <v>6209824</v>
      </c>
      <c r="B1326" t="s">
        <v>3881</v>
      </c>
      <c r="C1326" t="str">
        <f>""</f>
        <v/>
      </c>
      <c r="D1326" t="str">
        <f>"9783110618594"</f>
        <v>9783110618594</v>
      </c>
      <c r="E1326" t="s">
        <v>415</v>
      </c>
      <c r="F1326" t="s">
        <v>415</v>
      </c>
      <c r="G1326" s="1">
        <v>43774</v>
      </c>
      <c r="H1326" s="1">
        <v>44039</v>
      </c>
      <c r="I1326" t="s">
        <v>189</v>
      </c>
      <c r="J1326">
        <v>1</v>
      </c>
      <c r="L1326" t="s">
        <v>3882</v>
      </c>
    </row>
    <row r="1327" spans="1:40" x14ac:dyDescent="0.35">
      <c r="A1327">
        <v>6209832</v>
      </c>
      <c r="B1327" t="s">
        <v>3883</v>
      </c>
      <c r="C1327" t="str">
        <f>""</f>
        <v/>
      </c>
      <c r="D1327" t="str">
        <f>"9783110614909"</f>
        <v>9783110614909</v>
      </c>
      <c r="E1327" t="s">
        <v>415</v>
      </c>
      <c r="F1327" t="s">
        <v>415</v>
      </c>
      <c r="G1327" s="1">
        <v>43787</v>
      </c>
      <c r="H1327" s="1">
        <v>44037</v>
      </c>
      <c r="I1327" t="s">
        <v>189</v>
      </c>
      <c r="J1327">
        <v>1</v>
      </c>
      <c r="K1327" t="s">
        <v>2214</v>
      </c>
      <c r="L1327" t="s">
        <v>3884</v>
      </c>
      <c r="M1327" t="s">
        <v>239</v>
      </c>
    </row>
    <row r="1328" spans="1:40" x14ac:dyDescent="0.35">
      <c r="A1328">
        <v>6209838</v>
      </c>
      <c r="B1328" t="s">
        <v>3885</v>
      </c>
      <c r="C1328" t="str">
        <f>""</f>
        <v/>
      </c>
      <c r="D1328" t="str">
        <f>"9783110668476"</f>
        <v>9783110668476</v>
      </c>
      <c r="E1328" t="s">
        <v>415</v>
      </c>
      <c r="F1328" t="s">
        <v>415</v>
      </c>
      <c r="G1328" s="1">
        <v>43899</v>
      </c>
      <c r="H1328" s="1">
        <v>44037</v>
      </c>
      <c r="I1328" t="s">
        <v>189</v>
      </c>
      <c r="J1328">
        <v>1</v>
      </c>
      <c r="K1328" t="s">
        <v>2489</v>
      </c>
      <c r="L1328" t="s">
        <v>3886</v>
      </c>
    </row>
    <row r="1329" spans="1:40" x14ac:dyDescent="0.35">
      <c r="A1329">
        <v>6209841</v>
      </c>
      <c r="B1329" t="s">
        <v>3887</v>
      </c>
      <c r="C1329" t="str">
        <f>""</f>
        <v/>
      </c>
      <c r="D1329" t="str">
        <f>"9783110563016"</f>
        <v>9783110563016</v>
      </c>
      <c r="E1329" t="s">
        <v>415</v>
      </c>
      <c r="F1329" t="s">
        <v>415</v>
      </c>
      <c r="G1329" s="1">
        <v>43774</v>
      </c>
      <c r="H1329" s="1">
        <v>44039</v>
      </c>
      <c r="I1329" t="s">
        <v>189</v>
      </c>
      <c r="J1329">
        <v>1</v>
      </c>
      <c r="L1329" t="s">
        <v>3888</v>
      </c>
    </row>
    <row r="1330" spans="1:40" x14ac:dyDescent="0.35">
      <c r="A1330">
        <v>6209844</v>
      </c>
      <c r="B1330" t="s">
        <v>3889</v>
      </c>
      <c r="C1330" t="str">
        <f>""</f>
        <v/>
      </c>
      <c r="D1330" t="str">
        <f>"9783110664416"</f>
        <v>9783110664416</v>
      </c>
      <c r="E1330" t="s">
        <v>415</v>
      </c>
      <c r="F1330" t="s">
        <v>415</v>
      </c>
      <c r="G1330" s="1">
        <v>43885</v>
      </c>
      <c r="H1330" s="1">
        <v>44037</v>
      </c>
      <c r="I1330" t="s">
        <v>189</v>
      </c>
      <c r="J1330">
        <v>1</v>
      </c>
      <c r="K1330" t="s">
        <v>3890</v>
      </c>
      <c r="L1330" t="s">
        <v>3891</v>
      </c>
      <c r="M1330" t="s">
        <v>239</v>
      </c>
      <c r="O1330" s="2">
        <v>94053075</v>
      </c>
      <c r="Q1330" t="s">
        <v>260</v>
      </c>
      <c r="R1330" t="s">
        <v>261</v>
      </c>
      <c r="S1330" t="s">
        <v>261</v>
      </c>
      <c r="T1330" t="s">
        <v>261</v>
      </c>
      <c r="U1330" t="s">
        <v>261</v>
      </c>
      <c r="V1330" t="s">
        <v>262</v>
      </c>
      <c r="W1330" t="s">
        <v>261</v>
      </c>
      <c r="X1330" t="s">
        <v>261</v>
      </c>
      <c r="Y1330" t="s">
        <v>261</v>
      </c>
      <c r="Z1330" t="s">
        <v>409</v>
      </c>
      <c r="AA1330" t="s">
        <v>409</v>
      </c>
      <c r="AB1330" t="s">
        <v>409</v>
      </c>
      <c r="AC1330" t="s">
        <v>409</v>
      </c>
      <c r="AD1330" t="s">
        <v>261</v>
      </c>
      <c r="AH1330" t="s">
        <v>262</v>
      </c>
      <c r="AI1330" t="s">
        <v>262</v>
      </c>
      <c r="AJ1330" t="s">
        <v>261</v>
      </c>
      <c r="AK1330" t="s">
        <v>261</v>
      </c>
      <c r="AM1330" t="s">
        <v>262</v>
      </c>
      <c r="AN1330" t="s">
        <v>3892</v>
      </c>
    </row>
    <row r="1331" spans="1:40" x14ac:dyDescent="0.35">
      <c r="A1331">
        <v>6209849</v>
      </c>
      <c r="B1331" t="s">
        <v>3893</v>
      </c>
      <c r="C1331" t="str">
        <f>""</f>
        <v/>
      </c>
      <c r="D1331" t="str">
        <f>"9783110677485"</f>
        <v>9783110677485</v>
      </c>
      <c r="E1331" t="s">
        <v>415</v>
      </c>
      <c r="F1331" t="s">
        <v>415</v>
      </c>
      <c r="G1331" s="1">
        <v>43927</v>
      </c>
      <c r="H1331" s="1">
        <v>44037</v>
      </c>
      <c r="I1331" t="s">
        <v>189</v>
      </c>
      <c r="J1331">
        <v>1</v>
      </c>
      <c r="L1331" t="s">
        <v>3894</v>
      </c>
    </row>
    <row r="1332" spans="1:40" x14ac:dyDescent="0.35">
      <c r="A1332">
        <v>6209856</v>
      </c>
      <c r="B1332" t="s">
        <v>3895</v>
      </c>
      <c r="C1332" t="str">
        <f>""</f>
        <v/>
      </c>
      <c r="D1332" t="str">
        <f>"9783110666373"</f>
        <v>9783110666373</v>
      </c>
      <c r="E1332" t="s">
        <v>415</v>
      </c>
      <c r="F1332" t="s">
        <v>415</v>
      </c>
      <c r="G1332" s="1">
        <v>43815</v>
      </c>
      <c r="H1332" s="1">
        <v>44037</v>
      </c>
      <c r="I1332" t="s">
        <v>189</v>
      </c>
      <c r="J1332">
        <v>1</v>
      </c>
      <c r="L1332" t="s">
        <v>3896</v>
      </c>
      <c r="M1332" t="s">
        <v>199</v>
      </c>
      <c r="Q1332" t="s">
        <v>408</v>
      </c>
      <c r="R1332" t="s">
        <v>261</v>
      </c>
      <c r="S1332" t="s">
        <v>261</v>
      </c>
      <c r="T1332" t="s">
        <v>261</v>
      </c>
      <c r="U1332" t="s">
        <v>261</v>
      </c>
      <c r="V1332" t="s">
        <v>262</v>
      </c>
      <c r="W1332" t="s">
        <v>261</v>
      </c>
      <c r="X1332" t="s">
        <v>261</v>
      </c>
      <c r="Y1332" t="s">
        <v>261</v>
      </c>
      <c r="Z1332" t="s">
        <v>409</v>
      </c>
      <c r="AA1332" t="s">
        <v>409</v>
      </c>
      <c r="AB1332" t="s">
        <v>409</v>
      </c>
      <c r="AC1332" t="s">
        <v>409</v>
      </c>
      <c r="AD1332" t="s">
        <v>261</v>
      </c>
      <c r="AH1332" t="s">
        <v>262</v>
      </c>
      <c r="AI1332" t="s">
        <v>262</v>
      </c>
      <c r="AJ1332" t="s">
        <v>261</v>
      </c>
      <c r="AK1332" t="s">
        <v>261</v>
      </c>
      <c r="AM1332" t="s">
        <v>262</v>
      </c>
      <c r="AN1332" t="s">
        <v>3897</v>
      </c>
    </row>
    <row r="1333" spans="1:40" x14ac:dyDescent="0.35">
      <c r="A1333">
        <v>6209857</v>
      </c>
      <c r="B1333" t="s">
        <v>3898</v>
      </c>
      <c r="C1333" t="str">
        <f>""</f>
        <v/>
      </c>
      <c r="D1333" t="str">
        <f>"9783110645422"</f>
        <v>9783110645422</v>
      </c>
      <c r="E1333" t="s">
        <v>415</v>
      </c>
      <c r="F1333" t="s">
        <v>415</v>
      </c>
      <c r="G1333" s="1">
        <v>43956</v>
      </c>
      <c r="H1333" s="1">
        <v>44037</v>
      </c>
      <c r="I1333" t="s">
        <v>189</v>
      </c>
      <c r="J1333">
        <v>1</v>
      </c>
      <c r="K1333" t="s">
        <v>1159</v>
      </c>
      <c r="L1333" t="s">
        <v>3899</v>
      </c>
    </row>
    <row r="1334" spans="1:40" x14ac:dyDescent="0.35">
      <c r="A1334">
        <v>6209862</v>
      </c>
      <c r="B1334" t="s">
        <v>3900</v>
      </c>
      <c r="C1334" t="str">
        <f>""</f>
        <v/>
      </c>
      <c r="D1334" t="str">
        <f>"9783110668780"</f>
        <v>9783110668780</v>
      </c>
      <c r="E1334" t="s">
        <v>415</v>
      </c>
      <c r="F1334" t="s">
        <v>415</v>
      </c>
      <c r="G1334" s="1">
        <v>43871</v>
      </c>
      <c r="H1334" s="1">
        <v>44037</v>
      </c>
      <c r="I1334" t="s">
        <v>189</v>
      </c>
      <c r="J1334">
        <v>1</v>
      </c>
      <c r="L1334" t="s">
        <v>3901</v>
      </c>
    </row>
    <row r="1335" spans="1:40" x14ac:dyDescent="0.35">
      <c r="A1335">
        <v>6209863</v>
      </c>
      <c r="B1335" t="s">
        <v>3902</v>
      </c>
      <c r="C1335" t="str">
        <f>"9783110600780"</f>
        <v>9783110600780</v>
      </c>
      <c r="D1335" t="str">
        <f>"9783110612271"</f>
        <v>9783110612271</v>
      </c>
      <c r="E1335" t="s">
        <v>415</v>
      </c>
      <c r="F1335" t="s">
        <v>415</v>
      </c>
      <c r="G1335" s="1">
        <v>43787</v>
      </c>
      <c r="H1335" s="1">
        <v>44039</v>
      </c>
      <c r="I1335" t="s">
        <v>189</v>
      </c>
      <c r="J1335">
        <v>1</v>
      </c>
      <c r="L1335" t="s">
        <v>3903</v>
      </c>
      <c r="M1335" t="s">
        <v>199</v>
      </c>
      <c r="O1335">
        <v>170</v>
      </c>
      <c r="Q1335" t="s">
        <v>260</v>
      </c>
      <c r="R1335" t="s">
        <v>261</v>
      </c>
      <c r="S1335" t="s">
        <v>261</v>
      </c>
      <c r="T1335" t="s">
        <v>261</v>
      </c>
      <c r="U1335" t="s">
        <v>261</v>
      </c>
      <c r="V1335" t="s">
        <v>262</v>
      </c>
      <c r="W1335" t="s">
        <v>261</v>
      </c>
      <c r="X1335" t="s">
        <v>261</v>
      </c>
      <c r="Y1335" t="s">
        <v>261</v>
      </c>
      <c r="Z1335" t="s">
        <v>409</v>
      </c>
      <c r="AA1335" t="s">
        <v>409</v>
      </c>
      <c r="AB1335" t="s">
        <v>409</v>
      </c>
      <c r="AC1335" t="s">
        <v>409</v>
      </c>
      <c r="AD1335" t="s">
        <v>261</v>
      </c>
      <c r="AH1335" t="s">
        <v>262</v>
      </c>
      <c r="AI1335" t="s">
        <v>262</v>
      </c>
      <c r="AJ1335" t="s">
        <v>261</v>
      </c>
      <c r="AK1335" t="s">
        <v>261</v>
      </c>
      <c r="AM1335" t="s">
        <v>262</v>
      </c>
      <c r="AN1335" t="s">
        <v>3904</v>
      </c>
    </row>
    <row r="1336" spans="1:40" x14ac:dyDescent="0.35">
      <c r="A1336">
        <v>6209868</v>
      </c>
      <c r="B1336" t="s">
        <v>3905</v>
      </c>
      <c r="C1336" t="str">
        <f>""</f>
        <v/>
      </c>
      <c r="D1336" t="str">
        <f>"9783110660234"</f>
        <v>9783110660234</v>
      </c>
      <c r="E1336" t="s">
        <v>415</v>
      </c>
      <c r="F1336" t="s">
        <v>415</v>
      </c>
      <c r="G1336" s="1">
        <v>43787</v>
      </c>
      <c r="H1336" s="1">
        <v>44039</v>
      </c>
      <c r="I1336" t="s">
        <v>189</v>
      </c>
      <c r="J1336">
        <v>1</v>
      </c>
      <c r="K1336" t="s">
        <v>3906</v>
      </c>
      <c r="L1336" t="s">
        <v>3907</v>
      </c>
      <c r="M1336" t="s">
        <v>676</v>
      </c>
      <c r="Q1336" t="s">
        <v>408</v>
      </c>
      <c r="R1336" t="s">
        <v>261</v>
      </c>
      <c r="S1336" t="s">
        <v>261</v>
      </c>
      <c r="T1336" t="s">
        <v>261</v>
      </c>
      <c r="U1336" t="s">
        <v>261</v>
      </c>
      <c r="V1336" t="s">
        <v>262</v>
      </c>
      <c r="W1336" t="s">
        <v>261</v>
      </c>
      <c r="X1336" t="s">
        <v>261</v>
      </c>
      <c r="Y1336" t="s">
        <v>261</v>
      </c>
      <c r="Z1336" t="s">
        <v>409</v>
      </c>
      <c r="AA1336" t="s">
        <v>409</v>
      </c>
      <c r="AB1336" t="s">
        <v>409</v>
      </c>
      <c r="AC1336" t="s">
        <v>409</v>
      </c>
      <c r="AD1336" t="s">
        <v>261</v>
      </c>
      <c r="AH1336" t="s">
        <v>262</v>
      </c>
      <c r="AI1336" t="s">
        <v>262</v>
      </c>
      <c r="AJ1336" t="s">
        <v>261</v>
      </c>
      <c r="AK1336" t="s">
        <v>261</v>
      </c>
      <c r="AM1336" t="s">
        <v>262</v>
      </c>
      <c r="AN1336" t="s">
        <v>3908</v>
      </c>
    </row>
    <row r="1337" spans="1:40" x14ac:dyDescent="0.35">
      <c r="A1337">
        <v>6209869</v>
      </c>
      <c r="B1337" t="s">
        <v>3909</v>
      </c>
      <c r="C1337" t="str">
        <f>""</f>
        <v/>
      </c>
      <c r="D1337" t="str">
        <f>"9783110656220"</f>
        <v>9783110656220</v>
      </c>
      <c r="E1337" t="s">
        <v>415</v>
      </c>
      <c r="F1337" t="s">
        <v>415</v>
      </c>
      <c r="G1337" s="1">
        <v>43850</v>
      </c>
      <c r="H1337" s="1">
        <v>44037</v>
      </c>
      <c r="I1337" t="s">
        <v>189</v>
      </c>
      <c r="J1337">
        <v>1</v>
      </c>
      <c r="K1337" t="s">
        <v>3910</v>
      </c>
      <c r="L1337" t="s">
        <v>3911</v>
      </c>
      <c r="M1337" t="s">
        <v>316</v>
      </c>
      <c r="Q1337" t="s">
        <v>408</v>
      </c>
      <c r="R1337" t="s">
        <v>261</v>
      </c>
      <c r="S1337" t="s">
        <v>261</v>
      </c>
      <c r="T1337" t="s">
        <v>261</v>
      </c>
      <c r="U1337" t="s">
        <v>261</v>
      </c>
      <c r="V1337" t="s">
        <v>262</v>
      </c>
      <c r="W1337" t="s">
        <v>261</v>
      </c>
      <c r="X1337" t="s">
        <v>261</v>
      </c>
      <c r="Y1337" t="s">
        <v>261</v>
      </c>
      <c r="Z1337" t="s">
        <v>409</v>
      </c>
      <c r="AA1337" t="s">
        <v>409</v>
      </c>
      <c r="AB1337" t="s">
        <v>409</v>
      </c>
      <c r="AC1337" t="s">
        <v>409</v>
      </c>
      <c r="AD1337" t="s">
        <v>261</v>
      </c>
      <c r="AH1337" t="s">
        <v>262</v>
      </c>
      <c r="AI1337" t="s">
        <v>262</v>
      </c>
      <c r="AJ1337" t="s">
        <v>261</v>
      </c>
      <c r="AK1337" t="s">
        <v>261</v>
      </c>
      <c r="AM1337" t="s">
        <v>262</v>
      </c>
      <c r="AN1337" t="s">
        <v>3912</v>
      </c>
    </row>
    <row r="1338" spans="1:40" x14ac:dyDescent="0.35">
      <c r="A1338">
        <v>6209876</v>
      </c>
      <c r="B1338" t="s">
        <v>3913</v>
      </c>
      <c r="C1338" t="str">
        <f>"9783110616606"</f>
        <v>9783110616606</v>
      </c>
      <c r="D1338" t="str">
        <f>"9783110616804"</f>
        <v>9783110616804</v>
      </c>
      <c r="E1338" t="s">
        <v>415</v>
      </c>
      <c r="F1338" t="s">
        <v>415</v>
      </c>
      <c r="G1338" s="1">
        <v>43815</v>
      </c>
      <c r="H1338" s="1">
        <v>44039</v>
      </c>
      <c r="I1338" t="s">
        <v>189</v>
      </c>
      <c r="J1338">
        <v>1</v>
      </c>
      <c r="K1338" t="s">
        <v>3914</v>
      </c>
      <c r="L1338" t="s">
        <v>3915</v>
      </c>
    </row>
    <row r="1339" spans="1:40" x14ac:dyDescent="0.35">
      <c r="A1339">
        <v>6209880</v>
      </c>
      <c r="B1339" t="s">
        <v>3916</v>
      </c>
      <c r="C1339" t="str">
        <f>""</f>
        <v/>
      </c>
      <c r="D1339" t="str">
        <f>"9783110639247"</f>
        <v>9783110639247</v>
      </c>
      <c r="E1339" t="s">
        <v>415</v>
      </c>
      <c r="F1339" t="s">
        <v>415</v>
      </c>
      <c r="G1339" s="1">
        <v>43956</v>
      </c>
      <c r="H1339" s="1">
        <v>44037</v>
      </c>
      <c r="I1339" t="s">
        <v>189</v>
      </c>
      <c r="J1339">
        <v>1</v>
      </c>
      <c r="K1339" t="s">
        <v>1159</v>
      </c>
      <c r="L1339" t="s">
        <v>3917</v>
      </c>
    </row>
    <row r="1340" spans="1:40" x14ac:dyDescent="0.35">
      <c r="A1340">
        <v>6209890</v>
      </c>
      <c r="B1340" t="s">
        <v>3918</v>
      </c>
      <c r="C1340" t="str">
        <f>""</f>
        <v/>
      </c>
      <c r="D1340" t="str">
        <f>"9783110645989"</f>
        <v>9783110645989</v>
      </c>
      <c r="E1340" t="s">
        <v>415</v>
      </c>
      <c r="F1340" t="s">
        <v>415</v>
      </c>
      <c r="G1340" s="1">
        <v>43801</v>
      </c>
      <c r="H1340" s="1">
        <v>44039</v>
      </c>
      <c r="I1340" t="s">
        <v>189</v>
      </c>
      <c r="J1340">
        <v>1</v>
      </c>
      <c r="K1340" t="s">
        <v>2442</v>
      </c>
      <c r="L1340" t="s">
        <v>3103</v>
      </c>
    </row>
    <row r="1341" spans="1:40" x14ac:dyDescent="0.35">
      <c r="A1341">
        <v>6209901</v>
      </c>
      <c r="B1341" t="s">
        <v>3919</v>
      </c>
      <c r="C1341" t="str">
        <f>""</f>
        <v/>
      </c>
      <c r="D1341" t="str">
        <f>"9783110669824"</f>
        <v>9783110669824</v>
      </c>
      <c r="E1341" t="s">
        <v>415</v>
      </c>
      <c r="F1341" t="s">
        <v>415</v>
      </c>
      <c r="G1341" s="1">
        <v>43850</v>
      </c>
      <c r="H1341" s="1">
        <v>44037</v>
      </c>
      <c r="I1341" t="s">
        <v>189</v>
      </c>
      <c r="J1341">
        <v>1</v>
      </c>
      <c r="K1341" t="s">
        <v>3920</v>
      </c>
      <c r="L1341" t="s">
        <v>3921</v>
      </c>
    </row>
    <row r="1342" spans="1:40" x14ac:dyDescent="0.35">
      <c r="A1342">
        <v>6209903</v>
      </c>
      <c r="B1342" t="s">
        <v>3922</v>
      </c>
      <c r="C1342" t="str">
        <f>""</f>
        <v/>
      </c>
      <c r="D1342" t="str">
        <f>"9783110692716"</f>
        <v>9783110692716</v>
      </c>
      <c r="E1342" t="s">
        <v>415</v>
      </c>
      <c r="F1342" t="s">
        <v>415</v>
      </c>
      <c r="G1342" s="1">
        <v>43956</v>
      </c>
      <c r="H1342" s="1">
        <v>44037</v>
      </c>
      <c r="I1342" t="s">
        <v>189</v>
      </c>
      <c r="J1342">
        <v>1</v>
      </c>
      <c r="K1342" t="s">
        <v>3923</v>
      </c>
      <c r="L1342" t="s">
        <v>3924</v>
      </c>
    </row>
    <row r="1343" spans="1:40" x14ac:dyDescent="0.35">
      <c r="A1343">
        <v>6209908</v>
      </c>
      <c r="B1343" t="s">
        <v>3925</v>
      </c>
      <c r="C1343" t="str">
        <f>""</f>
        <v/>
      </c>
      <c r="D1343" t="str">
        <f>"9783110660784"</f>
        <v>9783110660784</v>
      </c>
      <c r="E1343" t="s">
        <v>415</v>
      </c>
      <c r="F1343" t="s">
        <v>415</v>
      </c>
      <c r="G1343" s="1">
        <v>43815</v>
      </c>
      <c r="H1343" s="1">
        <v>44039</v>
      </c>
      <c r="I1343" t="s">
        <v>189</v>
      </c>
      <c r="J1343">
        <v>1</v>
      </c>
      <c r="K1343" t="s">
        <v>3001</v>
      </c>
      <c r="L1343" t="s">
        <v>3926</v>
      </c>
    </row>
    <row r="1344" spans="1:40" x14ac:dyDescent="0.35">
      <c r="A1344">
        <v>6209911</v>
      </c>
      <c r="B1344" t="s">
        <v>3927</v>
      </c>
      <c r="C1344" t="str">
        <f>""</f>
        <v/>
      </c>
      <c r="D1344" t="str">
        <f>"9783110596588"</f>
        <v>9783110596588</v>
      </c>
      <c r="E1344" t="s">
        <v>415</v>
      </c>
      <c r="F1344" t="s">
        <v>415</v>
      </c>
      <c r="G1344" s="1">
        <v>43927</v>
      </c>
      <c r="H1344" s="1">
        <v>44037</v>
      </c>
      <c r="I1344" t="s">
        <v>189</v>
      </c>
      <c r="J1344">
        <v>1</v>
      </c>
      <c r="K1344" t="s">
        <v>3928</v>
      </c>
      <c r="L1344" t="s">
        <v>3929</v>
      </c>
      <c r="M1344" t="s">
        <v>389</v>
      </c>
    </row>
    <row r="1345" spans="1:40" x14ac:dyDescent="0.35">
      <c r="A1345">
        <v>6209914</v>
      </c>
      <c r="B1345" t="s">
        <v>3930</v>
      </c>
      <c r="C1345" t="str">
        <f>""</f>
        <v/>
      </c>
      <c r="D1345" t="str">
        <f>"9783110590661"</f>
        <v>9783110590661</v>
      </c>
      <c r="E1345" t="s">
        <v>415</v>
      </c>
      <c r="F1345" t="s">
        <v>415</v>
      </c>
      <c r="G1345" s="1">
        <v>43913</v>
      </c>
      <c r="H1345" s="1">
        <v>44037</v>
      </c>
      <c r="I1345" t="s">
        <v>189</v>
      </c>
      <c r="J1345">
        <v>1</v>
      </c>
      <c r="K1345" t="s">
        <v>3931</v>
      </c>
      <c r="L1345" t="s">
        <v>3932</v>
      </c>
    </row>
    <row r="1346" spans="1:40" x14ac:dyDescent="0.35">
      <c r="A1346">
        <v>6209925</v>
      </c>
      <c r="B1346" t="s">
        <v>3933</v>
      </c>
      <c r="C1346" t="str">
        <f>""</f>
        <v/>
      </c>
      <c r="D1346" t="str">
        <f>"9783110679366"</f>
        <v>9783110679366</v>
      </c>
      <c r="E1346" t="s">
        <v>415</v>
      </c>
      <c r="F1346" t="s">
        <v>415</v>
      </c>
      <c r="G1346" s="1">
        <v>43941</v>
      </c>
      <c r="H1346" s="1">
        <v>44037</v>
      </c>
      <c r="I1346" t="s">
        <v>189</v>
      </c>
      <c r="J1346">
        <v>1</v>
      </c>
      <c r="K1346" t="s">
        <v>3934</v>
      </c>
      <c r="L1346" t="s">
        <v>3935</v>
      </c>
    </row>
    <row r="1347" spans="1:40" x14ac:dyDescent="0.35">
      <c r="A1347">
        <v>6209927</v>
      </c>
      <c r="B1347" t="s">
        <v>3936</v>
      </c>
      <c r="C1347" t="str">
        <f>""</f>
        <v/>
      </c>
      <c r="D1347" t="str">
        <f>"9783110645125"</f>
        <v>9783110645125</v>
      </c>
      <c r="E1347" t="s">
        <v>415</v>
      </c>
      <c r="F1347" t="s">
        <v>415</v>
      </c>
      <c r="G1347" s="1">
        <v>43815</v>
      </c>
      <c r="H1347" s="1">
        <v>44039</v>
      </c>
      <c r="I1347" t="s">
        <v>189</v>
      </c>
      <c r="J1347">
        <v>1</v>
      </c>
      <c r="K1347" t="s">
        <v>1159</v>
      </c>
      <c r="L1347" t="s">
        <v>3937</v>
      </c>
    </row>
    <row r="1348" spans="1:40" x14ac:dyDescent="0.35">
      <c r="A1348">
        <v>6209931</v>
      </c>
      <c r="B1348" t="s">
        <v>3938</v>
      </c>
      <c r="C1348" t="str">
        <f>""</f>
        <v/>
      </c>
      <c r="D1348" t="str">
        <f>"9783110696479"</f>
        <v>9783110696479</v>
      </c>
      <c r="E1348" t="s">
        <v>415</v>
      </c>
      <c r="F1348" t="s">
        <v>415</v>
      </c>
      <c r="G1348" s="1">
        <v>43927</v>
      </c>
      <c r="H1348" s="1">
        <v>44037</v>
      </c>
      <c r="I1348" t="s">
        <v>189</v>
      </c>
      <c r="J1348">
        <v>1</v>
      </c>
      <c r="K1348" t="s">
        <v>3050</v>
      </c>
      <c r="L1348" t="s">
        <v>3261</v>
      </c>
    </row>
    <row r="1349" spans="1:40" x14ac:dyDescent="0.35">
      <c r="A1349">
        <v>6213312</v>
      </c>
      <c r="B1349" t="s">
        <v>3939</v>
      </c>
      <c r="C1349" t="str">
        <f>""</f>
        <v/>
      </c>
      <c r="D1349" t="str">
        <f>"9789179298319"</f>
        <v>9789179298319</v>
      </c>
      <c r="E1349" t="s">
        <v>3642</v>
      </c>
      <c r="F1349" t="s">
        <v>3642</v>
      </c>
      <c r="G1349" s="1">
        <v>43978</v>
      </c>
      <c r="H1349" s="1">
        <v>43990</v>
      </c>
      <c r="I1349" t="s">
        <v>189</v>
      </c>
      <c r="J1349">
        <v>1</v>
      </c>
      <c r="L1349" t="s">
        <v>3940</v>
      </c>
      <c r="Q1349" t="s">
        <v>260</v>
      </c>
      <c r="R1349" t="s">
        <v>261</v>
      </c>
      <c r="S1349" t="s">
        <v>261</v>
      </c>
      <c r="T1349" t="s">
        <v>261</v>
      </c>
      <c r="U1349" t="s">
        <v>261</v>
      </c>
      <c r="V1349" t="s">
        <v>262</v>
      </c>
      <c r="W1349" t="s">
        <v>261</v>
      </c>
      <c r="X1349" t="s">
        <v>261</v>
      </c>
      <c r="Y1349" t="s">
        <v>261</v>
      </c>
      <c r="AD1349" t="s">
        <v>261</v>
      </c>
      <c r="AH1349" t="s">
        <v>262</v>
      </c>
      <c r="AI1349" t="s">
        <v>261</v>
      </c>
      <c r="AJ1349" t="s">
        <v>261</v>
      </c>
      <c r="AK1349" t="s">
        <v>261</v>
      </c>
      <c r="AM1349" t="s">
        <v>262</v>
      </c>
      <c r="AN1349" t="s">
        <v>3941</v>
      </c>
    </row>
    <row r="1350" spans="1:40" x14ac:dyDescent="0.35">
      <c r="A1350">
        <v>6216694</v>
      </c>
      <c r="B1350" t="s">
        <v>3942</v>
      </c>
      <c r="C1350" t="str">
        <f>"9781783749362"</f>
        <v>9781783749362</v>
      </c>
      <c r="D1350" t="str">
        <f>"9781783749379"</f>
        <v>9781783749379</v>
      </c>
      <c r="E1350" t="s">
        <v>1807</v>
      </c>
      <c r="F1350" t="s">
        <v>1807</v>
      </c>
      <c r="G1350" s="1">
        <v>43970</v>
      </c>
      <c r="H1350" s="1">
        <v>43986</v>
      </c>
      <c r="I1350" t="s">
        <v>189</v>
      </c>
      <c r="J1350">
        <v>1</v>
      </c>
      <c r="K1350" t="s">
        <v>3667</v>
      </c>
      <c r="L1350" t="s">
        <v>146</v>
      </c>
    </row>
    <row r="1351" spans="1:40" x14ac:dyDescent="0.35">
      <c r="A1351">
        <v>6231741</v>
      </c>
      <c r="B1351" t="s">
        <v>3943</v>
      </c>
      <c r="C1351" t="str">
        <f>""</f>
        <v/>
      </c>
      <c r="D1351" t="str">
        <f>"9789179298838"</f>
        <v>9789179298838</v>
      </c>
      <c r="E1351" t="s">
        <v>3642</v>
      </c>
      <c r="F1351" t="s">
        <v>3642</v>
      </c>
      <c r="G1351" s="1">
        <v>43993</v>
      </c>
      <c r="H1351" s="1">
        <v>44011</v>
      </c>
      <c r="I1351" t="s">
        <v>189</v>
      </c>
      <c r="L1351" t="s">
        <v>3944</v>
      </c>
      <c r="Q1351" t="s">
        <v>260</v>
      </c>
      <c r="R1351" t="s">
        <v>261</v>
      </c>
      <c r="S1351" t="s">
        <v>261</v>
      </c>
      <c r="T1351" t="s">
        <v>261</v>
      </c>
      <c r="U1351" t="s">
        <v>261</v>
      </c>
      <c r="V1351" t="s">
        <v>262</v>
      </c>
      <c r="W1351" t="s">
        <v>261</v>
      </c>
      <c r="X1351" t="s">
        <v>261</v>
      </c>
      <c r="Y1351" t="s">
        <v>261</v>
      </c>
      <c r="AD1351" t="s">
        <v>261</v>
      </c>
      <c r="AH1351" t="s">
        <v>262</v>
      </c>
      <c r="AI1351" t="s">
        <v>261</v>
      </c>
      <c r="AJ1351" t="s">
        <v>261</v>
      </c>
      <c r="AK1351" t="s">
        <v>261</v>
      </c>
      <c r="AM1351" t="s">
        <v>262</v>
      </c>
      <c r="AN1351" t="s">
        <v>3945</v>
      </c>
    </row>
    <row r="1352" spans="1:40" x14ac:dyDescent="0.35">
      <c r="A1352">
        <v>6235479</v>
      </c>
      <c r="B1352" t="s">
        <v>3946</v>
      </c>
      <c r="C1352" t="str">
        <f>"9781800640122"</f>
        <v>9781800640122</v>
      </c>
      <c r="D1352" t="str">
        <f>"9781800640139"</f>
        <v>9781800640139</v>
      </c>
      <c r="E1352" t="s">
        <v>1807</v>
      </c>
      <c r="F1352" t="s">
        <v>1807</v>
      </c>
      <c r="G1352" s="1">
        <v>43983</v>
      </c>
      <c r="H1352" s="1">
        <v>44007</v>
      </c>
      <c r="I1352" t="s">
        <v>189</v>
      </c>
      <c r="J1352">
        <v>1</v>
      </c>
      <c r="K1352" t="s">
        <v>1851</v>
      </c>
      <c r="L1352" t="s">
        <v>3947</v>
      </c>
    </row>
    <row r="1353" spans="1:40" x14ac:dyDescent="0.35">
      <c r="A1353">
        <v>6235480</v>
      </c>
      <c r="B1353" t="s">
        <v>3948</v>
      </c>
      <c r="C1353" t="str">
        <f>"9781783748167"</f>
        <v>9781783748167</v>
      </c>
      <c r="D1353" t="str">
        <f>"9781783748174"</f>
        <v>9781783748174</v>
      </c>
      <c r="E1353" t="s">
        <v>1807</v>
      </c>
      <c r="F1353" t="s">
        <v>1807</v>
      </c>
      <c r="G1353" s="1">
        <v>43992</v>
      </c>
      <c r="H1353" s="1">
        <v>44537</v>
      </c>
      <c r="I1353" t="s">
        <v>189</v>
      </c>
      <c r="J1353">
        <v>1</v>
      </c>
      <c r="L1353" t="s">
        <v>3949</v>
      </c>
    </row>
    <row r="1354" spans="1:40" x14ac:dyDescent="0.35">
      <c r="A1354">
        <v>6238610</v>
      </c>
      <c r="B1354" t="s">
        <v>3950</v>
      </c>
      <c r="C1354" t="str">
        <f>""</f>
        <v/>
      </c>
      <c r="D1354" t="str">
        <f>"9789179298166"</f>
        <v>9789179298166</v>
      </c>
      <c r="E1354" t="s">
        <v>3642</v>
      </c>
      <c r="F1354" t="s">
        <v>3642</v>
      </c>
      <c r="G1354" s="1">
        <v>44006</v>
      </c>
      <c r="H1354" s="1">
        <v>44032</v>
      </c>
      <c r="I1354" t="s">
        <v>189</v>
      </c>
      <c r="J1354">
        <v>1</v>
      </c>
      <c r="L1354" t="s">
        <v>3951</v>
      </c>
      <c r="Q1354" t="s">
        <v>260</v>
      </c>
      <c r="R1354" t="s">
        <v>261</v>
      </c>
      <c r="S1354" t="s">
        <v>261</v>
      </c>
      <c r="T1354" t="s">
        <v>261</v>
      </c>
      <c r="U1354" t="s">
        <v>261</v>
      </c>
      <c r="V1354" t="s">
        <v>262</v>
      </c>
      <c r="W1354" t="s">
        <v>261</v>
      </c>
      <c r="X1354" t="s">
        <v>261</v>
      </c>
      <c r="Y1354" t="s">
        <v>261</v>
      </c>
      <c r="AD1354" t="s">
        <v>261</v>
      </c>
      <c r="AH1354" t="s">
        <v>262</v>
      </c>
      <c r="AI1354" t="s">
        <v>261</v>
      </c>
      <c r="AJ1354" t="s">
        <v>261</v>
      </c>
      <c r="AK1354" t="s">
        <v>261</v>
      </c>
      <c r="AM1354" t="s">
        <v>262</v>
      </c>
      <c r="AN1354" t="s">
        <v>3952</v>
      </c>
    </row>
    <row r="1355" spans="1:40" x14ac:dyDescent="0.35">
      <c r="A1355">
        <v>6252592</v>
      </c>
      <c r="B1355" t="s">
        <v>3953</v>
      </c>
      <c r="C1355" t="str">
        <f>"9789813272361"</f>
        <v>9789813272361</v>
      </c>
      <c r="D1355" t="str">
        <f>"9789813272378"</f>
        <v>9789813272378</v>
      </c>
      <c r="E1355" t="s">
        <v>3954</v>
      </c>
      <c r="F1355" t="s">
        <v>3955</v>
      </c>
      <c r="G1355" s="1">
        <v>43972</v>
      </c>
      <c r="H1355" s="1">
        <v>44139</v>
      </c>
      <c r="I1355" t="s">
        <v>189</v>
      </c>
      <c r="K1355" t="s">
        <v>3956</v>
      </c>
      <c r="L1355" t="s">
        <v>3957</v>
      </c>
    </row>
    <row r="1356" spans="1:40" x14ac:dyDescent="0.35">
      <c r="A1356">
        <v>6259007</v>
      </c>
      <c r="B1356" t="s">
        <v>3958</v>
      </c>
      <c r="C1356" t="str">
        <f>"9781783748525"</f>
        <v>9781783748525</v>
      </c>
      <c r="D1356" t="str">
        <f>"9781783748532"</f>
        <v>9781783748532</v>
      </c>
      <c r="E1356" t="s">
        <v>1807</v>
      </c>
      <c r="F1356" t="s">
        <v>1807</v>
      </c>
      <c r="G1356" s="1">
        <v>43987</v>
      </c>
      <c r="H1356" s="1">
        <v>44020</v>
      </c>
      <c r="I1356" t="s">
        <v>189</v>
      </c>
      <c r="J1356">
        <v>1</v>
      </c>
      <c r="L1356" t="s">
        <v>3959</v>
      </c>
    </row>
    <row r="1357" spans="1:40" x14ac:dyDescent="0.35">
      <c r="A1357">
        <v>6265689</v>
      </c>
      <c r="B1357" t="s">
        <v>3960</v>
      </c>
      <c r="C1357" t="str">
        <f>""</f>
        <v/>
      </c>
      <c r="D1357" t="str">
        <f>"9789179298418"</f>
        <v>9789179298418</v>
      </c>
      <c r="E1357" t="s">
        <v>3642</v>
      </c>
      <c r="F1357" t="s">
        <v>3642</v>
      </c>
      <c r="G1357" s="1">
        <v>44025</v>
      </c>
      <c r="H1357" s="1">
        <v>44032</v>
      </c>
      <c r="I1357" t="s">
        <v>189</v>
      </c>
      <c r="J1357">
        <v>1</v>
      </c>
      <c r="L1357" t="s">
        <v>3961</v>
      </c>
      <c r="Q1357" t="s">
        <v>260</v>
      </c>
      <c r="R1357" t="s">
        <v>261</v>
      </c>
      <c r="S1357" t="s">
        <v>261</v>
      </c>
      <c r="T1357" t="s">
        <v>261</v>
      </c>
      <c r="U1357" t="s">
        <v>261</v>
      </c>
      <c r="V1357" t="s">
        <v>262</v>
      </c>
      <c r="W1357" t="s">
        <v>261</v>
      </c>
      <c r="X1357" t="s">
        <v>261</v>
      </c>
      <c r="Y1357" t="s">
        <v>261</v>
      </c>
      <c r="AD1357" t="s">
        <v>261</v>
      </c>
      <c r="AH1357" t="s">
        <v>262</v>
      </c>
      <c r="AI1357" t="s">
        <v>261</v>
      </c>
      <c r="AJ1357" t="s">
        <v>261</v>
      </c>
      <c r="AK1357" t="s">
        <v>261</v>
      </c>
      <c r="AM1357" t="s">
        <v>262</v>
      </c>
      <c r="AN1357" t="s">
        <v>3962</v>
      </c>
    </row>
    <row r="1358" spans="1:40" x14ac:dyDescent="0.35">
      <c r="A1358">
        <v>6288248</v>
      </c>
      <c r="B1358" t="s">
        <v>3963</v>
      </c>
      <c r="C1358" t="str">
        <f>"9781783749683"</f>
        <v>9781783749683</v>
      </c>
      <c r="D1358" t="str">
        <f>"9781783749690"</f>
        <v>9781783749690</v>
      </c>
      <c r="E1358" t="s">
        <v>1807</v>
      </c>
      <c r="F1358" t="s">
        <v>1807</v>
      </c>
      <c r="G1358" s="1">
        <v>44035</v>
      </c>
      <c r="H1358" s="1">
        <v>44054</v>
      </c>
      <c r="I1358" t="s">
        <v>189</v>
      </c>
      <c r="J1358">
        <v>1</v>
      </c>
      <c r="K1358" t="s">
        <v>3667</v>
      </c>
      <c r="L1358" t="s">
        <v>3964</v>
      </c>
    </row>
    <row r="1359" spans="1:40" x14ac:dyDescent="0.35">
      <c r="A1359">
        <v>6288249</v>
      </c>
      <c r="B1359" t="s">
        <v>3965</v>
      </c>
      <c r="C1359" t="str">
        <f>"9781783749249"</f>
        <v>9781783749249</v>
      </c>
      <c r="D1359" t="str">
        <f>"9781783749256"</f>
        <v>9781783749256</v>
      </c>
      <c r="E1359" t="s">
        <v>1807</v>
      </c>
      <c r="F1359" t="s">
        <v>1807</v>
      </c>
      <c r="G1359" s="1">
        <v>44004</v>
      </c>
      <c r="H1359" s="1">
        <v>44314</v>
      </c>
      <c r="I1359" t="s">
        <v>189</v>
      </c>
      <c r="J1359">
        <v>1</v>
      </c>
      <c r="L1359" t="s">
        <v>3966</v>
      </c>
    </row>
    <row r="1360" spans="1:40" x14ac:dyDescent="0.35">
      <c r="A1360">
        <v>6288250</v>
      </c>
      <c r="B1360" t="s">
        <v>3967</v>
      </c>
      <c r="C1360" t="str">
        <f>"9781800640009"</f>
        <v>9781800640009</v>
      </c>
      <c r="D1360" t="str">
        <f>"9781800640016"</f>
        <v>9781800640016</v>
      </c>
      <c r="E1360" t="s">
        <v>1807</v>
      </c>
      <c r="F1360" t="s">
        <v>1807</v>
      </c>
      <c r="G1360" s="1">
        <v>44004</v>
      </c>
      <c r="H1360" s="1">
        <v>44118</v>
      </c>
      <c r="I1360" t="s">
        <v>189</v>
      </c>
      <c r="J1360">
        <v>1</v>
      </c>
      <c r="L1360" t="s">
        <v>3966</v>
      </c>
    </row>
    <row r="1361" spans="1:40" x14ac:dyDescent="0.35">
      <c r="A1361">
        <v>6288251</v>
      </c>
      <c r="B1361" t="s">
        <v>3968</v>
      </c>
      <c r="C1361" t="str">
        <f>"9781783746941"</f>
        <v>9781783746941</v>
      </c>
      <c r="D1361" t="str">
        <f>"9781783746958"</f>
        <v>9781783746958</v>
      </c>
      <c r="E1361" t="s">
        <v>1807</v>
      </c>
      <c r="F1361" t="s">
        <v>1807</v>
      </c>
      <c r="G1361" s="1">
        <v>43851</v>
      </c>
      <c r="H1361" s="1">
        <v>44368</v>
      </c>
      <c r="I1361" t="s">
        <v>189</v>
      </c>
      <c r="J1361">
        <v>1</v>
      </c>
      <c r="L1361" t="s">
        <v>3969</v>
      </c>
    </row>
    <row r="1362" spans="1:40" x14ac:dyDescent="0.35">
      <c r="A1362">
        <v>6308648</v>
      </c>
      <c r="B1362" t="s">
        <v>3970</v>
      </c>
      <c r="C1362" t="str">
        <f>"9783030458423"</f>
        <v>9783030458423</v>
      </c>
      <c r="D1362" t="str">
        <f>"9783030458430"</f>
        <v>9783030458430</v>
      </c>
      <c r="E1362" t="s">
        <v>2289</v>
      </c>
      <c r="F1362" t="s">
        <v>2290</v>
      </c>
      <c r="G1362" s="1">
        <v>44061</v>
      </c>
      <c r="H1362" s="1">
        <v>44581</v>
      </c>
      <c r="I1362" t="s">
        <v>189</v>
      </c>
      <c r="L1362" t="s">
        <v>62</v>
      </c>
    </row>
    <row r="1363" spans="1:40" x14ac:dyDescent="0.35">
      <c r="A1363">
        <v>6310309</v>
      </c>
      <c r="B1363" t="s">
        <v>3971</v>
      </c>
      <c r="C1363" t="str">
        <f>"9783658308391"</f>
        <v>9783658308391</v>
      </c>
      <c r="D1363" t="str">
        <f>"9783658308407"</f>
        <v>9783658308407</v>
      </c>
      <c r="E1363" t="s">
        <v>3972</v>
      </c>
      <c r="F1363" t="s">
        <v>3972</v>
      </c>
      <c r="G1363" s="1">
        <v>44126</v>
      </c>
      <c r="H1363" s="1">
        <v>44567</v>
      </c>
      <c r="I1363" t="s">
        <v>189</v>
      </c>
      <c r="K1363" t="s">
        <v>3973</v>
      </c>
      <c r="L1363" t="s">
        <v>3974</v>
      </c>
      <c r="M1363" t="s">
        <v>249</v>
      </c>
      <c r="N1363" t="s">
        <v>3975</v>
      </c>
      <c r="Q1363" t="s">
        <v>408</v>
      </c>
      <c r="R1363" t="s">
        <v>261</v>
      </c>
      <c r="S1363" t="s">
        <v>261</v>
      </c>
      <c r="T1363" t="s">
        <v>261</v>
      </c>
      <c r="U1363" t="s">
        <v>262</v>
      </c>
      <c r="V1363" t="s">
        <v>262</v>
      </c>
      <c r="W1363" t="s">
        <v>261</v>
      </c>
      <c r="X1363" t="s">
        <v>261</v>
      </c>
      <c r="Y1363" t="s">
        <v>261</v>
      </c>
      <c r="Z1363" t="s">
        <v>409</v>
      </c>
      <c r="AA1363" t="s">
        <v>409</v>
      </c>
      <c r="AB1363" t="s">
        <v>409</v>
      </c>
      <c r="AC1363" t="s">
        <v>409</v>
      </c>
      <c r="AD1363" t="s">
        <v>261</v>
      </c>
      <c r="AH1363" t="s">
        <v>262</v>
      </c>
      <c r="AI1363" t="s">
        <v>262</v>
      </c>
      <c r="AJ1363" t="s">
        <v>261</v>
      </c>
      <c r="AK1363" t="s">
        <v>261</v>
      </c>
      <c r="AM1363" t="s">
        <v>262</v>
      </c>
      <c r="AN1363" t="s">
        <v>3976</v>
      </c>
    </row>
    <row r="1364" spans="1:40" x14ac:dyDescent="0.35">
      <c r="A1364">
        <v>6310311</v>
      </c>
      <c r="B1364" t="s">
        <v>3977</v>
      </c>
      <c r="C1364" t="str">
        <f>"9783030475444"</f>
        <v>9783030475444</v>
      </c>
      <c r="D1364" t="str">
        <f>"9783030475451"</f>
        <v>9783030475451</v>
      </c>
      <c r="E1364" t="s">
        <v>2289</v>
      </c>
      <c r="F1364" t="s">
        <v>3635</v>
      </c>
      <c r="G1364" s="1">
        <v>44062</v>
      </c>
      <c r="H1364" s="1">
        <v>44279</v>
      </c>
      <c r="I1364" t="s">
        <v>189</v>
      </c>
      <c r="L1364" t="s">
        <v>3978</v>
      </c>
    </row>
    <row r="1365" spans="1:40" x14ac:dyDescent="0.35">
      <c r="A1365">
        <v>6310312</v>
      </c>
      <c r="B1365" t="s">
        <v>3979</v>
      </c>
      <c r="C1365" t="str">
        <f>"9783030414795"</f>
        <v>9783030414795</v>
      </c>
      <c r="D1365" t="str">
        <f>"9783030414801"</f>
        <v>9783030414801</v>
      </c>
      <c r="E1365" t="s">
        <v>2289</v>
      </c>
      <c r="F1365" t="s">
        <v>2290</v>
      </c>
      <c r="G1365" s="1">
        <v>44062</v>
      </c>
      <c r="H1365" s="1">
        <v>44279</v>
      </c>
      <c r="I1365" t="s">
        <v>189</v>
      </c>
      <c r="K1365" t="s">
        <v>3980</v>
      </c>
      <c r="L1365" t="s">
        <v>3981</v>
      </c>
    </row>
    <row r="1366" spans="1:40" x14ac:dyDescent="0.35">
      <c r="A1366">
        <v>6310316</v>
      </c>
      <c r="B1366" t="s">
        <v>3982</v>
      </c>
      <c r="C1366" t="str">
        <f>"9783030446161"</f>
        <v>9783030446161</v>
      </c>
      <c r="D1366" t="str">
        <f>"9783030446178"</f>
        <v>9783030446178</v>
      </c>
      <c r="E1366" t="s">
        <v>2289</v>
      </c>
      <c r="F1366" t="s">
        <v>2290</v>
      </c>
      <c r="G1366" s="1">
        <v>44062</v>
      </c>
      <c r="H1366" s="1">
        <v>44581</v>
      </c>
      <c r="I1366" t="s">
        <v>189</v>
      </c>
      <c r="L1366" t="s">
        <v>3983</v>
      </c>
    </row>
    <row r="1367" spans="1:40" x14ac:dyDescent="0.35">
      <c r="A1367">
        <v>6310338</v>
      </c>
      <c r="B1367" t="s">
        <v>3984</v>
      </c>
      <c r="C1367" t="str">
        <f>"9783030547943"</f>
        <v>9783030547943</v>
      </c>
      <c r="D1367" t="str">
        <f>"9783030547950"</f>
        <v>9783030547950</v>
      </c>
      <c r="E1367" t="s">
        <v>2289</v>
      </c>
      <c r="F1367" t="s">
        <v>2290</v>
      </c>
      <c r="G1367" s="1">
        <v>44062</v>
      </c>
      <c r="H1367" s="1">
        <v>44279</v>
      </c>
      <c r="I1367" t="s">
        <v>189</v>
      </c>
      <c r="K1367" t="s">
        <v>3985</v>
      </c>
      <c r="L1367" t="s">
        <v>3986</v>
      </c>
      <c r="M1367" t="s">
        <v>199</v>
      </c>
      <c r="N1367" t="s">
        <v>3987</v>
      </c>
      <c r="Q1367" t="s">
        <v>260</v>
      </c>
      <c r="R1367" t="s">
        <v>261</v>
      </c>
      <c r="S1367" t="s">
        <v>261</v>
      </c>
      <c r="T1367" t="s">
        <v>261</v>
      </c>
      <c r="U1367" t="s">
        <v>262</v>
      </c>
      <c r="V1367" t="s">
        <v>262</v>
      </c>
      <c r="W1367" t="s">
        <v>261</v>
      </c>
      <c r="X1367" t="s">
        <v>262</v>
      </c>
      <c r="Y1367" t="s">
        <v>261</v>
      </c>
      <c r="Z1367" t="s">
        <v>409</v>
      </c>
      <c r="AA1367" t="s">
        <v>409</v>
      </c>
      <c r="AB1367" t="s">
        <v>409</v>
      </c>
      <c r="AC1367" t="s">
        <v>409</v>
      </c>
      <c r="AD1367" t="s">
        <v>261</v>
      </c>
      <c r="AH1367" t="s">
        <v>262</v>
      </c>
      <c r="AI1367" t="s">
        <v>262</v>
      </c>
      <c r="AJ1367" t="s">
        <v>261</v>
      </c>
      <c r="AK1367" t="s">
        <v>261</v>
      </c>
      <c r="AM1367" t="s">
        <v>262</v>
      </c>
      <c r="AN1367" t="s">
        <v>3988</v>
      </c>
    </row>
    <row r="1368" spans="1:40" x14ac:dyDescent="0.35">
      <c r="A1368">
        <v>6310495</v>
      </c>
      <c r="B1368" t="s">
        <v>3989</v>
      </c>
      <c r="C1368" t="str">
        <f>"9783319442327"</f>
        <v>9783319442327</v>
      </c>
      <c r="D1368" t="str">
        <f>"9783319442341"</f>
        <v>9783319442341</v>
      </c>
      <c r="E1368" t="s">
        <v>2289</v>
      </c>
      <c r="F1368" t="s">
        <v>2290</v>
      </c>
      <c r="G1368" s="1">
        <v>42804</v>
      </c>
      <c r="H1368" s="1">
        <v>44196</v>
      </c>
      <c r="I1368" t="s">
        <v>189</v>
      </c>
      <c r="L1368" t="s">
        <v>3990</v>
      </c>
    </row>
    <row r="1369" spans="1:40" x14ac:dyDescent="0.35">
      <c r="A1369">
        <v>6311257</v>
      </c>
      <c r="B1369" t="s">
        <v>3991</v>
      </c>
      <c r="C1369" t="str">
        <f>"9783319294384"</f>
        <v>9783319294384</v>
      </c>
      <c r="D1369" t="str">
        <f>"9783319294391"</f>
        <v>9783319294391</v>
      </c>
      <c r="E1369" t="s">
        <v>2289</v>
      </c>
      <c r="F1369" t="s">
        <v>2290</v>
      </c>
      <c r="G1369" s="1">
        <v>42533</v>
      </c>
      <c r="H1369" s="1">
        <v>44196</v>
      </c>
      <c r="I1369" t="s">
        <v>189</v>
      </c>
      <c r="K1369" t="s">
        <v>3992</v>
      </c>
      <c r="L1369" t="s">
        <v>3993</v>
      </c>
      <c r="M1369" t="s">
        <v>582</v>
      </c>
    </row>
    <row r="1370" spans="1:40" x14ac:dyDescent="0.35">
      <c r="A1370">
        <v>6313878</v>
      </c>
      <c r="B1370" t="s">
        <v>3994</v>
      </c>
      <c r="C1370" t="str">
        <f>"9783030481254"</f>
        <v>9783030481254</v>
      </c>
      <c r="D1370" t="str">
        <f>"9783030481261"</f>
        <v>9783030481261</v>
      </c>
      <c r="E1370" t="s">
        <v>2289</v>
      </c>
      <c r="F1370" t="s">
        <v>2290</v>
      </c>
      <c r="G1370" s="1">
        <v>44064</v>
      </c>
      <c r="H1370" s="1">
        <v>44279</v>
      </c>
      <c r="I1370" t="s">
        <v>189</v>
      </c>
      <c r="J1370">
        <v>2</v>
      </c>
      <c r="K1370" t="s">
        <v>3995</v>
      </c>
      <c r="L1370" t="s">
        <v>3996</v>
      </c>
    </row>
    <row r="1371" spans="1:40" x14ac:dyDescent="0.35">
      <c r="A1371">
        <v>6313942</v>
      </c>
      <c r="B1371" t="s">
        <v>3997</v>
      </c>
      <c r="C1371" t="str">
        <f>"9783658314880"</f>
        <v>9783658314880</v>
      </c>
      <c r="D1371" t="str">
        <f>"9783658314897"</f>
        <v>9783658314897</v>
      </c>
      <c r="E1371" t="s">
        <v>3972</v>
      </c>
      <c r="F1371" t="s">
        <v>3998</v>
      </c>
      <c r="G1371" s="1">
        <v>44064</v>
      </c>
      <c r="H1371" s="1">
        <v>44567</v>
      </c>
      <c r="I1371" t="s">
        <v>189</v>
      </c>
      <c r="L1371" t="s">
        <v>3999</v>
      </c>
    </row>
    <row r="1372" spans="1:40" x14ac:dyDescent="0.35">
      <c r="A1372">
        <v>6314336</v>
      </c>
      <c r="B1372" t="s">
        <v>4000</v>
      </c>
      <c r="C1372" t="str">
        <f>"9784431554677"</f>
        <v>9784431554677</v>
      </c>
      <c r="D1372" t="str">
        <f>"9784431554684"</f>
        <v>9784431554684</v>
      </c>
      <c r="E1372" t="s">
        <v>4001</v>
      </c>
      <c r="F1372" t="s">
        <v>2290</v>
      </c>
      <c r="G1372" s="1">
        <v>42101</v>
      </c>
      <c r="H1372" s="1">
        <v>44196</v>
      </c>
      <c r="I1372" t="s">
        <v>189</v>
      </c>
      <c r="K1372" t="s">
        <v>4002</v>
      </c>
      <c r="L1372" t="s">
        <v>4003</v>
      </c>
      <c r="M1372" t="s">
        <v>249</v>
      </c>
      <c r="N1372" t="s">
        <v>4004</v>
      </c>
      <c r="O1372" t="s">
        <v>4005</v>
      </c>
      <c r="Q1372" t="s">
        <v>260</v>
      </c>
      <c r="R1372" t="s">
        <v>261</v>
      </c>
      <c r="S1372" t="s">
        <v>261</v>
      </c>
      <c r="T1372" t="s">
        <v>261</v>
      </c>
      <c r="U1372" t="s">
        <v>261</v>
      </c>
      <c r="V1372" t="s">
        <v>262</v>
      </c>
      <c r="W1372" t="s">
        <v>261</v>
      </c>
      <c r="X1372" t="s">
        <v>261</v>
      </c>
      <c r="Y1372" t="s">
        <v>261</v>
      </c>
      <c r="AA1372" t="s">
        <v>409</v>
      </c>
      <c r="AB1372" t="s">
        <v>409</v>
      </c>
      <c r="AC1372" t="s">
        <v>409</v>
      </c>
      <c r="AD1372" t="s">
        <v>261</v>
      </c>
      <c r="AH1372" t="s">
        <v>262</v>
      </c>
      <c r="AI1372" t="s">
        <v>262</v>
      </c>
      <c r="AJ1372" t="s">
        <v>261</v>
      </c>
      <c r="AK1372" t="s">
        <v>261</v>
      </c>
      <c r="AM1372" t="s">
        <v>262</v>
      </c>
      <c r="AN1372" t="s">
        <v>4006</v>
      </c>
    </row>
    <row r="1373" spans="1:40" x14ac:dyDescent="0.35">
      <c r="A1373">
        <v>6315606</v>
      </c>
      <c r="B1373" t="s">
        <v>4007</v>
      </c>
      <c r="C1373" t="str">
        <f>"9783319965192"</f>
        <v>9783319965192</v>
      </c>
      <c r="D1373" t="str">
        <f>"9783319965208"</f>
        <v>9783319965208</v>
      </c>
      <c r="E1373" t="s">
        <v>2289</v>
      </c>
      <c r="F1373" t="s">
        <v>2290</v>
      </c>
      <c r="G1373" s="1">
        <v>43315</v>
      </c>
      <c r="H1373" s="1">
        <v>44196</v>
      </c>
      <c r="I1373" t="s">
        <v>189</v>
      </c>
      <c r="K1373" t="s">
        <v>4008</v>
      </c>
      <c r="L1373" t="s">
        <v>4009</v>
      </c>
    </row>
    <row r="1374" spans="1:40" x14ac:dyDescent="0.35">
      <c r="A1374">
        <v>6317271</v>
      </c>
      <c r="B1374" t="s">
        <v>4010</v>
      </c>
      <c r="C1374" t="str">
        <f>"9783030472283"</f>
        <v>9783030472283</v>
      </c>
      <c r="D1374" t="str">
        <f>"9783030472290"</f>
        <v>9783030472290</v>
      </c>
      <c r="E1374" t="s">
        <v>2289</v>
      </c>
      <c r="F1374" t="s">
        <v>2290</v>
      </c>
      <c r="G1374" s="1">
        <v>44065</v>
      </c>
      <c r="H1374" s="1">
        <v>44581</v>
      </c>
      <c r="I1374" t="s">
        <v>189</v>
      </c>
      <c r="K1374" t="s">
        <v>4011</v>
      </c>
      <c r="L1374" t="s">
        <v>4012</v>
      </c>
    </row>
    <row r="1375" spans="1:40" x14ac:dyDescent="0.35">
      <c r="A1375">
        <v>6317371</v>
      </c>
      <c r="B1375" t="s">
        <v>4013</v>
      </c>
      <c r="C1375" t="str">
        <f>""</f>
        <v/>
      </c>
      <c r="D1375" t="str">
        <f>"9789179298371"</f>
        <v>9789179298371</v>
      </c>
      <c r="E1375" t="s">
        <v>3642</v>
      </c>
      <c r="F1375" t="s">
        <v>3642</v>
      </c>
      <c r="G1375" s="1">
        <v>44063</v>
      </c>
      <c r="H1375" s="1">
        <v>44109</v>
      </c>
      <c r="I1375" t="s">
        <v>189</v>
      </c>
      <c r="J1375">
        <v>1</v>
      </c>
      <c r="L1375" t="s">
        <v>4014</v>
      </c>
      <c r="Q1375" t="s">
        <v>3775</v>
      </c>
      <c r="R1375" t="s">
        <v>261</v>
      </c>
      <c r="S1375" t="s">
        <v>261</v>
      </c>
      <c r="T1375" t="s">
        <v>261</v>
      </c>
      <c r="U1375" t="s">
        <v>261</v>
      </c>
      <c r="V1375" t="s">
        <v>262</v>
      </c>
      <c r="W1375" t="s">
        <v>261</v>
      </c>
      <c r="X1375" t="s">
        <v>261</v>
      </c>
      <c r="Y1375" t="s">
        <v>261</v>
      </c>
      <c r="AD1375" t="s">
        <v>261</v>
      </c>
      <c r="AH1375" t="s">
        <v>262</v>
      </c>
      <c r="AI1375" t="s">
        <v>261</v>
      </c>
      <c r="AJ1375" t="s">
        <v>261</v>
      </c>
      <c r="AK1375" t="s">
        <v>261</v>
      </c>
      <c r="AM1375" t="s">
        <v>262</v>
      </c>
      <c r="AN1375" t="s">
        <v>4015</v>
      </c>
    </row>
    <row r="1376" spans="1:40" x14ac:dyDescent="0.35">
      <c r="A1376">
        <v>6317372</v>
      </c>
      <c r="B1376" t="s">
        <v>4016</v>
      </c>
      <c r="C1376" t="str">
        <f>""</f>
        <v/>
      </c>
      <c r="D1376" t="str">
        <f>"9789179298753"</f>
        <v>9789179298753</v>
      </c>
      <c r="E1376" t="s">
        <v>3642</v>
      </c>
      <c r="F1376" t="s">
        <v>3642</v>
      </c>
      <c r="G1376" s="1">
        <v>44063</v>
      </c>
      <c r="H1376" s="1">
        <v>44067</v>
      </c>
      <c r="I1376" t="s">
        <v>189</v>
      </c>
      <c r="J1376">
        <v>1</v>
      </c>
      <c r="L1376" t="s">
        <v>4017</v>
      </c>
      <c r="Q1376" t="s">
        <v>3775</v>
      </c>
      <c r="R1376" t="s">
        <v>261</v>
      </c>
      <c r="S1376" t="s">
        <v>261</v>
      </c>
      <c r="T1376" t="s">
        <v>261</v>
      </c>
      <c r="U1376" t="s">
        <v>261</v>
      </c>
      <c r="V1376" t="s">
        <v>262</v>
      </c>
      <c r="W1376" t="s">
        <v>261</v>
      </c>
      <c r="X1376" t="s">
        <v>261</v>
      </c>
      <c r="Y1376" t="s">
        <v>261</v>
      </c>
      <c r="AD1376" t="s">
        <v>261</v>
      </c>
      <c r="AH1376" t="s">
        <v>262</v>
      </c>
      <c r="AI1376" t="s">
        <v>261</v>
      </c>
      <c r="AJ1376" t="s">
        <v>261</v>
      </c>
      <c r="AK1376" t="s">
        <v>261</v>
      </c>
      <c r="AM1376" t="s">
        <v>262</v>
      </c>
      <c r="AN1376" t="s">
        <v>4018</v>
      </c>
    </row>
    <row r="1377" spans="1:40" x14ac:dyDescent="0.35">
      <c r="A1377">
        <v>6317373</v>
      </c>
      <c r="B1377" t="s">
        <v>4019</v>
      </c>
      <c r="C1377" t="str">
        <f>""</f>
        <v/>
      </c>
      <c r="D1377" t="str">
        <f>"9789179298180"</f>
        <v>9789179298180</v>
      </c>
      <c r="E1377" t="s">
        <v>3642</v>
      </c>
      <c r="F1377" t="s">
        <v>3642</v>
      </c>
      <c r="G1377" s="1">
        <v>43983</v>
      </c>
      <c r="H1377" s="1">
        <v>44067</v>
      </c>
      <c r="I1377" t="s">
        <v>189</v>
      </c>
      <c r="J1377">
        <v>1</v>
      </c>
      <c r="L1377" t="s">
        <v>4020</v>
      </c>
      <c r="Q1377" t="s">
        <v>260</v>
      </c>
      <c r="R1377" t="s">
        <v>261</v>
      </c>
      <c r="S1377" t="s">
        <v>261</v>
      </c>
      <c r="T1377" t="s">
        <v>261</v>
      </c>
      <c r="U1377" t="s">
        <v>261</v>
      </c>
      <c r="V1377" t="s">
        <v>262</v>
      </c>
      <c r="W1377" t="s">
        <v>261</v>
      </c>
      <c r="X1377" t="s">
        <v>261</v>
      </c>
      <c r="Y1377" t="s">
        <v>261</v>
      </c>
      <c r="AD1377" t="s">
        <v>261</v>
      </c>
      <c r="AH1377" t="s">
        <v>262</v>
      </c>
      <c r="AI1377" t="s">
        <v>261</v>
      </c>
      <c r="AJ1377" t="s">
        <v>261</v>
      </c>
      <c r="AK1377" t="s">
        <v>261</v>
      </c>
      <c r="AM1377" t="s">
        <v>262</v>
      </c>
      <c r="AN1377" t="s">
        <v>4021</v>
      </c>
    </row>
    <row r="1378" spans="1:40" x14ac:dyDescent="0.35">
      <c r="A1378">
        <v>6317374</v>
      </c>
      <c r="B1378" t="s">
        <v>4022</v>
      </c>
      <c r="C1378" t="str">
        <f>""</f>
        <v/>
      </c>
      <c r="D1378" t="str">
        <f>"9789179298821"</f>
        <v>9789179298821</v>
      </c>
      <c r="E1378" t="s">
        <v>3642</v>
      </c>
      <c r="F1378" t="s">
        <v>3642</v>
      </c>
      <c r="G1378" s="1">
        <v>44056</v>
      </c>
      <c r="H1378" s="1">
        <v>44067</v>
      </c>
      <c r="I1378" t="s">
        <v>189</v>
      </c>
      <c r="J1378">
        <v>1</v>
      </c>
      <c r="L1378" t="s">
        <v>4023</v>
      </c>
      <c r="Q1378" t="s">
        <v>3775</v>
      </c>
      <c r="R1378" t="s">
        <v>261</v>
      </c>
      <c r="S1378" t="s">
        <v>261</v>
      </c>
      <c r="T1378" t="s">
        <v>261</v>
      </c>
      <c r="U1378" t="s">
        <v>261</v>
      </c>
      <c r="V1378" t="s">
        <v>262</v>
      </c>
      <c r="W1378" t="s">
        <v>261</v>
      </c>
      <c r="X1378" t="s">
        <v>261</v>
      </c>
      <c r="Y1378" t="s">
        <v>261</v>
      </c>
      <c r="AD1378" t="s">
        <v>261</v>
      </c>
      <c r="AH1378" t="s">
        <v>262</v>
      </c>
      <c r="AI1378" t="s">
        <v>261</v>
      </c>
      <c r="AJ1378" t="s">
        <v>261</v>
      </c>
      <c r="AK1378" t="s">
        <v>261</v>
      </c>
      <c r="AM1378" t="s">
        <v>262</v>
      </c>
      <c r="AN1378" t="s">
        <v>4024</v>
      </c>
    </row>
    <row r="1379" spans="1:40" x14ac:dyDescent="0.35">
      <c r="A1379">
        <v>6317375</v>
      </c>
      <c r="B1379" t="s">
        <v>4025</v>
      </c>
      <c r="C1379" t="str">
        <f>""</f>
        <v/>
      </c>
      <c r="D1379" t="str">
        <f>"9789179298258"</f>
        <v>9789179298258</v>
      </c>
      <c r="E1379" t="s">
        <v>3642</v>
      </c>
      <c r="F1379" t="s">
        <v>3642</v>
      </c>
      <c r="G1379" s="1">
        <v>44061</v>
      </c>
      <c r="H1379" s="1">
        <v>44067</v>
      </c>
      <c r="I1379" t="s">
        <v>189</v>
      </c>
      <c r="J1379">
        <v>1</v>
      </c>
      <c r="L1379" t="s">
        <v>4026</v>
      </c>
      <c r="Q1379" t="s">
        <v>3775</v>
      </c>
      <c r="R1379" t="s">
        <v>261</v>
      </c>
      <c r="S1379" t="s">
        <v>261</v>
      </c>
      <c r="T1379" t="s">
        <v>261</v>
      </c>
      <c r="U1379" t="s">
        <v>261</v>
      </c>
      <c r="V1379" t="s">
        <v>262</v>
      </c>
      <c r="W1379" t="s">
        <v>261</v>
      </c>
      <c r="X1379" t="s">
        <v>261</v>
      </c>
      <c r="Y1379" t="s">
        <v>261</v>
      </c>
      <c r="AD1379" t="s">
        <v>261</v>
      </c>
      <c r="AH1379" t="s">
        <v>262</v>
      </c>
      <c r="AI1379" t="s">
        <v>261</v>
      </c>
      <c r="AJ1379" t="s">
        <v>261</v>
      </c>
      <c r="AK1379" t="s">
        <v>261</v>
      </c>
      <c r="AM1379" t="s">
        <v>262</v>
      </c>
      <c r="AN1379" t="s">
        <v>4027</v>
      </c>
    </row>
    <row r="1380" spans="1:40" x14ac:dyDescent="0.35">
      <c r="A1380">
        <v>6317376</v>
      </c>
      <c r="B1380" t="s">
        <v>4028</v>
      </c>
      <c r="C1380" t="str">
        <f>""</f>
        <v/>
      </c>
      <c r="D1380" t="str">
        <f>"9789179298388"</f>
        <v>9789179298388</v>
      </c>
      <c r="E1380" t="s">
        <v>3642</v>
      </c>
      <c r="F1380" t="s">
        <v>3642</v>
      </c>
      <c r="G1380" s="1">
        <v>44052</v>
      </c>
      <c r="H1380" s="1">
        <v>44067</v>
      </c>
      <c r="I1380" t="s">
        <v>189</v>
      </c>
      <c r="J1380">
        <v>1</v>
      </c>
      <c r="L1380" t="s">
        <v>4029</v>
      </c>
      <c r="Q1380" t="s">
        <v>3775</v>
      </c>
      <c r="R1380" t="s">
        <v>261</v>
      </c>
      <c r="S1380" t="s">
        <v>261</v>
      </c>
      <c r="T1380" t="s">
        <v>261</v>
      </c>
      <c r="U1380" t="s">
        <v>261</v>
      </c>
      <c r="V1380" t="s">
        <v>262</v>
      </c>
      <c r="W1380" t="s">
        <v>261</v>
      </c>
      <c r="X1380" t="s">
        <v>261</v>
      </c>
      <c r="Y1380" t="s">
        <v>261</v>
      </c>
      <c r="AD1380" t="s">
        <v>261</v>
      </c>
      <c r="AH1380" t="s">
        <v>262</v>
      </c>
      <c r="AI1380" t="s">
        <v>261</v>
      </c>
      <c r="AJ1380" t="s">
        <v>261</v>
      </c>
      <c r="AK1380" t="s">
        <v>261</v>
      </c>
      <c r="AM1380" t="s">
        <v>262</v>
      </c>
      <c r="AN1380" t="s">
        <v>4030</v>
      </c>
    </row>
    <row r="1381" spans="1:40" x14ac:dyDescent="0.35">
      <c r="A1381">
        <v>6320909</v>
      </c>
      <c r="B1381" t="s">
        <v>4031</v>
      </c>
      <c r="C1381" t="str">
        <f>"9783030510183"</f>
        <v>9783030510183</v>
      </c>
      <c r="D1381" t="str">
        <f>"9783030510190"</f>
        <v>9783030510190</v>
      </c>
      <c r="E1381" t="s">
        <v>2289</v>
      </c>
      <c r="F1381" t="s">
        <v>2290</v>
      </c>
      <c r="G1381" s="1">
        <v>44071</v>
      </c>
      <c r="H1381" s="1">
        <v>44279</v>
      </c>
      <c r="I1381" t="s">
        <v>189</v>
      </c>
      <c r="L1381" t="s">
        <v>4032</v>
      </c>
      <c r="M1381" t="s">
        <v>316</v>
      </c>
      <c r="N1381" t="s">
        <v>4033</v>
      </c>
      <c r="Q1381" t="s">
        <v>260</v>
      </c>
      <c r="R1381" t="s">
        <v>261</v>
      </c>
      <c r="S1381" t="s">
        <v>261</v>
      </c>
      <c r="T1381" t="s">
        <v>261</v>
      </c>
      <c r="U1381" t="s">
        <v>262</v>
      </c>
      <c r="V1381" t="s">
        <v>262</v>
      </c>
      <c r="W1381" t="s">
        <v>261</v>
      </c>
      <c r="X1381" t="s">
        <v>262</v>
      </c>
      <c r="Y1381" t="s">
        <v>261</v>
      </c>
      <c r="Z1381" t="s">
        <v>409</v>
      </c>
      <c r="AA1381" t="s">
        <v>409</v>
      </c>
      <c r="AB1381" t="s">
        <v>409</v>
      </c>
      <c r="AC1381" t="s">
        <v>409</v>
      </c>
      <c r="AD1381" t="s">
        <v>261</v>
      </c>
      <c r="AH1381" t="s">
        <v>262</v>
      </c>
      <c r="AI1381" t="s">
        <v>262</v>
      </c>
      <c r="AJ1381" t="s">
        <v>261</v>
      </c>
      <c r="AK1381" t="s">
        <v>261</v>
      </c>
      <c r="AM1381" t="s">
        <v>262</v>
      </c>
      <c r="AN1381" t="s">
        <v>4034</v>
      </c>
    </row>
    <row r="1382" spans="1:40" x14ac:dyDescent="0.35">
      <c r="A1382">
        <v>6320928</v>
      </c>
      <c r="B1382" t="s">
        <v>4035</v>
      </c>
      <c r="C1382" t="str">
        <f>"9783030431976"</f>
        <v>9783030431976</v>
      </c>
      <c r="D1382" t="str">
        <f>"9783030431983"</f>
        <v>9783030431983</v>
      </c>
      <c r="E1382" t="s">
        <v>2289</v>
      </c>
      <c r="F1382" t="s">
        <v>2663</v>
      </c>
      <c r="G1382" s="1">
        <v>44124</v>
      </c>
      <c r="H1382" s="1">
        <v>44102</v>
      </c>
      <c r="I1382" t="s">
        <v>189</v>
      </c>
      <c r="K1382" t="s">
        <v>4036</v>
      </c>
      <c r="L1382" t="s">
        <v>4037</v>
      </c>
    </row>
    <row r="1383" spans="1:40" x14ac:dyDescent="0.35">
      <c r="A1383">
        <v>6321296</v>
      </c>
      <c r="B1383" t="s">
        <v>4038</v>
      </c>
      <c r="C1383" t="str">
        <f>"9783030505547"</f>
        <v>9783030505547</v>
      </c>
      <c r="D1383" t="str">
        <f>"9783030505554"</f>
        <v>9783030505554</v>
      </c>
      <c r="E1383" t="s">
        <v>2289</v>
      </c>
      <c r="F1383" t="s">
        <v>2290</v>
      </c>
      <c r="G1383" s="1">
        <v>44072</v>
      </c>
      <c r="H1383" s="1">
        <v>44102</v>
      </c>
      <c r="I1383" t="s">
        <v>189</v>
      </c>
      <c r="K1383" t="s">
        <v>4039</v>
      </c>
      <c r="L1383" t="s">
        <v>96</v>
      </c>
    </row>
    <row r="1384" spans="1:40" x14ac:dyDescent="0.35">
      <c r="A1384">
        <v>6321302</v>
      </c>
      <c r="B1384" t="s">
        <v>4040</v>
      </c>
      <c r="C1384" t="str">
        <f>"9783030562816"</f>
        <v>9783030562816</v>
      </c>
      <c r="D1384" t="str">
        <f>"9783030562823"</f>
        <v>9783030562823</v>
      </c>
      <c r="E1384" t="s">
        <v>2289</v>
      </c>
      <c r="F1384" t="s">
        <v>2290</v>
      </c>
      <c r="G1384" s="1">
        <v>44071</v>
      </c>
      <c r="H1384" s="1">
        <v>44279</v>
      </c>
      <c r="I1384" t="s">
        <v>189</v>
      </c>
      <c r="K1384" t="s">
        <v>4041</v>
      </c>
      <c r="L1384" t="s">
        <v>4042</v>
      </c>
    </row>
    <row r="1385" spans="1:40" x14ac:dyDescent="0.35">
      <c r="A1385">
        <v>6321303</v>
      </c>
      <c r="B1385" t="s">
        <v>4043</v>
      </c>
      <c r="C1385" t="str">
        <f>"9783030508401"</f>
        <v>9783030508401</v>
      </c>
      <c r="D1385" t="str">
        <f>"9783030508418"</f>
        <v>9783030508418</v>
      </c>
      <c r="E1385" t="s">
        <v>2289</v>
      </c>
      <c r="F1385" t="s">
        <v>2290</v>
      </c>
      <c r="G1385" s="1">
        <v>44072</v>
      </c>
      <c r="H1385" s="1">
        <v>44279</v>
      </c>
      <c r="I1385" t="s">
        <v>189</v>
      </c>
      <c r="K1385" t="s">
        <v>4044</v>
      </c>
      <c r="L1385" t="s">
        <v>4045</v>
      </c>
    </row>
    <row r="1386" spans="1:40" x14ac:dyDescent="0.35">
      <c r="A1386">
        <v>6321305</v>
      </c>
      <c r="B1386" t="s">
        <v>4046</v>
      </c>
      <c r="C1386" t="str">
        <f>"9783662610329"</f>
        <v>9783662610329</v>
      </c>
      <c r="D1386" t="str">
        <f>"9783662610336"</f>
        <v>9783662610336</v>
      </c>
      <c r="E1386" t="s">
        <v>4047</v>
      </c>
      <c r="F1386" t="s">
        <v>4048</v>
      </c>
      <c r="G1386" s="1">
        <v>44072</v>
      </c>
      <c r="H1386" s="1">
        <v>44567</v>
      </c>
      <c r="I1386" t="s">
        <v>189</v>
      </c>
      <c r="L1386" t="s">
        <v>4049</v>
      </c>
    </row>
    <row r="1387" spans="1:40" x14ac:dyDescent="0.35">
      <c r="A1387">
        <v>6321945</v>
      </c>
      <c r="B1387" t="s">
        <v>4050</v>
      </c>
      <c r="C1387" t="str">
        <f>""</f>
        <v/>
      </c>
      <c r="D1387" t="str">
        <f>"9789179298197"</f>
        <v>9789179298197</v>
      </c>
      <c r="E1387" t="s">
        <v>3642</v>
      </c>
      <c r="F1387" t="s">
        <v>3642</v>
      </c>
      <c r="G1387" s="1">
        <v>44071</v>
      </c>
      <c r="H1387" s="1">
        <v>44074</v>
      </c>
      <c r="I1387" t="s">
        <v>189</v>
      </c>
      <c r="J1387">
        <v>1</v>
      </c>
      <c r="L1387" t="s">
        <v>4051</v>
      </c>
      <c r="Q1387" t="s">
        <v>3775</v>
      </c>
      <c r="R1387" t="s">
        <v>261</v>
      </c>
      <c r="S1387" t="s">
        <v>261</v>
      </c>
      <c r="T1387" t="s">
        <v>261</v>
      </c>
      <c r="U1387" t="s">
        <v>261</v>
      </c>
      <c r="V1387" t="s">
        <v>262</v>
      </c>
      <c r="W1387" t="s">
        <v>261</v>
      </c>
      <c r="X1387" t="s">
        <v>261</v>
      </c>
      <c r="Y1387" t="s">
        <v>261</v>
      </c>
      <c r="AD1387" t="s">
        <v>261</v>
      </c>
      <c r="AH1387" t="s">
        <v>262</v>
      </c>
      <c r="AI1387" t="s">
        <v>261</v>
      </c>
      <c r="AJ1387" t="s">
        <v>261</v>
      </c>
      <c r="AK1387" t="s">
        <v>261</v>
      </c>
      <c r="AM1387" t="s">
        <v>262</v>
      </c>
      <c r="AN1387" t="s">
        <v>4052</v>
      </c>
    </row>
    <row r="1388" spans="1:40" x14ac:dyDescent="0.35">
      <c r="A1388">
        <v>6321946</v>
      </c>
      <c r="B1388" t="s">
        <v>4053</v>
      </c>
      <c r="C1388" t="str">
        <f>""</f>
        <v/>
      </c>
      <c r="D1388" t="str">
        <f>"9789179298227"</f>
        <v>9789179298227</v>
      </c>
      <c r="E1388" t="s">
        <v>3642</v>
      </c>
      <c r="F1388" t="s">
        <v>3642</v>
      </c>
      <c r="G1388" s="1">
        <v>44053</v>
      </c>
      <c r="H1388" s="1">
        <v>44081</v>
      </c>
      <c r="I1388" t="s">
        <v>189</v>
      </c>
      <c r="J1388">
        <v>1</v>
      </c>
      <c r="L1388" t="s">
        <v>4054</v>
      </c>
      <c r="Q1388" t="s">
        <v>3775</v>
      </c>
      <c r="R1388" t="s">
        <v>261</v>
      </c>
      <c r="S1388" t="s">
        <v>261</v>
      </c>
      <c r="T1388" t="s">
        <v>261</v>
      </c>
      <c r="U1388" t="s">
        <v>261</v>
      </c>
      <c r="V1388" t="s">
        <v>262</v>
      </c>
      <c r="W1388" t="s">
        <v>261</v>
      </c>
      <c r="X1388" t="s">
        <v>261</v>
      </c>
      <c r="Y1388" t="s">
        <v>261</v>
      </c>
      <c r="AD1388" t="s">
        <v>261</v>
      </c>
      <c r="AH1388" t="s">
        <v>262</v>
      </c>
      <c r="AI1388" t="s">
        <v>261</v>
      </c>
      <c r="AJ1388" t="s">
        <v>261</v>
      </c>
      <c r="AK1388" t="s">
        <v>261</v>
      </c>
      <c r="AM1388" t="s">
        <v>262</v>
      </c>
      <c r="AN1388" t="s">
        <v>4055</v>
      </c>
    </row>
    <row r="1389" spans="1:40" x14ac:dyDescent="0.35">
      <c r="A1389">
        <v>6321947</v>
      </c>
      <c r="B1389" t="s">
        <v>4056</v>
      </c>
      <c r="C1389" t="str">
        <f>""</f>
        <v/>
      </c>
      <c r="D1389" t="str">
        <f>"9789179298289"</f>
        <v>9789179298289</v>
      </c>
      <c r="E1389" t="s">
        <v>3642</v>
      </c>
      <c r="F1389" t="s">
        <v>3642</v>
      </c>
      <c r="G1389" s="1">
        <v>44013</v>
      </c>
      <c r="H1389" s="1">
        <v>44074</v>
      </c>
      <c r="I1389" t="s">
        <v>189</v>
      </c>
      <c r="J1389">
        <v>1</v>
      </c>
      <c r="L1389" t="s">
        <v>4057</v>
      </c>
      <c r="Q1389" t="s">
        <v>3775</v>
      </c>
      <c r="R1389" t="s">
        <v>261</v>
      </c>
      <c r="S1389" t="s">
        <v>261</v>
      </c>
      <c r="T1389" t="s">
        <v>261</v>
      </c>
      <c r="U1389" t="s">
        <v>261</v>
      </c>
      <c r="V1389" t="s">
        <v>262</v>
      </c>
      <c r="W1389" t="s">
        <v>261</v>
      </c>
      <c r="X1389" t="s">
        <v>261</v>
      </c>
      <c r="Y1389" t="s">
        <v>261</v>
      </c>
      <c r="AD1389" t="s">
        <v>261</v>
      </c>
      <c r="AH1389" t="s">
        <v>262</v>
      </c>
      <c r="AI1389" t="s">
        <v>261</v>
      </c>
      <c r="AJ1389" t="s">
        <v>261</v>
      </c>
      <c r="AK1389" t="s">
        <v>261</v>
      </c>
      <c r="AM1389" t="s">
        <v>262</v>
      </c>
      <c r="AN1389" t="s">
        <v>4058</v>
      </c>
    </row>
    <row r="1390" spans="1:40" x14ac:dyDescent="0.35">
      <c r="A1390">
        <v>6321948</v>
      </c>
      <c r="B1390" t="s">
        <v>4059</v>
      </c>
      <c r="C1390" t="str">
        <f>""</f>
        <v/>
      </c>
      <c r="D1390" t="str">
        <f>"9789179297954"</f>
        <v>9789179297954</v>
      </c>
      <c r="E1390" t="s">
        <v>3642</v>
      </c>
      <c r="F1390" t="s">
        <v>3642</v>
      </c>
      <c r="G1390" s="1">
        <v>44067</v>
      </c>
      <c r="H1390" s="1">
        <v>44081</v>
      </c>
      <c r="I1390" t="s">
        <v>189</v>
      </c>
      <c r="J1390">
        <v>1</v>
      </c>
      <c r="L1390" t="s">
        <v>4060</v>
      </c>
      <c r="Q1390" t="s">
        <v>3775</v>
      </c>
      <c r="R1390" t="s">
        <v>261</v>
      </c>
      <c r="S1390" t="s">
        <v>261</v>
      </c>
      <c r="T1390" t="s">
        <v>261</v>
      </c>
      <c r="U1390" t="s">
        <v>261</v>
      </c>
      <c r="V1390" t="s">
        <v>262</v>
      </c>
      <c r="W1390" t="s">
        <v>261</v>
      </c>
      <c r="X1390" t="s">
        <v>261</v>
      </c>
      <c r="Y1390" t="s">
        <v>261</v>
      </c>
      <c r="AD1390" t="s">
        <v>261</v>
      </c>
      <c r="AH1390" t="s">
        <v>262</v>
      </c>
      <c r="AI1390" t="s">
        <v>261</v>
      </c>
      <c r="AJ1390" t="s">
        <v>261</v>
      </c>
      <c r="AK1390" t="s">
        <v>261</v>
      </c>
      <c r="AM1390" t="s">
        <v>262</v>
      </c>
      <c r="AN1390" t="s">
        <v>4061</v>
      </c>
    </row>
    <row r="1391" spans="1:40" x14ac:dyDescent="0.35">
      <c r="A1391">
        <v>6331579</v>
      </c>
      <c r="B1391" t="s">
        <v>4062</v>
      </c>
      <c r="C1391" t="str">
        <f>"9783658313074"</f>
        <v>9783658313074</v>
      </c>
      <c r="D1391" t="str">
        <f>"9783658313081"</f>
        <v>9783658313081</v>
      </c>
      <c r="E1391" t="s">
        <v>3972</v>
      </c>
      <c r="F1391" t="s">
        <v>3998</v>
      </c>
      <c r="G1391" s="1">
        <v>44129</v>
      </c>
      <c r="H1391" s="1">
        <v>44567</v>
      </c>
      <c r="I1391" t="s">
        <v>189</v>
      </c>
      <c r="L1391" t="s">
        <v>4063</v>
      </c>
      <c r="M1391" t="s">
        <v>329</v>
      </c>
      <c r="N1391" t="s">
        <v>4064</v>
      </c>
      <c r="Q1391" t="s">
        <v>408</v>
      </c>
      <c r="R1391" t="s">
        <v>261</v>
      </c>
      <c r="S1391" t="s">
        <v>261</v>
      </c>
      <c r="T1391" t="s">
        <v>261</v>
      </c>
      <c r="U1391" t="s">
        <v>262</v>
      </c>
      <c r="V1391" t="s">
        <v>262</v>
      </c>
      <c r="W1391" t="s">
        <v>261</v>
      </c>
      <c r="X1391" t="s">
        <v>261</v>
      </c>
      <c r="Y1391" t="s">
        <v>261</v>
      </c>
      <c r="Z1391" t="s">
        <v>409</v>
      </c>
      <c r="AA1391" t="s">
        <v>409</v>
      </c>
      <c r="AB1391" t="s">
        <v>409</v>
      </c>
      <c r="AC1391" t="s">
        <v>409</v>
      </c>
      <c r="AD1391" t="s">
        <v>261</v>
      </c>
      <c r="AH1391" t="s">
        <v>262</v>
      </c>
      <c r="AI1391" t="s">
        <v>262</v>
      </c>
      <c r="AJ1391" t="s">
        <v>261</v>
      </c>
      <c r="AK1391" t="s">
        <v>261</v>
      </c>
      <c r="AM1391" t="s">
        <v>262</v>
      </c>
      <c r="AN1391" t="s">
        <v>4065</v>
      </c>
    </row>
    <row r="1392" spans="1:40" x14ac:dyDescent="0.35">
      <c r="A1392">
        <v>6331586</v>
      </c>
      <c r="B1392" t="s">
        <v>4066</v>
      </c>
      <c r="C1392" t="str">
        <f>"9783030382063"</f>
        <v>9783030382063</v>
      </c>
      <c r="D1392" t="str">
        <f>"9783030382070"</f>
        <v>9783030382070</v>
      </c>
      <c r="E1392" t="s">
        <v>2289</v>
      </c>
      <c r="F1392" t="s">
        <v>2290</v>
      </c>
      <c r="G1392" s="1">
        <v>44103</v>
      </c>
      <c r="H1392" s="1">
        <v>44102</v>
      </c>
      <c r="I1392" t="s">
        <v>189</v>
      </c>
      <c r="L1392" t="s">
        <v>4067</v>
      </c>
      <c r="M1392" t="s">
        <v>535</v>
      </c>
    </row>
    <row r="1393" spans="1:40" x14ac:dyDescent="0.35">
      <c r="A1393">
        <v>6331588</v>
      </c>
      <c r="B1393" t="s">
        <v>4068</v>
      </c>
      <c r="C1393" t="str">
        <f>"9783662614532"</f>
        <v>9783662614532</v>
      </c>
      <c r="D1393" t="str">
        <f>"9783662614549"</f>
        <v>9783662614549</v>
      </c>
      <c r="E1393" t="s">
        <v>4047</v>
      </c>
      <c r="F1393" t="s">
        <v>4048</v>
      </c>
      <c r="G1393" s="1">
        <v>44076</v>
      </c>
      <c r="H1393" s="1">
        <v>44567</v>
      </c>
      <c r="I1393" t="s">
        <v>189</v>
      </c>
      <c r="L1393" t="s">
        <v>4069</v>
      </c>
      <c r="M1393" t="s">
        <v>535</v>
      </c>
    </row>
    <row r="1394" spans="1:40" x14ac:dyDescent="0.35">
      <c r="A1394">
        <v>6331612</v>
      </c>
      <c r="B1394" t="s">
        <v>4070</v>
      </c>
      <c r="C1394" t="str">
        <f>"9789811555534"</f>
        <v>9789811555534</v>
      </c>
      <c r="D1394" t="str">
        <f>"9789811555541"</f>
        <v>9789811555541</v>
      </c>
      <c r="E1394" t="s">
        <v>3404</v>
      </c>
      <c r="F1394" t="s">
        <v>2290</v>
      </c>
      <c r="G1394" s="1">
        <v>44076</v>
      </c>
      <c r="H1394" s="1">
        <v>44279</v>
      </c>
      <c r="I1394" t="s">
        <v>189</v>
      </c>
      <c r="K1394" t="s">
        <v>4071</v>
      </c>
      <c r="L1394" t="s">
        <v>4072</v>
      </c>
    </row>
    <row r="1395" spans="1:40" x14ac:dyDescent="0.35">
      <c r="A1395">
        <v>6331614</v>
      </c>
      <c r="B1395" t="s">
        <v>4073</v>
      </c>
      <c r="C1395" t="str">
        <f>"9783658313210"</f>
        <v>9783658313210</v>
      </c>
      <c r="D1395" t="str">
        <f>"9783658313227"</f>
        <v>9783658313227</v>
      </c>
      <c r="E1395" t="s">
        <v>3972</v>
      </c>
      <c r="F1395" t="s">
        <v>3972</v>
      </c>
      <c r="G1395" s="1">
        <v>44128</v>
      </c>
      <c r="H1395" s="1">
        <v>44567</v>
      </c>
      <c r="I1395" t="s">
        <v>189</v>
      </c>
      <c r="K1395" t="s">
        <v>4074</v>
      </c>
      <c r="L1395" t="s">
        <v>4075</v>
      </c>
      <c r="M1395" t="s">
        <v>249</v>
      </c>
      <c r="N1395" t="s">
        <v>3975</v>
      </c>
      <c r="Q1395" t="s">
        <v>408</v>
      </c>
      <c r="R1395" t="s">
        <v>261</v>
      </c>
      <c r="S1395" t="s">
        <v>261</v>
      </c>
      <c r="T1395" t="s">
        <v>261</v>
      </c>
      <c r="U1395" t="s">
        <v>262</v>
      </c>
      <c r="V1395" t="s">
        <v>262</v>
      </c>
      <c r="W1395" t="s">
        <v>261</v>
      </c>
      <c r="X1395" t="s">
        <v>261</v>
      </c>
      <c r="Y1395" t="s">
        <v>261</v>
      </c>
      <c r="Z1395" t="s">
        <v>409</v>
      </c>
      <c r="AA1395" t="s">
        <v>409</v>
      </c>
      <c r="AB1395" t="s">
        <v>409</v>
      </c>
      <c r="AC1395" t="s">
        <v>409</v>
      </c>
      <c r="AD1395" t="s">
        <v>261</v>
      </c>
      <c r="AH1395" t="s">
        <v>262</v>
      </c>
      <c r="AI1395" t="s">
        <v>262</v>
      </c>
      <c r="AJ1395" t="s">
        <v>261</v>
      </c>
      <c r="AK1395" t="s">
        <v>261</v>
      </c>
      <c r="AM1395" t="s">
        <v>262</v>
      </c>
      <c r="AN1395" t="s">
        <v>4076</v>
      </c>
    </row>
    <row r="1396" spans="1:40" x14ac:dyDescent="0.35">
      <c r="A1396">
        <v>6331615</v>
      </c>
      <c r="B1396" t="s">
        <v>4077</v>
      </c>
      <c r="C1396" t="str">
        <f>"9783030353179"</f>
        <v>9783030353179</v>
      </c>
      <c r="D1396" t="str">
        <f>"9783030353186"</f>
        <v>9783030353186</v>
      </c>
      <c r="E1396" t="s">
        <v>2289</v>
      </c>
      <c r="F1396" t="s">
        <v>2290</v>
      </c>
      <c r="G1396" s="1">
        <v>44135</v>
      </c>
      <c r="H1396" s="1">
        <v>44896</v>
      </c>
      <c r="I1396" t="s">
        <v>189</v>
      </c>
      <c r="L1396" t="s">
        <v>4078</v>
      </c>
    </row>
    <row r="1397" spans="1:40" x14ac:dyDescent="0.35">
      <c r="A1397">
        <v>6331621</v>
      </c>
      <c r="B1397" t="s">
        <v>4079</v>
      </c>
      <c r="C1397" t="str">
        <f>"9783662613610"</f>
        <v>9783662613610</v>
      </c>
      <c r="D1397" t="str">
        <f>"9783662613627"</f>
        <v>9783662613627</v>
      </c>
      <c r="E1397" t="s">
        <v>4047</v>
      </c>
      <c r="F1397" t="s">
        <v>2290</v>
      </c>
      <c r="G1397" s="1">
        <v>44075</v>
      </c>
      <c r="H1397" s="1">
        <v>44567</v>
      </c>
      <c r="I1397" t="s">
        <v>189</v>
      </c>
      <c r="L1397" t="s">
        <v>4080</v>
      </c>
    </row>
    <row r="1398" spans="1:40" x14ac:dyDescent="0.35">
      <c r="A1398">
        <v>6331638</v>
      </c>
      <c r="B1398" t="s">
        <v>4081</v>
      </c>
      <c r="C1398" t="str">
        <f>"9783030360702"</f>
        <v>9783030360702</v>
      </c>
      <c r="D1398" t="str">
        <f>"9783030360719"</f>
        <v>9783030360719</v>
      </c>
      <c r="E1398" t="s">
        <v>2289</v>
      </c>
      <c r="F1398" t="s">
        <v>2290</v>
      </c>
      <c r="G1398" s="1">
        <v>44076</v>
      </c>
      <c r="H1398" s="1">
        <v>44196</v>
      </c>
      <c r="I1398" t="s">
        <v>189</v>
      </c>
      <c r="L1398" t="s">
        <v>4082</v>
      </c>
    </row>
    <row r="1399" spans="1:40" x14ac:dyDescent="0.35">
      <c r="A1399">
        <v>6335317</v>
      </c>
      <c r="B1399" t="s">
        <v>4083</v>
      </c>
      <c r="C1399" t="str">
        <f>"9783662620120"</f>
        <v>9783662620120</v>
      </c>
      <c r="D1399" t="str">
        <f>"9783662620137"</f>
        <v>9783662620137</v>
      </c>
      <c r="E1399" t="s">
        <v>4047</v>
      </c>
      <c r="F1399" t="s">
        <v>4084</v>
      </c>
      <c r="G1399" s="1">
        <v>44077</v>
      </c>
      <c r="H1399" s="1">
        <v>44567</v>
      </c>
      <c r="I1399" t="s">
        <v>189</v>
      </c>
      <c r="L1399" t="s">
        <v>4085</v>
      </c>
    </row>
    <row r="1400" spans="1:40" x14ac:dyDescent="0.35">
      <c r="A1400">
        <v>6335319</v>
      </c>
      <c r="B1400" t="s">
        <v>4086</v>
      </c>
      <c r="C1400" t="str">
        <f>"9783030452155"</f>
        <v>9783030452155</v>
      </c>
      <c r="D1400" t="str">
        <f>"9783030452162"</f>
        <v>9783030452162</v>
      </c>
      <c r="E1400" t="s">
        <v>2289</v>
      </c>
      <c r="F1400" t="s">
        <v>2290</v>
      </c>
      <c r="G1400" s="1">
        <v>44077</v>
      </c>
      <c r="H1400" s="1">
        <v>44581</v>
      </c>
      <c r="I1400" t="s">
        <v>189</v>
      </c>
      <c r="L1400" t="s">
        <v>4087</v>
      </c>
    </row>
    <row r="1401" spans="1:40" x14ac:dyDescent="0.35">
      <c r="A1401">
        <v>6336113</v>
      </c>
      <c r="B1401" t="s">
        <v>4088</v>
      </c>
      <c r="C1401" t="str">
        <f>"9781478008835"</f>
        <v>9781478008835</v>
      </c>
      <c r="D1401" t="str">
        <f>"9781478012313"</f>
        <v>9781478012313</v>
      </c>
      <c r="E1401" t="s">
        <v>687</v>
      </c>
      <c r="F1401" t="s">
        <v>687</v>
      </c>
      <c r="G1401" s="1">
        <v>44113</v>
      </c>
      <c r="H1401" s="1">
        <v>44079</v>
      </c>
      <c r="I1401" t="s">
        <v>189</v>
      </c>
      <c r="J1401">
        <v>1</v>
      </c>
      <c r="K1401" t="s">
        <v>4089</v>
      </c>
      <c r="L1401" t="s">
        <v>4090</v>
      </c>
      <c r="M1401" t="s">
        <v>578</v>
      </c>
      <c r="N1401" t="s">
        <v>4091</v>
      </c>
      <c r="O1401">
        <v>700</v>
      </c>
      <c r="Q1401" t="s">
        <v>260</v>
      </c>
      <c r="R1401" t="s">
        <v>261</v>
      </c>
      <c r="S1401" t="s">
        <v>261</v>
      </c>
      <c r="T1401" t="s">
        <v>261</v>
      </c>
      <c r="U1401" t="s">
        <v>261</v>
      </c>
      <c r="V1401" t="s">
        <v>262</v>
      </c>
      <c r="W1401" t="s">
        <v>261</v>
      </c>
      <c r="X1401" t="s">
        <v>261</v>
      </c>
      <c r="Y1401" t="s">
        <v>261</v>
      </c>
      <c r="Z1401" t="s">
        <v>409</v>
      </c>
      <c r="AB1401" t="s">
        <v>409</v>
      </c>
      <c r="AC1401" t="s">
        <v>409</v>
      </c>
      <c r="AD1401" t="s">
        <v>262</v>
      </c>
      <c r="AH1401" t="s">
        <v>262</v>
      </c>
      <c r="AI1401" t="s">
        <v>262</v>
      </c>
      <c r="AJ1401" t="s">
        <v>261</v>
      </c>
      <c r="AK1401" t="s">
        <v>261</v>
      </c>
      <c r="AM1401" t="s">
        <v>262</v>
      </c>
      <c r="AN1401" t="s">
        <v>4092</v>
      </c>
    </row>
    <row r="1402" spans="1:40" x14ac:dyDescent="0.35">
      <c r="A1402">
        <v>6336115</v>
      </c>
      <c r="B1402" t="s">
        <v>4093</v>
      </c>
      <c r="C1402" t="str">
        <f>"9781478009818"</f>
        <v>9781478009818</v>
      </c>
      <c r="D1402" t="str">
        <f>"9781478012405"</f>
        <v>9781478012405</v>
      </c>
      <c r="E1402" t="s">
        <v>687</v>
      </c>
      <c r="F1402" t="s">
        <v>687</v>
      </c>
      <c r="G1402" s="1">
        <v>44106</v>
      </c>
      <c r="H1402" s="1">
        <v>44079</v>
      </c>
      <c r="I1402" t="s">
        <v>189</v>
      </c>
      <c r="J1402">
        <v>1</v>
      </c>
      <c r="L1402" t="s">
        <v>4094</v>
      </c>
      <c r="M1402" t="s">
        <v>535</v>
      </c>
    </row>
    <row r="1403" spans="1:40" x14ac:dyDescent="0.35">
      <c r="A1403">
        <v>6336345</v>
      </c>
      <c r="B1403" t="s">
        <v>4095</v>
      </c>
      <c r="C1403" t="str">
        <f>"9783030530808"</f>
        <v>9783030530808</v>
      </c>
      <c r="D1403" t="str">
        <f>"9783030530815"</f>
        <v>9783030530815</v>
      </c>
      <c r="E1403" t="s">
        <v>2289</v>
      </c>
      <c r="F1403" t="s">
        <v>2290</v>
      </c>
      <c r="G1403" s="1">
        <v>44078</v>
      </c>
      <c r="H1403" s="1">
        <v>44581</v>
      </c>
      <c r="I1403" t="s">
        <v>189</v>
      </c>
      <c r="K1403" t="s">
        <v>4096</v>
      </c>
      <c r="L1403" t="s">
        <v>4097</v>
      </c>
      <c r="M1403" t="s">
        <v>323</v>
      </c>
      <c r="N1403" t="s">
        <v>4098</v>
      </c>
      <c r="Q1403" t="s">
        <v>260</v>
      </c>
      <c r="R1403" t="s">
        <v>261</v>
      </c>
      <c r="S1403" t="s">
        <v>261</v>
      </c>
      <c r="T1403" t="s">
        <v>261</v>
      </c>
      <c r="U1403" t="s">
        <v>262</v>
      </c>
      <c r="V1403" t="s">
        <v>262</v>
      </c>
      <c r="W1403" t="s">
        <v>261</v>
      </c>
      <c r="X1403" t="s">
        <v>261</v>
      </c>
      <c r="Y1403" t="s">
        <v>261</v>
      </c>
      <c r="Z1403" t="s">
        <v>409</v>
      </c>
      <c r="AA1403" t="s">
        <v>409</v>
      </c>
      <c r="AB1403" t="s">
        <v>409</v>
      </c>
      <c r="AC1403" t="s">
        <v>409</v>
      </c>
      <c r="AD1403" t="s">
        <v>261</v>
      </c>
      <c r="AH1403" t="s">
        <v>262</v>
      </c>
      <c r="AI1403" t="s">
        <v>262</v>
      </c>
      <c r="AJ1403" t="s">
        <v>261</v>
      </c>
      <c r="AK1403" t="s">
        <v>261</v>
      </c>
      <c r="AM1403" t="s">
        <v>262</v>
      </c>
      <c r="AN1403" t="s">
        <v>4099</v>
      </c>
    </row>
    <row r="1404" spans="1:40" x14ac:dyDescent="0.35">
      <c r="A1404">
        <v>6336388</v>
      </c>
      <c r="B1404" t="s">
        <v>4100</v>
      </c>
      <c r="C1404" t="str">
        <f>"9783030526726"</f>
        <v>9783030526726</v>
      </c>
      <c r="D1404" t="str">
        <f>"9783030526733"</f>
        <v>9783030526733</v>
      </c>
      <c r="E1404" t="s">
        <v>2289</v>
      </c>
      <c r="F1404" t="s">
        <v>2290</v>
      </c>
      <c r="G1404" s="1">
        <v>44078</v>
      </c>
      <c r="H1404" s="1">
        <v>44279</v>
      </c>
      <c r="I1404" t="s">
        <v>189</v>
      </c>
      <c r="K1404" t="s">
        <v>4101</v>
      </c>
      <c r="L1404" t="s">
        <v>4102</v>
      </c>
    </row>
    <row r="1405" spans="1:40" x14ac:dyDescent="0.35">
      <c r="A1405">
        <v>6340250</v>
      </c>
      <c r="B1405" t="s">
        <v>4103</v>
      </c>
      <c r="C1405" t="str">
        <f>"9783030581466"</f>
        <v>9783030581466</v>
      </c>
      <c r="D1405" t="str">
        <f>"9783030581473"</f>
        <v>9783030581473</v>
      </c>
      <c r="E1405" t="s">
        <v>2289</v>
      </c>
      <c r="F1405" t="s">
        <v>2290</v>
      </c>
      <c r="G1405" s="1">
        <v>44079</v>
      </c>
      <c r="H1405" s="1">
        <v>44581</v>
      </c>
      <c r="I1405" t="s">
        <v>189</v>
      </c>
      <c r="K1405" t="s">
        <v>4008</v>
      </c>
      <c r="L1405" t="s">
        <v>64</v>
      </c>
    </row>
    <row r="1406" spans="1:40" x14ac:dyDescent="0.35">
      <c r="A1406">
        <v>6340287</v>
      </c>
      <c r="B1406" t="s">
        <v>4104</v>
      </c>
      <c r="C1406" t="str">
        <f>""</f>
        <v/>
      </c>
      <c r="D1406" t="str">
        <f>"9789179298173"</f>
        <v>9789179298173</v>
      </c>
      <c r="E1406" t="s">
        <v>3642</v>
      </c>
      <c r="F1406" t="s">
        <v>3642</v>
      </c>
      <c r="G1406" s="1">
        <v>44063</v>
      </c>
      <c r="H1406" s="1">
        <v>44081</v>
      </c>
      <c r="I1406" t="s">
        <v>189</v>
      </c>
      <c r="J1406">
        <v>1</v>
      </c>
      <c r="L1406" t="s">
        <v>4105</v>
      </c>
      <c r="Q1406" t="s">
        <v>260</v>
      </c>
      <c r="R1406" t="s">
        <v>261</v>
      </c>
      <c r="S1406" t="s">
        <v>261</v>
      </c>
      <c r="T1406" t="s">
        <v>261</v>
      </c>
      <c r="U1406" t="s">
        <v>261</v>
      </c>
      <c r="V1406" t="s">
        <v>262</v>
      </c>
      <c r="W1406" t="s">
        <v>261</v>
      </c>
      <c r="X1406" t="s">
        <v>261</v>
      </c>
      <c r="Y1406" t="s">
        <v>261</v>
      </c>
      <c r="AD1406" t="s">
        <v>261</v>
      </c>
      <c r="AH1406" t="s">
        <v>262</v>
      </c>
      <c r="AI1406" t="s">
        <v>261</v>
      </c>
      <c r="AJ1406" t="s">
        <v>261</v>
      </c>
      <c r="AK1406" t="s">
        <v>261</v>
      </c>
      <c r="AM1406" t="s">
        <v>262</v>
      </c>
      <c r="AN1406" t="s">
        <v>4106</v>
      </c>
    </row>
    <row r="1407" spans="1:40" x14ac:dyDescent="0.35">
      <c r="A1407">
        <v>6340288</v>
      </c>
      <c r="B1407" t="s">
        <v>4107</v>
      </c>
      <c r="C1407" t="str">
        <f>""</f>
        <v/>
      </c>
      <c r="D1407" t="str">
        <f>"9789179298340"</f>
        <v>9789179298340</v>
      </c>
      <c r="E1407" t="s">
        <v>3642</v>
      </c>
      <c r="F1407" t="s">
        <v>3642</v>
      </c>
      <c r="G1407" s="1">
        <v>44078</v>
      </c>
      <c r="H1407" s="1">
        <v>44088</v>
      </c>
      <c r="I1407" t="s">
        <v>189</v>
      </c>
      <c r="J1407">
        <v>1</v>
      </c>
      <c r="L1407" t="s">
        <v>4108</v>
      </c>
      <c r="Q1407" t="s">
        <v>260</v>
      </c>
      <c r="R1407" t="s">
        <v>261</v>
      </c>
      <c r="S1407" t="s">
        <v>261</v>
      </c>
      <c r="T1407" t="s">
        <v>261</v>
      </c>
      <c r="U1407" t="s">
        <v>261</v>
      </c>
      <c r="V1407" t="s">
        <v>262</v>
      </c>
      <c r="W1407" t="s">
        <v>261</v>
      </c>
      <c r="X1407" t="s">
        <v>261</v>
      </c>
      <c r="Y1407" t="s">
        <v>261</v>
      </c>
      <c r="AD1407" t="s">
        <v>261</v>
      </c>
      <c r="AH1407" t="s">
        <v>262</v>
      </c>
      <c r="AI1407" t="s">
        <v>261</v>
      </c>
      <c r="AJ1407" t="s">
        <v>261</v>
      </c>
      <c r="AK1407" t="s">
        <v>261</v>
      </c>
      <c r="AM1407" t="s">
        <v>262</v>
      </c>
      <c r="AN1407" t="s">
        <v>4109</v>
      </c>
    </row>
    <row r="1408" spans="1:40" x14ac:dyDescent="0.35">
      <c r="A1408">
        <v>6340289</v>
      </c>
      <c r="B1408" t="s">
        <v>4110</v>
      </c>
      <c r="C1408" t="str">
        <f>""</f>
        <v/>
      </c>
      <c r="D1408" t="str">
        <f>"9789179297916"</f>
        <v>9789179297916</v>
      </c>
      <c r="E1408" t="s">
        <v>3642</v>
      </c>
      <c r="F1408" t="s">
        <v>3642</v>
      </c>
      <c r="G1408" s="1">
        <v>44075</v>
      </c>
      <c r="H1408" s="1">
        <v>44081</v>
      </c>
      <c r="I1408" t="s">
        <v>189</v>
      </c>
      <c r="J1408">
        <v>1</v>
      </c>
      <c r="L1408" t="s">
        <v>4111</v>
      </c>
      <c r="Q1408" t="s">
        <v>260</v>
      </c>
      <c r="R1408" t="s">
        <v>261</v>
      </c>
      <c r="S1408" t="s">
        <v>261</v>
      </c>
      <c r="T1408" t="s">
        <v>261</v>
      </c>
      <c r="U1408" t="s">
        <v>261</v>
      </c>
      <c r="V1408" t="s">
        <v>262</v>
      </c>
      <c r="W1408" t="s">
        <v>261</v>
      </c>
      <c r="X1408" t="s">
        <v>261</v>
      </c>
      <c r="Y1408" t="s">
        <v>261</v>
      </c>
      <c r="AD1408" t="s">
        <v>261</v>
      </c>
      <c r="AH1408" t="s">
        <v>262</v>
      </c>
      <c r="AI1408" t="s">
        <v>261</v>
      </c>
      <c r="AJ1408" t="s">
        <v>261</v>
      </c>
      <c r="AK1408" t="s">
        <v>261</v>
      </c>
      <c r="AM1408" t="s">
        <v>262</v>
      </c>
      <c r="AN1408" t="s">
        <v>4112</v>
      </c>
    </row>
    <row r="1409" spans="1:40" x14ac:dyDescent="0.35">
      <c r="A1409">
        <v>6340291</v>
      </c>
      <c r="B1409" t="s">
        <v>4113</v>
      </c>
      <c r="C1409" t="str">
        <f>""</f>
        <v/>
      </c>
      <c r="D1409" t="str">
        <f>"9789179298296"</f>
        <v>9789179298296</v>
      </c>
      <c r="E1409" t="s">
        <v>3642</v>
      </c>
      <c r="F1409" t="s">
        <v>3642</v>
      </c>
      <c r="G1409" s="1">
        <v>44060</v>
      </c>
      <c r="H1409" s="1">
        <v>44081</v>
      </c>
      <c r="I1409" t="s">
        <v>189</v>
      </c>
      <c r="J1409">
        <v>1</v>
      </c>
      <c r="L1409" t="s">
        <v>4114</v>
      </c>
      <c r="Q1409" t="s">
        <v>3775</v>
      </c>
      <c r="R1409" t="s">
        <v>261</v>
      </c>
      <c r="S1409" t="s">
        <v>261</v>
      </c>
      <c r="T1409" t="s">
        <v>261</v>
      </c>
      <c r="U1409" t="s">
        <v>261</v>
      </c>
      <c r="V1409" t="s">
        <v>262</v>
      </c>
      <c r="W1409" t="s">
        <v>261</v>
      </c>
      <c r="X1409" t="s">
        <v>261</v>
      </c>
      <c r="Y1409" t="s">
        <v>261</v>
      </c>
      <c r="AD1409" t="s">
        <v>261</v>
      </c>
      <c r="AH1409" t="s">
        <v>262</v>
      </c>
      <c r="AI1409" t="s">
        <v>261</v>
      </c>
      <c r="AJ1409" t="s">
        <v>261</v>
      </c>
      <c r="AK1409" t="s">
        <v>261</v>
      </c>
      <c r="AM1409" t="s">
        <v>262</v>
      </c>
      <c r="AN1409" t="s">
        <v>4115</v>
      </c>
    </row>
    <row r="1410" spans="1:40" x14ac:dyDescent="0.35">
      <c r="A1410">
        <v>6341113</v>
      </c>
      <c r="B1410" t="s">
        <v>4116</v>
      </c>
      <c r="C1410" t="str">
        <f>"9783030484842"</f>
        <v>9783030484842</v>
      </c>
      <c r="D1410" t="str">
        <f>"9783030484859"</f>
        <v>9783030484859</v>
      </c>
      <c r="E1410" t="s">
        <v>2289</v>
      </c>
      <c r="F1410" t="s">
        <v>2290</v>
      </c>
      <c r="G1410" s="1">
        <v>44079</v>
      </c>
      <c r="H1410" s="1">
        <v>44196</v>
      </c>
      <c r="I1410" t="s">
        <v>189</v>
      </c>
      <c r="K1410" t="s">
        <v>4117</v>
      </c>
      <c r="L1410" t="s">
        <v>4118</v>
      </c>
    </row>
    <row r="1411" spans="1:40" x14ac:dyDescent="0.35">
      <c r="A1411">
        <v>6348692</v>
      </c>
      <c r="B1411" t="s">
        <v>4119</v>
      </c>
      <c r="C1411" t="str">
        <f>""</f>
        <v/>
      </c>
      <c r="D1411" t="str">
        <f>"9789179298623"</f>
        <v>9789179298623</v>
      </c>
      <c r="E1411" t="s">
        <v>3642</v>
      </c>
      <c r="F1411" t="s">
        <v>3642</v>
      </c>
      <c r="G1411" s="1">
        <v>44083</v>
      </c>
      <c r="H1411" s="1">
        <v>44088</v>
      </c>
      <c r="I1411" t="s">
        <v>189</v>
      </c>
      <c r="J1411">
        <v>1</v>
      </c>
      <c r="L1411" t="s">
        <v>4120</v>
      </c>
      <c r="Q1411" t="s">
        <v>260</v>
      </c>
      <c r="R1411" t="s">
        <v>261</v>
      </c>
      <c r="S1411" t="s">
        <v>261</v>
      </c>
      <c r="T1411" t="s">
        <v>261</v>
      </c>
      <c r="U1411" t="s">
        <v>261</v>
      </c>
      <c r="V1411" t="s">
        <v>262</v>
      </c>
      <c r="W1411" t="s">
        <v>261</v>
      </c>
      <c r="X1411" t="s">
        <v>261</v>
      </c>
      <c r="Y1411" t="s">
        <v>261</v>
      </c>
      <c r="AD1411" t="s">
        <v>261</v>
      </c>
      <c r="AH1411" t="s">
        <v>262</v>
      </c>
      <c r="AI1411" t="s">
        <v>261</v>
      </c>
      <c r="AJ1411" t="s">
        <v>261</v>
      </c>
      <c r="AK1411" t="s">
        <v>261</v>
      </c>
      <c r="AM1411" t="s">
        <v>262</v>
      </c>
      <c r="AN1411" t="s">
        <v>4121</v>
      </c>
    </row>
    <row r="1412" spans="1:40" x14ac:dyDescent="0.35">
      <c r="A1412">
        <v>6348693</v>
      </c>
      <c r="B1412" t="s">
        <v>4122</v>
      </c>
      <c r="C1412" t="str">
        <f>""</f>
        <v/>
      </c>
      <c r="D1412" t="str">
        <f>"9789179297886"</f>
        <v>9789179297886</v>
      </c>
      <c r="E1412" t="s">
        <v>3642</v>
      </c>
      <c r="F1412" t="s">
        <v>3642</v>
      </c>
      <c r="G1412" s="1">
        <v>44085</v>
      </c>
      <c r="H1412" s="1">
        <v>44088</v>
      </c>
      <c r="I1412" t="s">
        <v>189</v>
      </c>
      <c r="J1412">
        <v>1</v>
      </c>
      <c r="L1412" t="s">
        <v>4123</v>
      </c>
      <c r="Q1412" t="s">
        <v>260</v>
      </c>
      <c r="R1412" t="s">
        <v>261</v>
      </c>
      <c r="S1412" t="s">
        <v>261</v>
      </c>
      <c r="T1412" t="s">
        <v>261</v>
      </c>
      <c r="U1412" t="s">
        <v>261</v>
      </c>
      <c r="V1412" t="s">
        <v>262</v>
      </c>
      <c r="W1412" t="s">
        <v>261</v>
      </c>
      <c r="X1412" t="s">
        <v>261</v>
      </c>
      <c r="Y1412" t="s">
        <v>261</v>
      </c>
      <c r="AD1412" t="s">
        <v>261</v>
      </c>
      <c r="AH1412" t="s">
        <v>262</v>
      </c>
      <c r="AI1412" t="s">
        <v>261</v>
      </c>
      <c r="AJ1412" t="s">
        <v>261</v>
      </c>
      <c r="AK1412" t="s">
        <v>261</v>
      </c>
      <c r="AM1412" t="s">
        <v>262</v>
      </c>
      <c r="AN1412" t="s">
        <v>4124</v>
      </c>
    </row>
    <row r="1413" spans="1:40" x14ac:dyDescent="0.35">
      <c r="A1413">
        <v>6348694</v>
      </c>
      <c r="B1413" t="s">
        <v>4125</v>
      </c>
      <c r="C1413" t="str">
        <f>""</f>
        <v/>
      </c>
      <c r="D1413" t="str">
        <f>"9789179298081"</f>
        <v>9789179298081</v>
      </c>
      <c r="E1413" t="s">
        <v>3642</v>
      </c>
      <c r="F1413" t="s">
        <v>3642</v>
      </c>
      <c r="G1413" s="1">
        <v>44011</v>
      </c>
      <c r="H1413" s="1">
        <v>44095</v>
      </c>
      <c r="I1413" t="s">
        <v>189</v>
      </c>
      <c r="J1413">
        <v>1</v>
      </c>
      <c r="L1413" t="s">
        <v>4126</v>
      </c>
      <c r="Q1413" t="s">
        <v>260</v>
      </c>
      <c r="R1413" t="s">
        <v>261</v>
      </c>
      <c r="S1413" t="s">
        <v>261</v>
      </c>
      <c r="T1413" t="s">
        <v>261</v>
      </c>
      <c r="U1413" t="s">
        <v>261</v>
      </c>
      <c r="V1413" t="s">
        <v>262</v>
      </c>
      <c r="W1413" t="s">
        <v>261</v>
      </c>
      <c r="X1413" t="s">
        <v>261</v>
      </c>
      <c r="Y1413" t="s">
        <v>261</v>
      </c>
      <c r="AD1413" t="s">
        <v>261</v>
      </c>
      <c r="AH1413" t="s">
        <v>262</v>
      </c>
      <c r="AI1413" t="s">
        <v>261</v>
      </c>
      <c r="AJ1413" t="s">
        <v>261</v>
      </c>
      <c r="AK1413" t="s">
        <v>261</v>
      </c>
      <c r="AM1413" t="s">
        <v>262</v>
      </c>
      <c r="AN1413" t="s">
        <v>4127</v>
      </c>
    </row>
    <row r="1414" spans="1:40" x14ac:dyDescent="0.35">
      <c r="A1414">
        <v>6348695</v>
      </c>
      <c r="B1414" t="s">
        <v>4128</v>
      </c>
      <c r="C1414" t="str">
        <f>""</f>
        <v/>
      </c>
      <c r="D1414" t="str">
        <f>"9789179297947"</f>
        <v>9789179297947</v>
      </c>
      <c r="E1414" t="s">
        <v>3642</v>
      </c>
      <c r="F1414" t="s">
        <v>3642</v>
      </c>
      <c r="G1414" s="1">
        <v>44067</v>
      </c>
      <c r="H1414" s="1">
        <v>44088</v>
      </c>
      <c r="I1414" t="s">
        <v>189</v>
      </c>
      <c r="J1414">
        <v>1</v>
      </c>
      <c r="L1414" t="s">
        <v>4129</v>
      </c>
      <c r="Q1414" t="s">
        <v>260</v>
      </c>
      <c r="R1414" t="s">
        <v>261</v>
      </c>
      <c r="S1414" t="s">
        <v>261</v>
      </c>
      <c r="T1414" t="s">
        <v>261</v>
      </c>
      <c r="U1414" t="s">
        <v>261</v>
      </c>
      <c r="V1414" t="s">
        <v>262</v>
      </c>
      <c r="W1414" t="s">
        <v>261</v>
      </c>
      <c r="X1414" t="s">
        <v>261</v>
      </c>
      <c r="Y1414" t="s">
        <v>261</v>
      </c>
      <c r="AD1414" t="s">
        <v>261</v>
      </c>
      <c r="AH1414" t="s">
        <v>262</v>
      </c>
      <c r="AI1414" t="s">
        <v>261</v>
      </c>
      <c r="AJ1414" t="s">
        <v>261</v>
      </c>
      <c r="AK1414" t="s">
        <v>261</v>
      </c>
      <c r="AM1414" t="s">
        <v>262</v>
      </c>
      <c r="AN1414" t="s">
        <v>4130</v>
      </c>
    </row>
    <row r="1415" spans="1:40" x14ac:dyDescent="0.35">
      <c r="A1415">
        <v>6350821</v>
      </c>
      <c r="B1415" t="s">
        <v>4131</v>
      </c>
      <c r="C1415" t="str">
        <f>"9783030449780"</f>
        <v>9783030449780</v>
      </c>
      <c r="D1415" t="str">
        <f>"9783030449797"</f>
        <v>9783030449797</v>
      </c>
      <c r="E1415" t="s">
        <v>2289</v>
      </c>
      <c r="F1415" t="s">
        <v>2663</v>
      </c>
      <c r="G1415" s="1">
        <v>44089</v>
      </c>
      <c r="H1415" s="1">
        <v>44567</v>
      </c>
      <c r="I1415" t="s">
        <v>189</v>
      </c>
      <c r="K1415" t="s">
        <v>4132</v>
      </c>
      <c r="L1415" t="s">
        <v>4133</v>
      </c>
    </row>
    <row r="1416" spans="1:40" x14ac:dyDescent="0.35">
      <c r="A1416">
        <v>6350855</v>
      </c>
      <c r="B1416" t="s">
        <v>4134</v>
      </c>
      <c r="C1416" t="str">
        <f>"9783030528720"</f>
        <v>9783030528720</v>
      </c>
      <c r="D1416" t="str">
        <f>"9783030528737"</f>
        <v>9783030528737</v>
      </c>
      <c r="E1416" t="s">
        <v>2289</v>
      </c>
      <c r="F1416" t="s">
        <v>2290</v>
      </c>
      <c r="G1416" s="1">
        <v>44089</v>
      </c>
      <c r="H1416" s="1">
        <v>44279</v>
      </c>
      <c r="I1416" t="s">
        <v>189</v>
      </c>
      <c r="K1416" t="s">
        <v>4135</v>
      </c>
      <c r="L1416" t="s">
        <v>118</v>
      </c>
      <c r="M1416" t="s">
        <v>3181</v>
      </c>
    </row>
    <row r="1417" spans="1:40" x14ac:dyDescent="0.35">
      <c r="A1417">
        <v>6351026</v>
      </c>
      <c r="B1417" t="s">
        <v>4136</v>
      </c>
      <c r="C1417" t="str">
        <f>"9781783747337"</f>
        <v>9781783747337</v>
      </c>
      <c r="D1417" t="str">
        <f>"9781783747344"</f>
        <v>9781783747344</v>
      </c>
      <c r="E1417" t="s">
        <v>1807</v>
      </c>
      <c r="F1417" t="s">
        <v>1807</v>
      </c>
      <c r="G1417" s="1">
        <v>44078</v>
      </c>
      <c r="H1417" s="1">
        <v>44091</v>
      </c>
      <c r="I1417" t="s">
        <v>189</v>
      </c>
      <c r="J1417">
        <v>1</v>
      </c>
      <c r="L1417" t="s">
        <v>4137</v>
      </c>
    </row>
    <row r="1418" spans="1:40" x14ac:dyDescent="0.35">
      <c r="A1418">
        <v>6351027</v>
      </c>
      <c r="B1418" t="s">
        <v>4138</v>
      </c>
      <c r="C1418" t="str">
        <f>"9781800640184"</f>
        <v>9781800640184</v>
      </c>
      <c r="D1418" t="str">
        <f>"9781800640191"</f>
        <v>9781800640191</v>
      </c>
      <c r="E1418" t="s">
        <v>1807</v>
      </c>
      <c r="F1418" t="s">
        <v>1807</v>
      </c>
      <c r="G1418" s="1">
        <v>44074</v>
      </c>
      <c r="H1418" s="1">
        <v>44091</v>
      </c>
      <c r="I1418" t="s">
        <v>189</v>
      </c>
      <c r="J1418">
        <v>1</v>
      </c>
      <c r="K1418" t="s">
        <v>2644</v>
      </c>
      <c r="L1418" t="s">
        <v>2645</v>
      </c>
      <c r="M1418" t="s">
        <v>219</v>
      </c>
    </row>
    <row r="1419" spans="1:40" x14ac:dyDescent="0.35">
      <c r="A1419">
        <v>6352082</v>
      </c>
      <c r="B1419" t="s">
        <v>4139</v>
      </c>
      <c r="C1419" t="str">
        <f>"9781478008842"</f>
        <v>9781478008842</v>
      </c>
      <c r="D1419" t="str">
        <f>"9781478012320"</f>
        <v>9781478012320</v>
      </c>
      <c r="E1419" t="s">
        <v>687</v>
      </c>
      <c r="F1419" t="s">
        <v>687</v>
      </c>
      <c r="G1419" s="1">
        <v>44120</v>
      </c>
      <c r="H1419" s="1">
        <v>44092</v>
      </c>
      <c r="I1419" t="s">
        <v>189</v>
      </c>
      <c r="J1419">
        <v>1</v>
      </c>
      <c r="L1419" t="s">
        <v>4140</v>
      </c>
      <c r="M1419" t="s">
        <v>578</v>
      </c>
      <c r="N1419" t="s">
        <v>1085</v>
      </c>
      <c r="O1419" s="2">
        <v>700103</v>
      </c>
      <c r="Q1419" t="s">
        <v>260</v>
      </c>
      <c r="R1419" t="s">
        <v>261</v>
      </c>
      <c r="S1419" t="s">
        <v>261</v>
      </c>
      <c r="T1419" t="s">
        <v>261</v>
      </c>
      <c r="U1419" t="s">
        <v>261</v>
      </c>
      <c r="V1419" t="s">
        <v>262</v>
      </c>
      <c r="W1419" t="s">
        <v>261</v>
      </c>
      <c r="X1419" t="s">
        <v>261</v>
      </c>
      <c r="Y1419" t="s">
        <v>261</v>
      </c>
      <c r="Z1419" t="s">
        <v>409</v>
      </c>
      <c r="AB1419" t="s">
        <v>409</v>
      </c>
      <c r="AC1419" t="s">
        <v>409</v>
      </c>
      <c r="AD1419" t="s">
        <v>262</v>
      </c>
      <c r="AH1419" t="s">
        <v>262</v>
      </c>
      <c r="AI1419" t="s">
        <v>262</v>
      </c>
      <c r="AJ1419" t="s">
        <v>261</v>
      </c>
      <c r="AK1419" t="s">
        <v>261</v>
      </c>
      <c r="AM1419" t="s">
        <v>262</v>
      </c>
      <c r="AN1419" t="s">
        <v>4141</v>
      </c>
    </row>
    <row r="1420" spans="1:40" x14ac:dyDescent="0.35">
      <c r="A1420">
        <v>6352741</v>
      </c>
      <c r="B1420" t="s">
        <v>4142</v>
      </c>
      <c r="C1420" t="str">
        <f>"9789811569630"</f>
        <v>9789811569630</v>
      </c>
      <c r="D1420" t="str">
        <f>"9789811569647"</f>
        <v>9789811569647</v>
      </c>
      <c r="E1420" t="s">
        <v>3404</v>
      </c>
      <c r="F1420" t="s">
        <v>2290</v>
      </c>
      <c r="G1420" s="1">
        <v>44092</v>
      </c>
      <c r="H1420" s="1">
        <v>44279</v>
      </c>
      <c r="I1420" t="s">
        <v>189</v>
      </c>
      <c r="K1420" t="s">
        <v>4143</v>
      </c>
      <c r="L1420" t="s">
        <v>4144</v>
      </c>
    </row>
    <row r="1421" spans="1:40" x14ac:dyDescent="0.35">
      <c r="A1421">
        <v>6352749</v>
      </c>
      <c r="B1421" t="s">
        <v>4145</v>
      </c>
      <c r="C1421" t="str">
        <f>"9783030511883"</f>
        <v>9783030511883</v>
      </c>
      <c r="D1421" t="str">
        <f>"9783030511890"</f>
        <v>9783030511890</v>
      </c>
      <c r="E1421" t="s">
        <v>2289</v>
      </c>
      <c r="F1421" t="s">
        <v>2663</v>
      </c>
      <c r="G1421" s="1">
        <v>44092</v>
      </c>
      <c r="H1421" s="1">
        <v>44112</v>
      </c>
      <c r="I1421" t="s">
        <v>189</v>
      </c>
      <c r="L1421" t="s">
        <v>4146</v>
      </c>
      <c r="M1421" t="s">
        <v>329</v>
      </c>
      <c r="N1421" t="s">
        <v>4147</v>
      </c>
      <c r="O1421" s="2">
        <v>302231</v>
      </c>
      <c r="Q1421" t="s">
        <v>260</v>
      </c>
      <c r="R1421" t="s">
        <v>261</v>
      </c>
      <c r="S1421" t="s">
        <v>261</v>
      </c>
      <c r="T1421" t="s">
        <v>261</v>
      </c>
      <c r="U1421" t="s">
        <v>261</v>
      </c>
      <c r="V1421" t="s">
        <v>262</v>
      </c>
      <c r="W1421" t="s">
        <v>261</v>
      </c>
      <c r="X1421" t="s">
        <v>261</v>
      </c>
      <c r="Y1421" t="s">
        <v>261</v>
      </c>
      <c r="Z1421" t="s">
        <v>409</v>
      </c>
      <c r="AA1421" t="s">
        <v>409</v>
      </c>
      <c r="AB1421" t="s">
        <v>409</v>
      </c>
      <c r="AC1421" t="s">
        <v>409</v>
      </c>
      <c r="AD1421" t="s">
        <v>261</v>
      </c>
      <c r="AH1421" t="s">
        <v>262</v>
      </c>
      <c r="AI1421" t="s">
        <v>262</v>
      </c>
      <c r="AJ1421" t="s">
        <v>261</v>
      </c>
      <c r="AK1421" t="s">
        <v>261</v>
      </c>
      <c r="AM1421" t="s">
        <v>262</v>
      </c>
      <c r="AN1421" t="s">
        <v>4148</v>
      </c>
    </row>
    <row r="1422" spans="1:40" x14ac:dyDescent="0.35">
      <c r="A1422">
        <v>6352766</v>
      </c>
      <c r="B1422" t="s">
        <v>4149</v>
      </c>
      <c r="C1422" t="str">
        <f>"9783030499198"</f>
        <v>9783030499198</v>
      </c>
      <c r="D1422" t="str">
        <f>"9783030499204"</f>
        <v>9783030499204</v>
      </c>
      <c r="E1422" t="s">
        <v>2289</v>
      </c>
      <c r="F1422" t="s">
        <v>2290</v>
      </c>
      <c r="G1422" s="1">
        <v>44092</v>
      </c>
      <c r="H1422" s="1">
        <v>44279</v>
      </c>
      <c r="I1422" t="s">
        <v>189</v>
      </c>
      <c r="L1422" t="s">
        <v>4150</v>
      </c>
    </row>
    <row r="1423" spans="1:40" x14ac:dyDescent="0.35">
      <c r="A1423">
        <v>6353538</v>
      </c>
      <c r="B1423" t="s">
        <v>4151</v>
      </c>
      <c r="C1423" t="str">
        <f>""</f>
        <v/>
      </c>
      <c r="D1423" t="str">
        <f>"9789179297848"</f>
        <v>9789179297848</v>
      </c>
      <c r="E1423" t="s">
        <v>3642</v>
      </c>
      <c r="F1423" t="s">
        <v>3642</v>
      </c>
      <c r="G1423" s="1">
        <v>44088</v>
      </c>
      <c r="H1423" s="1">
        <v>44095</v>
      </c>
      <c r="I1423" t="s">
        <v>189</v>
      </c>
      <c r="J1423">
        <v>1</v>
      </c>
      <c r="L1423" t="s">
        <v>4152</v>
      </c>
      <c r="Q1423" t="s">
        <v>260</v>
      </c>
      <c r="R1423" t="s">
        <v>261</v>
      </c>
      <c r="S1423" t="s">
        <v>261</v>
      </c>
      <c r="T1423" t="s">
        <v>261</v>
      </c>
      <c r="U1423" t="s">
        <v>261</v>
      </c>
      <c r="V1423" t="s">
        <v>262</v>
      </c>
      <c r="W1423" t="s">
        <v>261</v>
      </c>
      <c r="X1423" t="s">
        <v>261</v>
      </c>
      <c r="Y1423" t="s">
        <v>261</v>
      </c>
      <c r="AD1423" t="s">
        <v>261</v>
      </c>
      <c r="AH1423" t="s">
        <v>262</v>
      </c>
      <c r="AI1423" t="s">
        <v>261</v>
      </c>
      <c r="AJ1423" t="s">
        <v>261</v>
      </c>
      <c r="AK1423" t="s">
        <v>261</v>
      </c>
      <c r="AM1423" t="s">
        <v>262</v>
      </c>
      <c r="AN1423" t="s">
        <v>4153</v>
      </c>
    </row>
    <row r="1424" spans="1:40" x14ac:dyDescent="0.35">
      <c r="A1424">
        <v>6353540</v>
      </c>
      <c r="B1424" t="s">
        <v>4154</v>
      </c>
      <c r="C1424" t="str">
        <f>""</f>
        <v/>
      </c>
      <c r="D1424" t="str">
        <f>"9789179298005"</f>
        <v>9789179298005</v>
      </c>
      <c r="E1424" t="s">
        <v>3642</v>
      </c>
      <c r="F1424" t="s">
        <v>3642</v>
      </c>
      <c r="G1424" s="1">
        <v>44090</v>
      </c>
      <c r="H1424" s="1">
        <v>44095</v>
      </c>
      <c r="I1424" t="s">
        <v>189</v>
      </c>
      <c r="J1424">
        <v>1</v>
      </c>
      <c r="L1424" t="s">
        <v>4155</v>
      </c>
      <c r="Q1424" t="s">
        <v>260</v>
      </c>
      <c r="R1424" t="s">
        <v>261</v>
      </c>
      <c r="S1424" t="s">
        <v>261</v>
      </c>
      <c r="T1424" t="s">
        <v>261</v>
      </c>
      <c r="U1424" t="s">
        <v>261</v>
      </c>
      <c r="V1424" t="s">
        <v>262</v>
      </c>
      <c r="W1424" t="s">
        <v>261</v>
      </c>
      <c r="X1424" t="s">
        <v>261</v>
      </c>
      <c r="Y1424" t="s">
        <v>261</v>
      </c>
      <c r="AD1424" t="s">
        <v>261</v>
      </c>
      <c r="AH1424" t="s">
        <v>262</v>
      </c>
      <c r="AI1424" t="s">
        <v>261</v>
      </c>
      <c r="AJ1424" t="s">
        <v>261</v>
      </c>
      <c r="AK1424" t="s">
        <v>261</v>
      </c>
      <c r="AM1424" t="s">
        <v>262</v>
      </c>
      <c r="AN1424" t="s">
        <v>4156</v>
      </c>
    </row>
    <row r="1425" spans="1:40" x14ac:dyDescent="0.35">
      <c r="A1425">
        <v>6353541</v>
      </c>
      <c r="B1425" t="s">
        <v>4157</v>
      </c>
      <c r="C1425" t="str">
        <f>""</f>
        <v/>
      </c>
      <c r="D1425" t="str">
        <f>"9789179298135"</f>
        <v>9789179298135</v>
      </c>
      <c r="E1425" t="s">
        <v>3642</v>
      </c>
      <c r="F1425" t="s">
        <v>3642</v>
      </c>
      <c r="G1425" s="1">
        <v>44089</v>
      </c>
      <c r="H1425" s="1">
        <v>44158</v>
      </c>
      <c r="I1425" t="s">
        <v>189</v>
      </c>
      <c r="J1425">
        <v>1</v>
      </c>
      <c r="L1425" t="s">
        <v>4158</v>
      </c>
      <c r="Q1425" t="s">
        <v>260</v>
      </c>
      <c r="R1425" t="s">
        <v>261</v>
      </c>
      <c r="S1425" t="s">
        <v>261</v>
      </c>
      <c r="T1425" t="s">
        <v>261</v>
      </c>
      <c r="U1425" t="s">
        <v>261</v>
      </c>
      <c r="V1425" t="s">
        <v>262</v>
      </c>
      <c r="W1425" t="s">
        <v>261</v>
      </c>
      <c r="X1425" t="s">
        <v>261</v>
      </c>
      <c r="Y1425" t="s">
        <v>261</v>
      </c>
      <c r="AD1425" t="s">
        <v>261</v>
      </c>
      <c r="AH1425" t="s">
        <v>262</v>
      </c>
      <c r="AI1425" t="s">
        <v>261</v>
      </c>
      <c r="AJ1425" t="s">
        <v>261</v>
      </c>
      <c r="AK1425" t="s">
        <v>261</v>
      </c>
      <c r="AM1425" t="s">
        <v>262</v>
      </c>
      <c r="AN1425" t="s">
        <v>4159</v>
      </c>
    </row>
    <row r="1426" spans="1:40" x14ac:dyDescent="0.35">
      <c r="A1426">
        <v>6353542</v>
      </c>
      <c r="B1426" t="s">
        <v>4160</v>
      </c>
      <c r="C1426" t="str">
        <f>""</f>
        <v/>
      </c>
      <c r="D1426" t="str">
        <f>"9789179297978"</f>
        <v>9789179297978</v>
      </c>
      <c r="E1426" t="s">
        <v>3642</v>
      </c>
      <c r="F1426" t="s">
        <v>3642</v>
      </c>
      <c r="G1426" s="1">
        <v>44081</v>
      </c>
      <c r="H1426" s="1">
        <v>44109</v>
      </c>
      <c r="I1426" t="s">
        <v>189</v>
      </c>
      <c r="J1426">
        <v>1</v>
      </c>
      <c r="L1426" t="s">
        <v>4161</v>
      </c>
      <c r="Q1426" t="s">
        <v>260</v>
      </c>
      <c r="R1426" t="s">
        <v>261</v>
      </c>
      <c r="S1426" t="s">
        <v>261</v>
      </c>
      <c r="T1426" t="s">
        <v>261</v>
      </c>
      <c r="U1426" t="s">
        <v>261</v>
      </c>
      <c r="V1426" t="s">
        <v>262</v>
      </c>
      <c r="W1426" t="s">
        <v>261</v>
      </c>
      <c r="X1426" t="s">
        <v>261</v>
      </c>
      <c r="Y1426" t="s">
        <v>261</v>
      </c>
      <c r="AD1426" t="s">
        <v>261</v>
      </c>
      <c r="AH1426" t="s">
        <v>262</v>
      </c>
      <c r="AI1426" t="s">
        <v>261</v>
      </c>
      <c r="AJ1426" t="s">
        <v>261</v>
      </c>
      <c r="AK1426" t="s">
        <v>261</v>
      </c>
      <c r="AM1426" t="s">
        <v>262</v>
      </c>
      <c r="AN1426" t="s">
        <v>4162</v>
      </c>
    </row>
    <row r="1427" spans="1:40" x14ac:dyDescent="0.35">
      <c r="A1427">
        <v>6354371</v>
      </c>
      <c r="B1427" t="s">
        <v>4163</v>
      </c>
      <c r="C1427" t="str">
        <f>"9789401772204"</f>
        <v>9789401772204</v>
      </c>
      <c r="D1427" t="str">
        <f>"9789401772211"</f>
        <v>9789401772211</v>
      </c>
      <c r="E1427" t="s">
        <v>4164</v>
      </c>
      <c r="F1427" t="s">
        <v>2290</v>
      </c>
      <c r="G1427" s="1">
        <v>42209</v>
      </c>
      <c r="H1427" s="1">
        <v>44567</v>
      </c>
      <c r="I1427" t="s">
        <v>189</v>
      </c>
      <c r="K1427" t="s">
        <v>4165</v>
      </c>
      <c r="L1427" t="s">
        <v>4166</v>
      </c>
    </row>
    <row r="1428" spans="1:40" x14ac:dyDescent="0.35">
      <c r="A1428">
        <v>6355554</v>
      </c>
      <c r="B1428" t="s">
        <v>4167</v>
      </c>
      <c r="C1428" t="str">
        <f>"9783030548018"</f>
        <v>9783030548018</v>
      </c>
      <c r="D1428" t="str">
        <f>"9783030548025"</f>
        <v>9783030548025</v>
      </c>
      <c r="E1428" t="s">
        <v>2289</v>
      </c>
      <c r="F1428" t="s">
        <v>2663</v>
      </c>
      <c r="G1428" s="1">
        <v>44096</v>
      </c>
      <c r="H1428" s="1">
        <v>44279</v>
      </c>
      <c r="I1428" t="s">
        <v>189</v>
      </c>
      <c r="K1428" t="s">
        <v>4168</v>
      </c>
      <c r="L1428" t="s">
        <v>4169</v>
      </c>
      <c r="M1428" t="s">
        <v>339</v>
      </c>
      <c r="N1428" t="s">
        <v>4170</v>
      </c>
      <c r="O1428" s="2">
        <v>61689009034</v>
      </c>
      <c r="Q1428" t="s">
        <v>260</v>
      </c>
      <c r="R1428" t="s">
        <v>261</v>
      </c>
      <c r="S1428" t="s">
        <v>261</v>
      </c>
      <c r="T1428" t="s">
        <v>261</v>
      </c>
      <c r="U1428" t="s">
        <v>262</v>
      </c>
      <c r="V1428" t="s">
        <v>262</v>
      </c>
      <c r="W1428" t="s">
        <v>261</v>
      </c>
      <c r="X1428" t="s">
        <v>262</v>
      </c>
      <c r="Y1428" t="s">
        <v>261</v>
      </c>
      <c r="Z1428" t="s">
        <v>409</v>
      </c>
      <c r="AA1428" t="s">
        <v>409</v>
      </c>
      <c r="AB1428" t="s">
        <v>409</v>
      </c>
      <c r="AC1428" t="s">
        <v>409</v>
      </c>
      <c r="AD1428" t="s">
        <v>261</v>
      </c>
      <c r="AH1428" t="s">
        <v>262</v>
      </c>
      <c r="AI1428" t="s">
        <v>262</v>
      </c>
      <c r="AJ1428" t="s">
        <v>261</v>
      </c>
      <c r="AK1428" t="s">
        <v>261</v>
      </c>
      <c r="AM1428" t="s">
        <v>262</v>
      </c>
      <c r="AN1428" t="s">
        <v>4171</v>
      </c>
    </row>
    <row r="1429" spans="1:40" x14ac:dyDescent="0.35">
      <c r="A1429">
        <v>6355622</v>
      </c>
      <c r="B1429" t="s">
        <v>4172</v>
      </c>
      <c r="C1429" t="str">
        <f>"9783030474317"</f>
        <v>9783030474317</v>
      </c>
      <c r="D1429" t="str">
        <f>"9783030474324"</f>
        <v>9783030474324</v>
      </c>
      <c r="E1429" t="s">
        <v>2289</v>
      </c>
      <c r="F1429" t="s">
        <v>2663</v>
      </c>
      <c r="G1429" s="1">
        <v>44096</v>
      </c>
      <c r="H1429" s="1">
        <v>44279</v>
      </c>
      <c r="I1429" t="s">
        <v>189</v>
      </c>
      <c r="L1429" t="s">
        <v>4173</v>
      </c>
    </row>
    <row r="1430" spans="1:40" x14ac:dyDescent="0.35">
      <c r="A1430">
        <v>6357729</v>
      </c>
      <c r="B1430" t="s">
        <v>4174</v>
      </c>
      <c r="C1430" t="str">
        <f>""</f>
        <v/>
      </c>
      <c r="D1430" t="str">
        <f>"9789179298036"</f>
        <v>9789179298036</v>
      </c>
      <c r="E1430" t="s">
        <v>3642</v>
      </c>
      <c r="F1430" t="s">
        <v>3642</v>
      </c>
      <c r="G1430" s="1">
        <v>44082</v>
      </c>
      <c r="H1430" s="1">
        <v>44102</v>
      </c>
      <c r="I1430" t="s">
        <v>189</v>
      </c>
      <c r="J1430">
        <v>1</v>
      </c>
      <c r="L1430" t="s">
        <v>4175</v>
      </c>
      <c r="Q1430" t="s">
        <v>260</v>
      </c>
      <c r="R1430" t="s">
        <v>261</v>
      </c>
      <c r="S1430" t="s">
        <v>261</v>
      </c>
      <c r="T1430" t="s">
        <v>261</v>
      </c>
      <c r="U1430" t="s">
        <v>261</v>
      </c>
      <c r="V1430" t="s">
        <v>262</v>
      </c>
      <c r="W1430" t="s">
        <v>261</v>
      </c>
      <c r="X1430" t="s">
        <v>261</v>
      </c>
      <c r="Y1430" t="s">
        <v>261</v>
      </c>
      <c r="AD1430" t="s">
        <v>261</v>
      </c>
      <c r="AH1430" t="s">
        <v>262</v>
      </c>
      <c r="AI1430" t="s">
        <v>261</v>
      </c>
      <c r="AJ1430" t="s">
        <v>261</v>
      </c>
      <c r="AK1430" t="s">
        <v>261</v>
      </c>
      <c r="AM1430" t="s">
        <v>262</v>
      </c>
      <c r="AN1430" t="s">
        <v>4176</v>
      </c>
    </row>
    <row r="1431" spans="1:40" x14ac:dyDescent="0.35">
      <c r="A1431">
        <v>6359371</v>
      </c>
      <c r="B1431" t="s">
        <v>4177</v>
      </c>
      <c r="C1431" t="str">
        <f>"9781478009993"</f>
        <v>9781478009993</v>
      </c>
      <c r="D1431" t="str">
        <f>"9781478012580"</f>
        <v>9781478012580</v>
      </c>
      <c r="E1431" t="s">
        <v>687</v>
      </c>
      <c r="F1431" t="s">
        <v>687</v>
      </c>
      <c r="G1431" s="1">
        <v>44127</v>
      </c>
      <c r="H1431" s="1">
        <v>44112</v>
      </c>
      <c r="I1431" t="s">
        <v>189</v>
      </c>
      <c r="J1431">
        <v>1</v>
      </c>
      <c r="K1431" t="s">
        <v>1064</v>
      </c>
      <c r="L1431" t="s">
        <v>4178</v>
      </c>
      <c r="M1431" t="s">
        <v>329</v>
      </c>
    </row>
    <row r="1432" spans="1:40" x14ac:dyDescent="0.35">
      <c r="A1432">
        <v>6360729</v>
      </c>
      <c r="B1432" t="s">
        <v>4179</v>
      </c>
      <c r="C1432" t="str">
        <f>"9783030424718"</f>
        <v>9783030424718</v>
      </c>
      <c r="D1432" t="str">
        <f>"9783030424725"</f>
        <v>9783030424725</v>
      </c>
      <c r="E1432" t="s">
        <v>2289</v>
      </c>
      <c r="F1432" t="s">
        <v>2289</v>
      </c>
      <c r="G1432" s="1">
        <v>44159</v>
      </c>
      <c r="H1432" s="1">
        <v>44112</v>
      </c>
      <c r="I1432" t="s">
        <v>189</v>
      </c>
      <c r="K1432" t="s">
        <v>4180</v>
      </c>
      <c r="L1432" t="s">
        <v>4181</v>
      </c>
    </row>
    <row r="1433" spans="1:40" x14ac:dyDescent="0.35">
      <c r="A1433">
        <v>6360853</v>
      </c>
      <c r="B1433" t="s">
        <v>4182</v>
      </c>
      <c r="C1433" t="str">
        <f>"9781137426017"</f>
        <v>9781137426017</v>
      </c>
      <c r="D1433" t="str">
        <f>"9781137426024"</f>
        <v>9781137426024</v>
      </c>
      <c r="E1433" t="s">
        <v>4183</v>
      </c>
      <c r="F1433" t="s">
        <v>2663</v>
      </c>
      <c r="G1433" s="1">
        <v>42185</v>
      </c>
      <c r="H1433" s="1">
        <v>44567</v>
      </c>
      <c r="I1433" t="s">
        <v>189</v>
      </c>
      <c r="L1433" t="s">
        <v>4184</v>
      </c>
    </row>
    <row r="1434" spans="1:40" x14ac:dyDescent="0.35">
      <c r="A1434">
        <v>6362076</v>
      </c>
      <c r="B1434" t="s">
        <v>4185</v>
      </c>
      <c r="C1434" t="str">
        <f>"9789811557279"</f>
        <v>9789811557279</v>
      </c>
      <c r="D1434" t="str">
        <f>"9789811557286"</f>
        <v>9789811557286</v>
      </c>
      <c r="E1434" t="s">
        <v>3404</v>
      </c>
      <c r="F1434" t="s">
        <v>2663</v>
      </c>
      <c r="G1434" s="1">
        <v>44105</v>
      </c>
      <c r="H1434" s="1">
        <v>44279</v>
      </c>
      <c r="I1434" t="s">
        <v>189</v>
      </c>
      <c r="K1434" t="s">
        <v>4186</v>
      </c>
      <c r="L1434" t="s">
        <v>4187</v>
      </c>
    </row>
    <row r="1435" spans="1:40" x14ac:dyDescent="0.35">
      <c r="A1435">
        <v>6363053</v>
      </c>
      <c r="B1435" t="s">
        <v>4188</v>
      </c>
      <c r="C1435" t="str">
        <f>""</f>
        <v/>
      </c>
      <c r="D1435" t="str">
        <f>"9789179297718"</f>
        <v>9789179297718</v>
      </c>
      <c r="E1435" t="s">
        <v>3642</v>
      </c>
      <c r="F1435" t="s">
        <v>3642</v>
      </c>
      <c r="G1435" s="1">
        <v>44105</v>
      </c>
      <c r="H1435" s="1">
        <v>44123</v>
      </c>
      <c r="I1435" t="s">
        <v>189</v>
      </c>
      <c r="J1435">
        <v>1</v>
      </c>
      <c r="L1435" t="s">
        <v>4189</v>
      </c>
      <c r="Q1435" t="s">
        <v>260</v>
      </c>
      <c r="R1435" t="s">
        <v>261</v>
      </c>
      <c r="S1435" t="s">
        <v>261</v>
      </c>
      <c r="T1435" t="s">
        <v>261</v>
      </c>
      <c r="U1435" t="s">
        <v>261</v>
      </c>
      <c r="V1435" t="s">
        <v>262</v>
      </c>
      <c r="W1435" t="s">
        <v>261</v>
      </c>
      <c r="X1435" t="s">
        <v>261</v>
      </c>
      <c r="Y1435" t="s">
        <v>261</v>
      </c>
      <c r="AD1435" t="s">
        <v>261</v>
      </c>
      <c r="AH1435" t="s">
        <v>262</v>
      </c>
      <c r="AI1435" t="s">
        <v>261</v>
      </c>
      <c r="AJ1435" t="s">
        <v>261</v>
      </c>
      <c r="AK1435" t="s">
        <v>261</v>
      </c>
      <c r="AM1435" t="s">
        <v>262</v>
      </c>
      <c r="AN1435" t="s">
        <v>4190</v>
      </c>
    </row>
    <row r="1436" spans="1:40" x14ac:dyDescent="0.35">
      <c r="A1436">
        <v>6363054</v>
      </c>
      <c r="B1436" t="s">
        <v>4191</v>
      </c>
      <c r="C1436" t="str">
        <f>""</f>
        <v/>
      </c>
      <c r="D1436" t="str">
        <f>"9789179298043"</f>
        <v>9789179298043</v>
      </c>
      <c r="E1436" t="s">
        <v>3642</v>
      </c>
      <c r="F1436" t="s">
        <v>3642</v>
      </c>
      <c r="G1436" s="1">
        <v>44103</v>
      </c>
      <c r="H1436" s="1">
        <v>44109</v>
      </c>
      <c r="I1436" t="s">
        <v>189</v>
      </c>
      <c r="J1436">
        <v>1</v>
      </c>
      <c r="L1436" t="s">
        <v>4192</v>
      </c>
      <c r="Q1436" t="s">
        <v>260</v>
      </c>
      <c r="R1436" t="s">
        <v>261</v>
      </c>
      <c r="S1436" t="s">
        <v>261</v>
      </c>
      <c r="T1436" t="s">
        <v>261</v>
      </c>
      <c r="U1436" t="s">
        <v>261</v>
      </c>
      <c r="V1436" t="s">
        <v>262</v>
      </c>
      <c r="W1436" t="s">
        <v>261</v>
      </c>
      <c r="X1436" t="s">
        <v>261</v>
      </c>
      <c r="Y1436" t="s">
        <v>261</v>
      </c>
      <c r="AD1436" t="s">
        <v>261</v>
      </c>
      <c r="AH1436" t="s">
        <v>262</v>
      </c>
      <c r="AI1436" t="s">
        <v>261</v>
      </c>
      <c r="AJ1436" t="s">
        <v>261</v>
      </c>
      <c r="AK1436" t="s">
        <v>261</v>
      </c>
      <c r="AM1436" t="s">
        <v>262</v>
      </c>
      <c r="AN1436" t="s">
        <v>4193</v>
      </c>
    </row>
    <row r="1437" spans="1:40" x14ac:dyDescent="0.35">
      <c r="A1437">
        <v>6363055</v>
      </c>
      <c r="B1437" t="s">
        <v>4194</v>
      </c>
      <c r="C1437" t="str">
        <f>""</f>
        <v/>
      </c>
      <c r="D1437" t="str">
        <f>"9789179298142"</f>
        <v>9789179298142</v>
      </c>
      <c r="E1437" t="s">
        <v>3642</v>
      </c>
      <c r="F1437" t="s">
        <v>3642</v>
      </c>
      <c r="G1437" s="1">
        <v>44106</v>
      </c>
      <c r="H1437" s="1">
        <v>44109</v>
      </c>
      <c r="I1437" t="s">
        <v>189</v>
      </c>
      <c r="J1437">
        <v>1</v>
      </c>
      <c r="L1437" t="s">
        <v>4195</v>
      </c>
      <c r="Q1437" t="s">
        <v>260</v>
      </c>
      <c r="R1437" t="s">
        <v>261</v>
      </c>
      <c r="S1437" t="s">
        <v>261</v>
      </c>
      <c r="T1437" t="s">
        <v>261</v>
      </c>
      <c r="U1437" t="s">
        <v>261</v>
      </c>
      <c r="V1437" t="s">
        <v>262</v>
      </c>
      <c r="W1437" t="s">
        <v>261</v>
      </c>
      <c r="X1437" t="s">
        <v>261</v>
      </c>
      <c r="Y1437" t="s">
        <v>261</v>
      </c>
      <c r="AD1437" t="s">
        <v>261</v>
      </c>
      <c r="AH1437" t="s">
        <v>262</v>
      </c>
      <c r="AI1437" t="s">
        <v>261</v>
      </c>
      <c r="AJ1437" t="s">
        <v>261</v>
      </c>
      <c r="AK1437" t="s">
        <v>261</v>
      </c>
      <c r="AM1437" t="s">
        <v>262</v>
      </c>
      <c r="AN1437" t="s">
        <v>4196</v>
      </c>
    </row>
    <row r="1438" spans="1:40" x14ac:dyDescent="0.35">
      <c r="A1438">
        <v>6363056</v>
      </c>
      <c r="B1438" t="s">
        <v>4197</v>
      </c>
      <c r="C1438" t="str">
        <f>""</f>
        <v/>
      </c>
      <c r="D1438" t="str">
        <f>"9789179298203"</f>
        <v>9789179298203</v>
      </c>
      <c r="E1438" t="s">
        <v>3642</v>
      </c>
      <c r="F1438" t="s">
        <v>3642</v>
      </c>
      <c r="G1438" s="1">
        <v>44067</v>
      </c>
      <c r="H1438" s="1">
        <v>44109</v>
      </c>
      <c r="I1438" t="s">
        <v>189</v>
      </c>
      <c r="J1438">
        <v>1</v>
      </c>
      <c r="L1438" t="s">
        <v>4198</v>
      </c>
      <c r="Q1438" t="s">
        <v>260</v>
      </c>
      <c r="R1438" t="s">
        <v>261</v>
      </c>
      <c r="S1438" t="s">
        <v>261</v>
      </c>
      <c r="T1438" t="s">
        <v>261</v>
      </c>
      <c r="U1438" t="s">
        <v>261</v>
      </c>
      <c r="V1438" t="s">
        <v>262</v>
      </c>
      <c r="W1438" t="s">
        <v>261</v>
      </c>
      <c r="X1438" t="s">
        <v>261</v>
      </c>
      <c r="Y1438" t="s">
        <v>261</v>
      </c>
      <c r="AD1438" t="s">
        <v>261</v>
      </c>
      <c r="AH1438" t="s">
        <v>262</v>
      </c>
      <c r="AI1438" t="s">
        <v>261</v>
      </c>
      <c r="AJ1438" t="s">
        <v>261</v>
      </c>
      <c r="AK1438" t="s">
        <v>261</v>
      </c>
      <c r="AM1438" t="s">
        <v>262</v>
      </c>
      <c r="AN1438" t="s">
        <v>4199</v>
      </c>
    </row>
    <row r="1439" spans="1:40" x14ac:dyDescent="0.35">
      <c r="A1439">
        <v>6363057</v>
      </c>
      <c r="B1439" t="s">
        <v>4200</v>
      </c>
      <c r="C1439" t="str">
        <f>""</f>
        <v/>
      </c>
      <c r="D1439" t="str">
        <f>"9789179297961"</f>
        <v>9789179297961</v>
      </c>
      <c r="E1439" t="s">
        <v>3642</v>
      </c>
      <c r="F1439" t="s">
        <v>3642</v>
      </c>
      <c r="G1439" s="1">
        <v>44103</v>
      </c>
      <c r="H1439" s="1">
        <v>44109</v>
      </c>
      <c r="I1439" t="s">
        <v>189</v>
      </c>
      <c r="L1439" t="s">
        <v>4201</v>
      </c>
      <c r="Q1439" t="s">
        <v>260</v>
      </c>
      <c r="R1439" t="s">
        <v>261</v>
      </c>
      <c r="S1439" t="s">
        <v>261</v>
      </c>
      <c r="T1439" t="s">
        <v>261</v>
      </c>
      <c r="U1439" t="s">
        <v>261</v>
      </c>
      <c r="V1439" t="s">
        <v>262</v>
      </c>
      <c r="W1439" t="s">
        <v>261</v>
      </c>
      <c r="X1439" t="s">
        <v>261</v>
      </c>
      <c r="Y1439" t="s">
        <v>261</v>
      </c>
      <c r="AD1439" t="s">
        <v>261</v>
      </c>
      <c r="AH1439" t="s">
        <v>262</v>
      </c>
      <c r="AI1439" t="s">
        <v>261</v>
      </c>
      <c r="AJ1439" t="s">
        <v>261</v>
      </c>
      <c r="AK1439" t="s">
        <v>261</v>
      </c>
      <c r="AM1439" t="s">
        <v>262</v>
      </c>
      <c r="AN1439" t="s">
        <v>4202</v>
      </c>
    </row>
    <row r="1440" spans="1:40" x14ac:dyDescent="0.35">
      <c r="A1440">
        <v>6363058</v>
      </c>
      <c r="B1440" t="s">
        <v>4203</v>
      </c>
      <c r="C1440" t="str">
        <f>""</f>
        <v/>
      </c>
      <c r="D1440" t="str">
        <f>"9789179297930"</f>
        <v>9789179297930</v>
      </c>
      <c r="E1440" t="s">
        <v>3642</v>
      </c>
      <c r="F1440" t="s">
        <v>3642</v>
      </c>
      <c r="G1440" s="1">
        <v>44102</v>
      </c>
      <c r="H1440" s="1">
        <v>44109</v>
      </c>
      <c r="I1440" t="s">
        <v>189</v>
      </c>
      <c r="L1440" t="s">
        <v>4204</v>
      </c>
      <c r="Q1440" t="s">
        <v>260</v>
      </c>
      <c r="R1440" t="s">
        <v>261</v>
      </c>
      <c r="S1440" t="s">
        <v>261</v>
      </c>
      <c r="T1440" t="s">
        <v>261</v>
      </c>
      <c r="U1440" t="s">
        <v>261</v>
      </c>
      <c r="V1440" t="s">
        <v>262</v>
      </c>
      <c r="W1440" t="s">
        <v>261</v>
      </c>
      <c r="X1440" t="s">
        <v>261</v>
      </c>
      <c r="Y1440" t="s">
        <v>261</v>
      </c>
      <c r="AD1440" t="s">
        <v>261</v>
      </c>
      <c r="AH1440" t="s">
        <v>262</v>
      </c>
      <c r="AI1440" t="s">
        <v>261</v>
      </c>
      <c r="AJ1440" t="s">
        <v>261</v>
      </c>
      <c r="AK1440" t="s">
        <v>261</v>
      </c>
      <c r="AM1440" t="s">
        <v>262</v>
      </c>
      <c r="AN1440" t="s">
        <v>4205</v>
      </c>
    </row>
    <row r="1441" spans="1:40" x14ac:dyDescent="0.35">
      <c r="A1441">
        <v>6363059</v>
      </c>
      <c r="B1441" t="s">
        <v>4206</v>
      </c>
      <c r="C1441" t="str">
        <f>""</f>
        <v/>
      </c>
      <c r="D1441" t="str">
        <f>"9789179297817"</f>
        <v>9789179297817</v>
      </c>
      <c r="E1441" t="s">
        <v>3642</v>
      </c>
      <c r="F1441" t="s">
        <v>3642</v>
      </c>
      <c r="G1441" s="1">
        <v>44102</v>
      </c>
      <c r="H1441" s="1">
        <v>44109</v>
      </c>
      <c r="I1441" t="s">
        <v>189</v>
      </c>
      <c r="J1441">
        <v>1</v>
      </c>
      <c r="L1441" t="s">
        <v>4207</v>
      </c>
      <c r="Q1441" t="s">
        <v>260</v>
      </c>
      <c r="R1441" t="s">
        <v>261</v>
      </c>
      <c r="S1441" t="s">
        <v>261</v>
      </c>
      <c r="T1441" t="s">
        <v>261</v>
      </c>
      <c r="U1441" t="s">
        <v>261</v>
      </c>
      <c r="V1441" t="s">
        <v>262</v>
      </c>
      <c r="W1441" t="s">
        <v>261</v>
      </c>
      <c r="X1441" t="s">
        <v>261</v>
      </c>
      <c r="Y1441" t="s">
        <v>261</v>
      </c>
      <c r="AD1441" t="s">
        <v>261</v>
      </c>
      <c r="AH1441" t="s">
        <v>262</v>
      </c>
      <c r="AI1441" t="s">
        <v>261</v>
      </c>
      <c r="AJ1441" t="s">
        <v>261</v>
      </c>
      <c r="AK1441" t="s">
        <v>261</v>
      </c>
      <c r="AM1441" t="s">
        <v>262</v>
      </c>
      <c r="AN1441" t="s">
        <v>4208</v>
      </c>
    </row>
    <row r="1442" spans="1:40" x14ac:dyDescent="0.35">
      <c r="A1442">
        <v>6363060</v>
      </c>
      <c r="B1442" t="s">
        <v>4209</v>
      </c>
      <c r="C1442" t="str">
        <f>""</f>
        <v/>
      </c>
      <c r="D1442" t="str">
        <f>"9789179297893"</f>
        <v>9789179297893</v>
      </c>
      <c r="E1442" t="s">
        <v>3642</v>
      </c>
      <c r="F1442" t="s">
        <v>3642</v>
      </c>
      <c r="G1442" s="1">
        <v>44104</v>
      </c>
      <c r="H1442" s="1">
        <v>44109</v>
      </c>
      <c r="I1442" t="s">
        <v>189</v>
      </c>
      <c r="J1442">
        <v>1</v>
      </c>
      <c r="L1442" t="s">
        <v>4210</v>
      </c>
      <c r="Q1442" t="s">
        <v>260</v>
      </c>
      <c r="R1442" t="s">
        <v>261</v>
      </c>
      <c r="S1442" t="s">
        <v>261</v>
      </c>
      <c r="T1442" t="s">
        <v>261</v>
      </c>
      <c r="U1442" t="s">
        <v>261</v>
      </c>
      <c r="V1442" t="s">
        <v>262</v>
      </c>
      <c r="W1442" t="s">
        <v>261</v>
      </c>
      <c r="X1442" t="s">
        <v>261</v>
      </c>
      <c r="Y1442" t="s">
        <v>261</v>
      </c>
      <c r="AD1442" t="s">
        <v>261</v>
      </c>
      <c r="AH1442" t="s">
        <v>262</v>
      </c>
      <c r="AI1442" t="s">
        <v>261</v>
      </c>
      <c r="AJ1442" t="s">
        <v>261</v>
      </c>
      <c r="AK1442" t="s">
        <v>261</v>
      </c>
      <c r="AM1442" t="s">
        <v>262</v>
      </c>
      <c r="AN1442" t="s">
        <v>4211</v>
      </c>
    </row>
    <row r="1443" spans="1:40" x14ac:dyDescent="0.35">
      <c r="A1443">
        <v>6363061</v>
      </c>
      <c r="B1443" t="s">
        <v>4212</v>
      </c>
      <c r="C1443" t="str">
        <f>""</f>
        <v/>
      </c>
      <c r="D1443" t="str">
        <f>"9789179298265"</f>
        <v>9789179298265</v>
      </c>
      <c r="E1443" t="s">
        <v>3642</v>
      </c>
      <c r="F1443" t="s">
        <v>3642</v>
      </c>
      <c r="G1443" s="1">
        <v>44102</v>
      </c>
      <c r="H1443" s="1">
        <v>44109</v>
      </c>
      <c r="I1443" t="s">
        <v>189</v>
      </c>
      <c r="J1443">
        <v>1</v>
      </c>
      <c r="L1443" t="s">
        <v>4213</v>
      </c>
      <c r="Q1443" t="s">
        <v>260</v>
      </c>
      <c r="R1443" t="s">
        <v>261</v>
      </c>
      <c r="S1443" t="s">
        <v>261</v>
      </c>
      <c r="T1443" t="s">
        <v>261</v>
      </c>
      <c r="U1443" t="s">
        <v>261</v>
      </c>
      <c r="V1443" t="s">
        <v>262</v>
      </c>
      <c r="W1443" t="s">
        <v>261</v>
      </c>
      <c r="X1443" t="s">
        <v>261</v>
      </c>
      <c r="Y1443" t="s">
        <v>261</v>
      </c>
      <c r="AD1443" t="s">
        <v>261</v>
      </c>
      <c r="AH1443" t="s">
        <v>262</v>
      </c>
      <c r="AI1443" t="s">
        <v>261</v>
      </c>
      <c r="AJ1443" t="s">
        <v>261</v>
      </c>
      <c r="AK1443" t="s">
        <v>261</v>
      </c>
      <c r="AM1443" t="s">
        <v>262</v>
      </c>
      <c r="AN1443" t="s">
        <v>4214</v>
      </c>
    </row>
    <row r="1444" spans="1:40" x14ac:dyDescent="0.35">
      <c r="A1444">
        <v>6363081</v>
      </c>
      <c r="B1444" t="s">
        <v>4215</v>
      </c>
      <c r="C1444" t="str">
        <f>"9783030420963"</f>
        <v>9783030420963</v>
      </c>
      <c r="D1444" t="str">
        <f>"9783030420970"</f>
        <v>9783030420970</v>
      </c>
      <c r="E1444" t="s">
        <v>2289</v>
      </c>
      <c r="F1444" t="s">
        <v>2290</v>
      </c>
      <c r="G1444" s="1">
        <v>44005</v>
      </c>
      <c r="H1444" s="1">
        <v>44574</v>
      </c>
      <c r="I1444" t="s">
        <v>189</v>
      </c>
      <c r="K1444" t="s">
        <v>4216</v>
      </c>
      <c r="L1444" t="s">
        <v>4217</v>
      </c>
    </row>
    <row r="1445" spans="1:40" x14ac:dyDescent="0.35">
      <c r="A1445">
        <v>6363086</v>
      </c>
      <c r="B1445" t="s">
        <v>4218</v>
      </c>
      <c r="C1445" t="str">
        <f>"9783319120386"</f>
        <v>9783319120386</v>
      </c>
      <c r="D1445" t="str">
        <f>"9783319120393"</f>
        <v>9783319120393</v>
      </c>
      <c r="E1445" t="s">
        <v>2289</v>
      </c>
      <c r="F1445" t="s">
        <v>2290</v>
      </c>
      <c r="G1445" s="1">
        <v>42142</v>
      </c>
      <c r="H1445" s="1">
        <v>44567</v>
      </c>
      <c r="I1445" t="s">
        <v>189</v>
      </c>
      <c r="L1445" t="s">
        <v>4219</v>
      </c>
    </row>
    <row r="1446" spans="1:40" x14ac:dyDescent="0.35">
      <c r="A1446">
        <v>6363088</v>
      </c>
      <c r="B1446" t="s">
        <v>4220</v>
      </c>
      <c r="C1446" t="str">
        <f>"9783319215686"</f>
        <v>9783319215686</v>
      </c>
      <c r="D1446" t="str">
        <f>"9783319215693"</f>
        <v>9783319215693</v>
      </c>
      <c r="E1446" t="s">
        <v>2289</v>
      </c>
      <c r="F1446" t="s">
        <v>2290</v>
      </c>
      <c r="G1446" s="1">
        <v>42471</v>
      </c>
      <c r="H1446" s="1">
        <v>44567</v>
      </c>
      <c r="I1446" t="s">
        <v>189</v>
      </c>
      <c r="L1446" t="s">
        <v>4221</v>
      </c>
    </row>
    <row r="1447" spans="1:40" x14ac:dyDescent="0.35">
      <c r="A1447">
        <v>6363092</v>
      </c>
      <c r="B1447" t="s">
        <v>4222</v>
      </c>
      <c r="C1447" t="str">
        <f>"9783319272863"</f>
        <v>9783319272863</v>
      </c>
      <c r="D1447" t="str">
        <f>"9783319272887"</f>
        <v>9783319272887</v>
      </c>
      <c r="E1447" t="s">
        <v>2289</v>
      </c>
      <c r="F1447" t="s">
        <v>2290</v>
      </c>
      <c r="G1447" s="1">
        <v>42711</v>
      </c>
      <c r="H1447" s="1">
        <v>44567</v>
      </c>
      <c r="I1447" t="s">
        <v>189</v>
      </c>
      <c r="L1447" t="s">
        <v>4223</v>
      </c>
    </row>
    <row r="1448" spans="1:40" x14ac:dyDescent="0.35">
      <c r="A1448">
        <v>6363097</v>
      </c>
      <c r="B1448" t="s">
        <v>4224</v>
      </c>
      <c r="C1448" t="str">
        <f>"9783319163567"</f>
        <v>9783319163567</v>
      </c>
      <c r="D1448" t="str">
        <f>"9783319163574"</f>
        <v>9783319163574</v>
      </c>
      <c r="E1448" t="s">
        <v>2289</v>
      </c>
      <c r="F1448" t="s">
        <v>2290</v>
      </c>
      <c r="G1448" s="1">
        <v>42130</v>
      </c>
      <c r="H1448" s="1">
        <v>44567</v>
      </c>
      <c r="I1448" t="s">
        <v>189</v>
      </c>
      <c r="L1448" t="s">
        <v>4225</v>
      </c>
      <c r="M1448" t="s">
        <v>535</v>
      </c>
    </row>
    <row r="1449" spans="1:40" x14ac:dyDescent="0.35">
      <c r="A1449">
        <v>6363098</v>
      </c>
      <c r="B1449" t="s">
        <v>4226</v>
      </c>
      <c r="C1449" t="str">
        <f>"9783319397528"</f>
        <v>9783319397528</v>
      </c>
      <c r="D1449" t="str">
        <f>"9783319397542"</f>
        <v>9783319397542</v>
      </c>
      <c r="E1449" t="s">
        <v>2289</v>
      </c>
      <c r="F1449" t="s">
        <v>2290</v>
      </c>
      <c r="G1449" s="1">
        <v>42630</v>
      </c>
      <c r="H1449" s="1">
        <v>44567</v>
      </c>
      <c r="I1449" t="s">
        <v>189</v>
      </c>
      <c r="K1449" t="s">
        <v>4227</v>
      </c>
      <c r="L1449" t="s">
        <v>4228</v>
      </c>
      <c r="M1449" t="s">
        <v>329</v>
      </c>
      <c r="N1449" t="s">
        <v>4229</v>
      </c>
      <c r="Q1449" t="s">
        <v>260</v>
      </c>
      <c r="R1449" t="s">
        <v>261</v>
      </c>
      <c r="S1449" t="s">
        <v>261</v>
      </c>
      <c r="T1449" t="s">
        <v>261</v>
      </c>
      <c r="U1449" t="s">
        <v>262</v>
      </c>
      <c r="V1449" t="s">
        <v>262</v>
      </c>
      <c r="W1449" t="s">
        <v>261</v>
      </c>
      <c r="X1449" t="s">
        <v>261</v>
      </c>
      <c r="Y1449" t="s">
        <v>261</v>
      </c>
      <c r="Z1449" t="s">
        <v>409</v>
      </c>
      <c r="AA1449" t="s">
        <v>409</v>
      </c>
      <c r="AB1449" t="s">
        <v>409</v>
      </c>
      <c r="AC1449" t="s">
        <v>409</v>
      </c>
      <c r="AD1449" t="s">
        <v>261</v>
      </c>
      <c r="AH1449" t="s">
        <v>262</v>
      </c>
      <c r="AI1449" t="s">
        <v>262</v>
      </c>
      <c r="AJ1449" t="s">
        <v>261</v>
      </c>
      <c r="AK1449" t="s">
        <v>261</v>
      </c>
      <c r="AM1449" t="s">
        <v>262</v>
      </c>
      <c r="AN1449" t="s">
        <v>4230</v>
      </c>
    </row>
    <row r="1450" spans="1:40" x14ac:dyDescent="0.35">
      <c r="A1450">
        <v>6363101</v>
      </c>
      <c r="B1450" t="s">
        <v>4231</v>
      </c>
      <c r="C1450" t="str">
        <f>"9783319319025"</f>
        <v>9783319319025</v>
      </c>
      <c r="D1450" t="str">
        <f>"9783319319032"</f>
        <v>9783319319032</v>
      </c>
      <c r="E1450" t="s">
        <v>2289</v>
      </c>
      <c r="F1450" t="s">
        <v>2290</v>
      </c>
      <c r="G1450" s="1">
        <v>42734</v>
      </c>
      <c r="H1450" s="1">
        <v>44567</v>
      </c>
      <c r="I1450" t="s">
        <v>189</v>
      </c>
      <c r="L1450" t="s">
        <v>4232</v>
      </c>
    </row>
    <row r="1451" spans="1:40" x14ac:dyDescent="0.35">
      <c r="A1451">
        <v>6363103</v>
      </c>
      <c r="B1451" t="s">
        <v>4233</v>
      </c>
      <c r="C1451" t="str">
        <f>"9783319454702"</f>
        <v>9783319454702</v>
      </c>
      <c r="D1451" t="str">
        <f>"9783319454719"</f>
        <v>9783319454719</v>
      </c>
      <c r="E1451" t="s">
        <v>2289</v>
      </c>
      <c r="F1451" t="s">
        <v>2290</v>
      </c>
      <c r="G1451" s="1">
        <v>42655</v>
      </c>
      <c r="H1451" s="1">
        <v>44567</v>
      </c>
      <c r="I1451" t="s">
        <v>189</v>
      </c>
      <c r="K1451" t="s">
        <v>4234</v>
      </c>
      <c r="L1451" t="s">
        <v>4235</v>
      </c>
      <c r="M1451" t="s">
        <v>329</v>
      </c>
      <c r="N1451" t="s">
        <v>4236</v>
      </c>
      <c r="Q1451" t="s">
        <v>260</v>
      </c>
      <c r="R1451" t="s">
        <v>261</v>
      </c>
      <c r="S1451" t="s">
        <v>261</v>
      </c>
      <c r="T1451" t="s">
        <v>261</v>
      </c>
      <c r="U1451" t="s">
        <v>262</v>
      </c>
      <c r="V1451" t="s">
        <v>262</v>
      </c>
      <c r="W1451" t="s">
        <v>261</v>
      </c>
      <c r="X1451" t="s">
        <v>261</v>
      </c>
      <c r="Y1451" t="s">
        <v>261</v>
      </c>
      <c r="Z1451" t="s">
        <v>409</v>
      </c>
      <c r="AA1451" t="s">
        <v>409</v>
      </c>
      <c r="AB1451" t="s">
        <v>409</v>
      </c>
      <c r="AC1451" t="s">
        <v>409</v>
      </c>
      <c r="AD1451" t="s">
        <v>261</v>
      </c>
      <c r="AH1451" t="s">
        <v>262</v>
      </c>
      <c r="AI1451" t="s">
        <v>262</v>
      </c>
      <c r="AJ1451" t="s">
        <v>261</v>
      </c>
      <c r="AK1451" t="s">
        <v>261</v>
      </c>
      <c r="AM1451" t="s">
        <v>262</v>
      </c>
      <c r="AN1451" t="s">
        <v>4237</v>
      </c>
    </row>
    <row r="1452" spans="1:40" x14ac:dyDescent="0.35">
      <c r="A1452">
        <v>6363104</v>
      </c>
      <c r="B1452" t="s">
        <v>4238</v>
      </c>
      <c r="C1452" t="str">
        <f>"9783319165097"</f>
        <v>9783319165097</v>
      </c>
      <c r="D1452" t="str">
        <f>"9783319165103"</f>
        <v>9783319165103</v>
      </c>
      <c r="E1452" t="s">
        <v>2289</v>
      </c>
      <c r="F1452" t="s">
        <v>2290</v>
      </c>
      <c r="G1452" s="1">
        <v>42166</v>
      </c>
      <c r="H1452" s="1">
        <v>44567</v>
      </c>
      <c r="I1452" t="s">
        <v>189</v>
      </c>
      <c r="L1452" t="s">
        <v>4239</v>
      </c>
    </row>
    <row r="1453" spans="1:40" x14ac:dyDescent="0.35">
      <c r="A1453">
        <v>6363108</v>
      </c>
      <c r="B1453" t="s">
        <v>4240</v>
      </c>
      <c r="C1453" t="str">
        <f>"9783030331566"</f>
        <v>9783030331566</v>
      </c>
      <c r="D1453" t="str">
        <f>"9783030331573"</f>
        <v>9783030331573</v>
      </c>
      <c r="E1453" t="s">
        <v>2289</v>
      </c>
      <c r="F1453" t="s">
        <v>2290</v>
      </c>
      <c r="G1453" s="1">
        <v>44005</v>
      </c>
      <c r="H1453" s="1">
        <v>44566</v>
      </c>
      <c r="I1453" t="s">
        <v>189</v>
      </c>
      <c r="L1453" t="s">
        <v>4241</v>
      </c>
    </row>
    <row r="1454" spans="1:40" x14ac:dyDescent="0.35">
      <c r="A1454">
        <v>6363109</v>
      </c>
      <c r="B1454" t="s">
        <v>4242</v>
      </c>
      <c r="C1454" t="str">
        <f>"9783319263793"</f>
        <v>9783319263793</v>
      </c>
      <c r="D1454" t="str">
        <f>"9783319263809"</f>
        <v>9783319263809</v>
      </c>
      <c r="E1454" t="s">
        <v>2289</v>
      </c>
      <c r="F1454" t="s">
        <v>2290</v>
      </c>
      <c r="G1454" s="1">
        <v>42369</v>
      </c>
      <c r="H1454" s="1">
        <v>44567</v>
      </c>
      <c r="I1454" t="s">
        <v>189</v>
      </c>
      <c r="L1454" t="s">
        <v>4243</v>
      </c>
    </row>
    <row r="1455" spans="1:40" x14ac:dyDescent="0.35">
      <c r="A1455">
        <v>6363110</v>
      </c>
      <c r="B1455" t="s">
        <v>4244</v>
      </c>
      <c r="C1455" t="str">
        <f>"9783319397610"</f>
        <v>9783319397610</v>
      </c>
      <c r="D1455" t="str">
        <f>"9783319397634"</f>
        <v>9783319397634</v>
      </c>
      <c r="E1455" t="s">
        <v>2289</v>
      </c>
      <c r="F1455" t="s">
        <v>2290</v>
      </c>
      <c r="G1455" s="1">
        <v>42720</v>
      </c>
      <c r="H1455" s="1">
        <v>44567</v>
      </c>
      <c r="I1455" t="s">
        <v>189</v>
      </c>
      <c r="K1455" t="s">
        <v>1208</v>
      </c>
      <c r="L1455" t="s">
        <v>4245</v>
      </c>
    </row>
    <row r="1456" spans="1:40" x14ac:dyDescent="0.35">
      <c r="A1456">
        <v>6363125</v>
      </c>
      <c r="B1456" t="s">
        <v>4246</v>
      </c>
      <c r="C1456" t="str">
        <f>"9783319446202"</f>
        <v>9783319446202</v>
      </c>
      <c r="D1456" t="str">
        <f>"9783319446219"</f>
        <v>9783319446219</v>
      </c>
      <c r="E1456" t="s">
        <v>2289</v>
      </c>
      <c r="F1456" t="s">
        <v>2290</v>
      </c>
      <c r="G1456" s="1">
        <v>42769</v>
      </c>
      <c r="H1456" s="1">
        <v>44567</v>
      </c>
      <c r="I1456" t="s">
        <v>189</v>
      </c>
      <c r="L1456" t="s">
        <v>4247</v>
      </c>
    </row>
    <row r="1457" spans="1:13" x14ac:dyDescent="0.35">
      <c r="A1457">
        <v>6363127</v>
      </c>
      <c r="B1457" t="s">
        <v>4248</v>
      </c>
      <c r="C1457" t="str">
        <f>"9783319091136"</f>
        <v>9783319091136</v>
      </c>
      <c r="D1457" t="str">
        <f>"9783319091143"</f>
        <v>9783319091143</v>
      </c>
      <c r="E1457" t="s">
        <v>2289</v>
      </c>
      <c r="F1457" t="s">
        <v>2290</v>
      </c>
      <c r="G1457" s="1">
        <v>42026</v>
      </c>
      <c r="H1457" s="1">
        <v>44567</v>
      </c>
      <c r="I1457" t="s">
        <v>189</v>
      </c>
      <c r="K1457" t="s">
        <v>4249</v>
      </c>
      <c r="L1457" t="s">
        <v>4250</v>
      </c>
    </row>
    <row r="1458" spans="1:13" x14ac:dyDescent="0.35">
      <c r="A1458">
        <v>6363131</v>
      </c>
      <c r="B1458" t="s">
        <v>4251</v>
      </c>
      <c r="C1458" t="str">
        <f>"9783319080536"</f>
        <v>9783319080536</v>
      </c>
      <c r="D1458" t="str">
        <f>"9783319080543"</f>
        <v>9783319080543</v>
      </c>
      <c r="E1458" t="s">
        <v>2289</v>
      </c>
      <c r="F1458" t="s">
        <v>2290</v>
      </c>
      <c r="G1458" s="1">
        <v>41968</v>
      </c>
      <c r="H1458" s="1">
        <v>44567</v>
      </c>
      <c r="I1458" t="s">
        <v>189</v>
      </c>
      <c r="L1458" t="s">
        <v>4252</v>
      </c>
    </row>
    <row r="1459" spans="1:13" x14ac:dyDescent="0.35">
      <c r="A1459">
        <v>6363132</v>
      </c>
      <c r="B1459" t="s">
        <v>4253</v>
      </c>
      <c r="C1459" t="str">
        <f>"9783319450193"</f>
        <v>9783319450193</v>
      </c>
      <c r="D1459" t="str">
        <f>"9783319450216"</f>
        <v>9783319450216</v>
      </c>
      <c r="E1459" t="s">
        <v>2289</v>
      </c>
      <c r="F1459" t="s">
        <v>2290</v>
      </c>
      <c r="G1459" s="1">
        <v>42720</v>
      </c>
      <c r="H1459" s="1">
        <v>44567</v>
      </c>
      <c r="I1459" t="s">
        <v>189</v>
      </c>
      <c r="L1459" t="s">
        <v>73</v>
      </c>
    </row>
    <row r="1460" spans="1:13" x14ac:dyDescent="0.35">
      <c r="A1460">
        <v>6363134</v>
      </c>
      <c r="B1460" t="s">
        <v>4254</v>
      </c>
      <c r="C1460" t="str">
        <f>"9783319175447"</f>
        <v>9783319175447</v>
      </c>
      <c r="D1460" t="str">
        <f>"9783319175454"</f>
        <v>9783319175454</v>
      </c>
      <c r="E1460" t="s">
        <v>2289</v>
      </c>
      <c r="F1460" t="s">
        <v>2290</v>
      </c>
      <c r="G1460" s="1">
        <v>42312</v>
      </c>
      <c r="H1460" s="1">
        <v>44567</v>
      </c>
      <c r="I1460" t="s">
        <v>189</v>
      </c>
      <c r="L1460" t="s">
        <v>4255</v>
      </c>
      <c r="M1460" t="s">
        <v>944</v>
      </c>
    </row>
    <row r="1461" spans="1:13" x14ac:dyDescent="0.35">
      <c r="A1461">
        <v>6363136</v>
      </c>
      <c r="B1461" t="s">
        <v>4256</v>
      </c>
      <c r="C1461" t="str">
        <f>"9783030477004"</f>
        <v>9783030477004</v>
      </c>
      <c r="D1461" t="str">
        <f>"9783030477011"</f>
        <v>9783030477011</v>
      </c>
      <c r="E1461" t="s">
        <v>2289</v>
      </c>
      <c r="F1461" t="s">
        <v>2290</v>
      </c>
      <c r="G1461" s="1">
        <v>44001</v>
      </c>
      <c r="H1461" s="1">
        <v>44581</v>
      </c>
      <c r="I1461" t="s">
        <v>189</v>
      </c>
      <c r="L1461" t="s">
        <v>4257</v>
      </c>
    </row>
    <row r="1462" spans="1:13" x14ac:dyDescent="0.35">
      <c r="A1462">
        <v>6363137</v>
      </c>
      <c r="B1462" t="s">
        <v>4258</v>
      </c>
      <c r="C1462" t="str">
        <f>"9783319412511"</f>
        <v>9783319412511</v>
      </c>
      <c r="D1462" t="str">
        <f>"9783319412528"</f>
        <v>9783319412528</v>
      </c>
      <c r="E1462" t="s">
        <v>2289</v>
      </c>
      <c r="F1462" t="s">
        <v>2290</v>
      </c>
      <c r="G1462" s="1">
        <v>42643</v>
      </c>
      <c r="H1462" s="1">
        <v>44567</v>
      </c>
      <c r="I1462" t="s">
        <v>189</v>
      </c>
      <c r="K1462" t="s">
        <v>4096</v>
      </c>
      <c r="L1462" t="s">
        <v>4259</v>
      </c>
    </row>
    <row r="1463" spans="1:13" x14ac:dyDescent="0.35">
      <c r="A1463">
        <v>6363139</v>
      </c>
      <c r="B1463" t="s">
        <v>4260</v>
      </c>
      <c r="C1463" t="str">
        <f>"9783319169248"</f>
        <v>9783319169248</v>
      </c>
      <c r="D1463" t="str">
        <f>"9783319169255"</f>
        <v>9783319169255</v>
      </c>
      <c r="E1463" t="s">
        <v>2289</v>
      </c>
      <c r="F1463" t="s">
        <v>2290</v>
      </c>
      <c r="G1463" s="1">
        <v>42200</v>
      </c>
      <c r="H1463" s="1">
        <v>44567</v>
      </c>
      <c r="I1463" t="s">
        <v>189</v>
      </c>
      <c r="K1463" t="s">
        <v>4261</v>
      </c>
      <c r="L1463" t="s">
        <v>4262</v>
      </c>
    </row>
    <row r="1464" spans="1:13" x14ac:dyDescent="0.35">
      <c r="A1464">
        <v>6363140</v>
      </c>
      <c r="B1464" t="s">
        <v>4263</v>
      </c>
      <c r="C1464" t="str">
        <f>"9783319184272"</f>
        <v>9783319184272</v>
      </c>
      <c r="D1464" t="str">
        <f>"9783319184289"</f>
        <v>9783319184289</v>
      </c>
      <c r="E1464" t="s">
        <v>2289</v>
      </c>
      <c r="F1464" t="s">
        <v>2290</v>
      </c>
      <c r="G1464" s="1">
        <v>42165</v>
      </c>
      <c r="H1464" s="1">
        <v>44567</v>
      </c>
      <c r="I1464" t="s">
        <v>189</v>
      </c>
      <c r="L1464" t="s">
        <v>4264</v>
      </c>
    </row>
    <row r="1465" spans="1:13" x14ac:dyDescent="0.35">
      <c r="A1465">
        <v>6363143</v>
      </c>
      <c r="B1465" t="s">
        <v>4265</v>
      </c>
      <c r="C1465" t="str">
        <f>"9789811565397"</f>
        <v>9789811565397</v>
      </c>
      <c r="D1465" t="str">
        <f>"9789811565403"</f>
        <v>9789811565403</v>
      </c>
      <c r="E1465" t="s">
        <v>3404</v>
      </c>
      <c r="F1465" t="s">
        <v>2663</v>
      </c>
      <c r="G1465" s="1">
        <v>44107</v>
      </c>
      <c r="H1465" s="1">
        <v>44279</v>
      </c>
      <c r="I1465" t="s">
        <v>189</v>
      </c>
      <c r="K1465" t="s">
        <v>4266</v>
      </c>
      <c r="L1465" t="s">
        <v>4267</v>
      </c>
    </row>
    <row r="1466" spans="1:13" x14ac:dyDescent="0.35">
      <c r="A1466">
        <v>6363147</v>
      </c>
      <c r="B1466" t="s">
        <v>4268</v>
      </c>
      <c r="C1466" t="str">
        <f>"9783319280639"</f>
        <v>9783319280639</v>
      </c>
      <c r="D1466" t="str">
        <f>"9783319280646"</f>
        <v>9783319280646</v>
      </c>
      <c r="E1466" t="s">
        <v>2289</v>
      </c>
      <c r="F1466" t="s">
        <v>2290</v>
      </c>
      <c r="G1466" s="1">
        <v>42484</v>
      </c>
      <c r="H1466" s="1">
        <v>44567</v>
      </c>
      <c r="I1466" t="s">
        <v>189</v>
      </c>
      <c r="K1466" t="s">
        <v>4096</v>
      </c>
      <c r="L1466" t="s">
        <v>4269</v>
      </c>
    </row>
    <row r="1467" spans="1:13" x14ac:dyDescent="0.35">
      <c r="A1467">
        <v>6363149</v>
      </c>
      <c r="B1467" t="s">
        <v>4270</v>
      </c>
      <c r="C1467" t="str">
        <f>"9783319290140"</f>
        <v>9783319290140</v>
      </c>
      <c r="D1467" t="str">
        <f>"9783319290164"</f>
        <v>9783319290164</v>
      </c>
      <c r="E1467" t="s">
        <v>2289</v>
      </c>
      <c r="F1467" t="s">
        <v>2290</v>
      </c>
      <c r="G1467" s="1">
        <v>42489</v>
      </c>
      <c r="H1467" s="1">
        <v>44567</v>
      </c>
      <c r="I1467" t="s">
        <v>189</v>
      </c>
      <c r="L1467" t="s">
        <v>4271</v>
      </c>
    </row>
    <row r="1468" spans="1:13" x14ac:dyDescent="0.35">
      <c r="A1468">
        <v>6363154</v>
      </c>
      <c r="B1468" t="s">
        <v>4272</v>
      </c>
      <c r="C1468" t="str">
        <f>"9783319504681"</f>
        <v>9783319504681</v>
      </c>
      <c r="D1468" t="str">
        <f>"9783319504698"</f>
        <v>9783319504698</v>
      </c>
      <c r="E1468" t="s">
        <v>2289</v>
      </c>
      <c r="F1468" t="s">
        <v>2290</v>
      </c>
      <c r="G1468" s="1">
        <v>42734</v>
      </c>
      <c r="H1468" s="1">
        <v>44567</v>
      </c>
      <c r="I1468" t="s">
        <v>189</v>
      </c>
      <c r="L1468" t="s">
        <v>4273</v>
      </c>
      <c r="M1468" t="s">
        <v>282</v>
      </c>
    </row>
    <row r="1469" spans="1:13" x14ac:dyDescent="0.35">
      <c r="A1469">
        <v>6363157</v>
      </c>
      <c r="B1469" t="s">
        <v>4274</v>
      </c>
      <c r="C1469" t="str">
        <f>"9783319255576"</f>
        <v>9783319255576</v>
      </c>
      <c r="D1469" t="str">
        <f>"9783319255590"</f>
        <v>9783319255590</v>
      </c>
      <c r="E1469" t="s">
        <v>2289</v>
      </c>
      <c r="F1469" t="s">
        <v>2290</v>
      </c>
      <c r="G1469" s="1">
        <v>42388</v>
      </c>
      <c r="H1469" s="1">
        <v>44567</v>
      </c>
      <c r="I1469" t="s">
        <v>189</v>
      </c>
      <c r="L1469" t="s">
        <v>4275</v>
      </c>
    </row>
    <row r="1470" spans="1:13" x14ac:dyDescent="0.35">
      <c r="A1470">
        <v>6363163</v>
      </c>
      <c r="B1470" t="s">
        <v>4276</v>
      </c>
      <c r="C1470" t="str">
        <f>"9783030390655"</f>
        <v>9783030390655</v>
      </c>
      <c r="D1470" t="str">
        <f>"9783030390662"</f>
        <v>9783030390662</v>
      </c>
      <c r="E1470" t="s">
        <v>2289</v>
      </c>
      <c r="F1470" t="s">
        <v>2290</v>
      </c>
      <c r="G1470" s="1">
        <v>43992</v>
      </c>
      <c r="H1470" s="1">
        <v>44574</v>
      </c>
      <c r="I1470" t="s">
        <v>189</v>
      </c>
      <c r="K1470" t="s">
        <v>4277</v>
      </c>
      <c r="L1470" t="s">
        <v>4278</v>
      </c>
    </row>
    <row r="1471" spans="1:13" x14ac:dyDescent="0.35">
      <c r="A1471">
        <v>6363164</v>
      </c>
      <c r="B1471" t="s">
        <v>4279</v>
      </c>
      <c r="C1471" t="str">
        <f>"9783319000251"</f>
        <v>9783319000251</v>
      </c>
      <c r="D1471" t="str">
        <f>"9783319000268"</f>
        <v>9783319000268</v>
      </c>
      <c r="E1471" t="s">
        <v>2289</v>
      </c>
      <c r="F1471" t="s">
        <v>2290</v>
      </c>
      <c r="G1471" s="1">
        <v>41649</v>
      </c>
      <c r="H1471" s="1">
        <v>44567</v>
      </c>
      <c r="I1471" t="s">
        <v>189</v>
      </c>
      <c r="L1471" t="s">
        <v>4280</v>
      </c>
    </row>
    <row r="1472" spans="1:13" x14ac:dyDescent="0.35">
      <c r="A1472">
        <v>6363170</v>
      </c>
      <c r="B1472" t="s">
        <v>4281</v>
      </c>
      <c r="C1472" t="str">
        <f>"9783319201696"</f>
        <v>9783319201696</v>
      </c>
      <c r="D1472" t="str">
        <f>"9783319201702"</f>
        <v>9783319201702</v>
      </c>
      <c r="E1472" t="s">
        <v>2289</v>
      </c>
      <c r="F1472" t="s">
        <v>2290</v>
      </c>
      <c r="G1472" s="1">
        <v>42704</v>
      </c>
      <c r="H1472" s="1">
        <v>44567</v>
      </c>
      <c r="I1472" t="s">
        <v>189</v>
      </c>
      <c r="K1472" t="s">
        <v>4216</v>
      </c>
      <c r="L1472" t="s">
        <v>4282</v>
      </c>
    </row>
    <row r="1473" spans="1:40" x14ac:dyDescent="0.35">
      <c r="A1473">
        <v>6363174</v>
      </c>
      <c r="B1473" t="s">
        <v>4283</v>
      </c>
      <c r="C1473" t="str">
        <f>"9783030422738"</f>
        <v>9783030422738</v>
      </c>
      <c r="D1473" t="str">
        <f>"9783030422745"</f>
        <v>9783030422745</v>
      </c>
      <c r="E1473" t="s">
        <v>2289</v>
      </c>
      <c r="F1473" t="s">
        <v>2290</v>
      </c>
      <c r="G1473" s="1">
        <v>43994</v>
      </c>
      <c r="H1473" s="1">
        <v>44581</v>
      </c>
      <c r="I1473" t="s">
        <v>189</v>
      </c>
      <c r="L1473" t="s">
        <v>4284</v>
      </c>
    </row>
    <row r="1474" spans="1:40" x14ac:dyDescent="0.35">
      <c r="A1474">
        <v>6367471</v>
      </c>
      <c r="B1474" t="s">
        <v>4285</v>
      </c>
      <c r="C1474" t="str">
        <f>"9783319575315"</f>
        <v>9783319575315</v>
      </c>
      <c r="D1474" t="str">
        <f>"9783319575322"</f>
        <v>9783319575322</v>
      </c>
      <c r="E1474" t="s">
        <v>2289</v>
      </c>
      <c r="F1474" t="s">
        <v>2290</v>
      </c>
      <c r="G1474" s="1">
        <v>42915</v>
      </c>
      <c r="H1474" s="1">
        <v>44567</v>
      </c>
      <c r="I1474" t="s">
        <v>189</v>
      </c>
      <c r="K1474" t="s">
        <v>4286</v>
      </c>
      <c r="L1474" t="s">
        <v>4287</v>
      </c>
    </row>
    <row r="1475" spans="1:40" x14ac:dyDescent="0.35">
      <c r="A1475">
        <v>6367798</v>
      </c>
      <c r="B1475" t="s">
        <v>4288</v>
      </c>
      <c r="C1475" t="str">
        <f>"9783319031361"</f>
        <v>9783319031361</v>
      </c>
      <c r="D1475" t="str">
        <f>"9783319031378"</f>
        <v>9783319031378</v>
      </c>
      <c r="E1475" t="s">
        <v>2289</v>
      </c>
      <c r="F1475" t="s">
        <v>2290</v>
      </c>
      <c r="G1475" s="1">
        <v>41626</v>
      </c>
      <c r="H1475" s="1">
        <v>44567</v>
      </c>
      <c r="I1475" t="s">
        <v>189</v>
      </c>
      <c r="K1475" t="s">
        <v>4289</v>
      </c>
      <c r="L1475" t="s">
        <v>4290</v>
      </c>
    </row>
    <row r="1476" spans="1:40" x14ac:dyDescent="0.35">
      <c r="A1476">
        <v>6367905</v>
      </c>
      <c r="B1476" t="s">
        <v>4291</v>
      </c>
      <c r="C1476" t="str">
        <f>"9783319038643"</f>
        <v>9783319038643</v>
      </c>
      <c r="D1476" t="str">
        <f>"9783319038650"</f>
        <v>9783319038650</v>
      </c>
      <c r="E1476" t="s">
        <v>2289</v>
      </c>
      <c r="F1476" t="s">
        <v>2290</v>
      </c>
      <c r="G1476" s="1">
        <v>41753</v>
      </c>
      <c r="H1476" s="1">
        <v>44567</v>
      </c>
      <c r="I1476" t="s">
        <v>189</v>
      </c>
      <c r="K1476" t="s">
        <v>4292</v>
      </c>
      <c r="L1476" t="s">
        <v>4293</v>
      </c>
    </row>
    <row r="1477" spans="1:40" x14ac:dyDescent="0.35">
      <c r="A1477">
        <v>6367927</v>
      </c>
      <c r="B1477" t="s">
        <v>4294</v>
      </c>
      <c r="C1477" t="str">
        <f>"9783319559810"</f>
        <v>9783319559810</v>
      </c>
      <c r="D1477" t="str">
        <f>"9783319559827"</f>
        <v>9783319559827</v>
      </c>
      <c r="E1477" t="s">
        <v>2289</v>
      </c>
      <c r="F1477" t="s">
        <v>2290</v>
      </c>
      <c r="G1477" s="1">
        <v>42969</v>
      </c>
      <c r="H1477" s="1">
        <v>44567</v>
      </c>
      <c r="I1477" t="s">
        <v>189</v>
      </c>
      <c r="K1477" t="s">
        <v>4295</v>
      </c>
      <c r="L1477" t="s">
        <v>4296</v>
      </c>
    </row>
    <row r="1478" spans="1:40" x14ac:dyDescent="0.35">
      <c r="A1478">
        <v>6367944</v>
      </c>
      <c r="B1478" t="s">
        <v>4297</v>
      </c>
      <c r="C1478" t="str">
        <f>"9783319002323"</f>
        <v>9783319002323</v>
      </c>
      <c r="D1478" t="str">
        <f>"9783319002330"</f>
        <v>9783319002330</v>
      </c>
      <c r="E1478" t="s">
        <v>2289</v>
      </c>
      <c r="F1478" t="s">
        <v>2290</v>
      </c>
      <c r="G1478" s="1">
        <v>41564</v>
      </c>
      <c r="H1478" s="1">
        <v>44567</v>
      </c>
      <c r="I1478" t="s">
        <v>189</v>
      </c>
      <c r="L1478" t="s">
        <v>4298</v>
      </c>
    </row>
    <row r="1479" spans="1:40" x14ac:dyDescent="0.35">
      <c r="A1479">
        <v>6367945</v>
      </c>
      <c r="B1479" t="s">
        <v>4299</v>
      </c>
      <c r="C1479" t="str">
        <f>"9783319262987"</f>
        <v>9783319262987</v>
      </c>
      <c r="D1479" t="str">
        <f>"9783319263007"</f>
        <v>9783319263007</v>
      </c>
      <c r="E1479" t="s">
        <v>2289</v>
      </c>
      <c r="F1479" t="s">
        <v>2290</v>
      </c>
      <c r="G1479" s="1">
        <v>42548</v>
      </c>
      <c r="H1479" s="1">
        <v>44567</v>
      </c>
      <c r="I1479" t="s">
        <v>189</v>
      </c>
      <c r="K1479" t="s">
        <v>4300</v>
      </c>
      <c r="L1479" t="s">
        <v>4301</v>
      </c>
    </row>
    <row r="1480" spans="1:40" x14ac:dyDescent="0.35">
      <c r="A1480">
        <v>6367947</v>
      </c>
      <c r="B1480" t="s">
        <v>4302</v>
      </c>
      <c r="C1480" t="str">
        <f>"9783319412849"</f>
        <v>9783319412849</v>
      </c>
      <c r="D1480" t="str">
        <f>"9783319412856"</f>
        <v>9783319412856</v>
      </c>
      <c r="E1480" t="s">
        <v>2289</v>
      </c>
      <c r="F1480" t="s">
        <v>2290</v>
      </c>
      <c r="G1480" s="1">
        <v>42626</v>
      </c>
      <c r="H1480" s="1">
        <v>44567</v>
      </c>
      <c r="I1480" t="s">
        <v>189</v>
      </c>
      <c r="K1480" t="s">
        <v>4303</v>
      </c>
      <c r="L1480" t="s">
        <v>4304</v>
      </c>
      <c r="M1480" t="s">
        <v>535</v>
      </c>
    </row>
    <row r="1481" spans="1:40" x14ac:dyDescent="0.35">
      <c r="A1481">
        <v>6367948</v>
      </c>
      <c r="B1481" t="s">
        <v>4305</v>
      </c>
      <c r="C1481" t="str">
        <f>"9783030493912"</f>
        <v>9783030493912</v>
      </c>
      <c r="D1481" t="str">
        <f>"9783030493929"</f>
        <v>9783030493929</v>
      </c>
      <c r="E1481" t="s">
        <v>2289</v>
      </c>
      <c r="F1481" t="s">
        <v>2290</v>
      </c>
      <c r="G1481" s="1">
        <v>43979</v>
      </c>
      <c r="H1481" s="1">
        <v>44581</v>
      </c>
      <c r="I1481" t="s">
        <v>189</v>
      </c>
      <c r="K1481" t="s">
        <v>4306</v>
      </c>
      <c r="L1481" t="s">
        <v>4307</v>
      </c>
    </row>
    <row r="1482" spans="1:40" x14ac:dyDescent="0.35">
      <c r="A1482">
        <v>6367949</v>
      </c>
      <c r="B1482" t="s">
        <v>4308</v>
      </c>
      <c r="C1482" t="str">
        <f>"9783319413020"</f>
        <v>9783319413020</v>
      </c>
      <c r="D1482" t="str">
        <f>"9783319413044"</f>
        <v>9783319413044</v>
      </c>
      <c r="E1482" t="s">
        <v>2289</v>
      </c>
      <c r="F1482" t="s">
        <v>2290</v>
      </c>
      <c r="G1482" s="1">
        <v>43000</v>
      </c>
      <c r="H1482" s="1">
        <v>44567</v>
      </c>
      <c r="I1482" t="s">
        <v>189</v>
      </c>
      <c r="K1482" t="s">
        <v>4180</v>
      </c>
      <c r="L1482" t="s">
        <v>4309</v>
      </c>
      <c r="M1482" t="s">
        <v>249</v>
      </c>
      <c r="N1482" t="s">
        <v>4310</v>
      </c>
      <c r="Q1482" t="s">
        <v>260</v>
      </c>
      <c r="R1482" t="s">
        <v>261</v>
      </c>
      <c r="S1482" t="s">
        <v>261</v>
      </c>
      <c r="T1482" t="s">
        <v>261</v>
      </c>
      <c r="U1482" t="s">
        <v>262</v>
      </c>
      <c r="V1482" t="s">
        <v>262</v>
      </c>
      <c r="W1482" t="s">
        <v>261</v>
      </c>
      <c r="X1482" t="s">
        <v>261</v>
      </c>
      <c r="Y1482" t="s">
        <v>261</v>
      </c>
      <c r="Z1482" t="s">
        <v>409</v>
      </c>
      <c r="AA1482" t="s">
        <v>409</v>
      </c>
      <c r="AB1482" t="s">
        <v>409</v>
      </c>
      <c r="AC1482" t="s">
        <v>409</v>
      </c>
      <c r="AD1482" t="s">
        <v>261</v>
      </c>
      <c r="AH1482" t="s">
        <v>262</v>
      </c>
      <c r="AI1482" t="s">
        <v>262</v>
      </c>
      <c r="AJ1482" t="s">
        <v>261</v>
      </c>
      <c r="AK1482" t="s">
        <v>261</v>
      </c>
      <c r="AM1482" t="s">
        <v>262</v>
      </c>
      <c r="AN1482" t="s">
        <v>4311</v>
      </c>
    </row>
    <row r="1483" spans="1:40" x14ac:dyDescent="0.35">
      <c r="A1483">
        <v>6367961</v>
      </c>
      <c r="B1483" t="s">
        <v>4312</v>
      </c>
      <c r="C1483" t="str">
        <f>"9783319235752"</f>
        <v>9783319235752</v>
      </c>
      <c r="D1483" t="str">
        <f>"9783319235769"</f>
        <v>9783319235769</v>
      </c>
      <c r="E1483" t="s">
        <v>2289</v>
      </c>
      <c r="F1483" t="s">
        <v>2290</v>
      </c>
      <c r="G1483" s="1">
        <v>42620</v>
      </c>
      <c r="H1483" s="1">
        <v>44567</v>
      </c>
      <c r="I1483" t="s">
        <v>189</v>
      </c>
      <c r="L1483" t="s">
        <v>4313</v>
      </c>
    </row>
    <row r="1484" spans="1:40" x14ac:dyDescent="0.35">
      <c r="A1484">
        <v>6367962</v>
      </c>
      <c r="B1484" t="s">
        <v>4314</v>
      </c>
      <c r="C1484" t="str">
        <f>"9783319582948"</f>
        <v>9783319582948</v>
      </c>
      <c r="D1484" t="str">
        <f>"9783319582955"</f>
        <v>9783319582955</v>
      </c>
      <c r="E1484" t="s">
        <v>2289</v>
      </c>
      <c r="F1484" t="s">
        <v>2290</v>
      </c>
      <c r="G1484" s="1">
        <v>42923</v>
      </c>
      <c r="H1484" s="1">
        <v>44543</v>
      </c>
      <c r="I1484" t="s">
        <v>189</v>
      </c>
      <c r="K1484" t="s">
        <v>4315</v>
      </c>
      <c r="L1484" t="s">
        <v>1924</v>
      </c>
    </row>
    <row r="1485" spans="1:40" x14ac:dyDescent="0.35">
      <c r="A1485">
        <v>6367968</v>
      </c>
      <c r="B1485" t="s">
        <v>4316</v>
      </c>
      <c r="C1485" t="str">
        <f>"9783319647302"</f>
        <v>9783319647302</v>
      </c>
      <c r="D1485" t="str">
        <f>"9783319647319"</f>
        <v>9783319647319</v>
      </c>
      <c r="E1485" t="s">
        <v>2289</v>
      </c>
      <c r="F1485" t="s">
        <v>2290</v>
      </c>
      <c r="G1485" s="1">
        <v>43082</v>
      </c>
      <c r="H1485" s="1">
        <v>44567</v>
      </c>
      <c r="I1485" t="s">
        <v>189</v>
      </c>
      <c r="K1485" t="s">
        <v>4317</v>
      </c>
      <c r="L1485" t="s">
        <v>4318</v>
      </c>
    </row>
    <row r="1486" spans="1:40" x14ac:dyDescent="0.35">
      <c r="A1486">
        <v>6367970</v>
      </c>
      <c r="B1486" t="s">
        <v>4319</v>
      </c>
      <c r="C1486" t="str">
        <f>"9783319254722"</f>
        <v>9783319254722</v>
      </c>
      <c r="D1486" t="str">
        <f>"9783319254746"</f>
        <v>9783319254746</v>
      </c>
      <c r="E1486" t="s">
        <v>2289</v>
      </c>
      <c r="F1486" t="s">
        <v>2290</v>
      </c>
      <c r="G1486" s="1">
        <v>42476</v>
      </c>
      <c r="H1486" s="1">
        <v>44567</v>
      </c>
      <c r="I1486" t="s">
        <v>189</v>
      </c>
      <c r="K1486" t="s">
        <v>4320</v>
      </c>
      <c r="L1486" t="s">
        <v>4321</v>
      </c>
    </row>
    <row r="1487" spans="1:40" x14ac:dyDescent="0.35">
      <c r="A1487">
        <v>6368222</v>
      </c>
      <c r="B1487" t="s">
        <v>4322</v>
      </c>
      <c r="C1487" t="str">
        <f>"9781783745760"</f>
        <v>9781783745760</v>
      </c>
      <c r="D1487" t="str">
        <f>"9781783745777"</f>
        <v>9781783745777</v>
      </c>
      <c r="E1487" t="s">
        <v>1807</v>
      </c>
      <c r="F1487" t="s">
        <v>1807</v>
      </c>
      <c r="G1487" s="1">
        <v>44085</v>
      </c>
      <c r="H1487" s="1">
        <v>44112</v>
      </c>
      <c r="I1487" t="s">
        <v>189</v>
      </c>
      <c r="J1487">
        <v>1</v>
      </c>
      <c r="L1487" t="s">
        <v>4323</v>
      </c>
      <c r="M1487" t="s">
        <v>219</v>
      </c>
      <c r="Q1487" t="s">
        <v>260</v>
      </c>
      <c r="R1487" t="s">
        <v>261</v>
      </c>
      <c r="S1487" t="s">
        <v>261</v>
      </c>
      <c r="T1487" t="s">
        <v>261</v>
      </c>
      <c r="U1487" t="s">
        <v>261</v>
      </c>
      <c r="V1487" t="s">
        <v>262</v>
      </c>
      <c r="W1487" t="s">
        <v>261</v>
      </c>
      <c r="X1487" t="s">
        <v>261</v>
      </c>
      <c r="Y1487" t="s">
        <v>261</v>
      </c>
      <c r="Z1487" t="s">
        <v>409</v>
      </c>
      <c r="AA1487" t="s">
        <v>409</v>
      </c>
      <c r="AB1487" t="s">
        <v>409</v>
      </c>
      <c r="AC1487" t="s">
        <v>409</v>
      </c>
      <c r="AD1487" t="s">
        <v>262</v>
      </c>
      <c r="AH1487" t="s">
        <v>262</v>
      </c>
      <c r="AI1487" t="s">
        <v>262</v>
      </c>
      <c r="AJ1487" t="s">
        <v>261</v>
      </c>
      <c r="AK1487" t="s">
        <v>261</v>
      </c>
      <c r="AM1487" t="s">
        <v>262</v>
      </c>
      <c r="AN1487" t="s">
        <v>4324</v>
      </c>
    </row>
    <row r="1488" spans="1:40" x14ac:dyDescent="0.35">
      <c r="A1488">
        <v>6368223</v>
      </c>
      <c r="B1488" t="s">
        <v>4325</v>
      </c>
      <c r="C1488" t="str">
        <f>"9781800640061"</f>
        <v>9781800640061</v>
      </c>
      <c r="D1488" t="str">
        <f>"9781800640078"</f>
        <v>9781800640078</v>
      </c>
      <c r="E1488" t="s">
        <v>1807</v>
      </c>
      <c r="F1488" t="s">
        <v>1807</v>
      </c>
      <c r="G1488" s="1">
        <v>44092</v>
      </c>
      <c r="H1488" s="1">
        <v>44112</v>
      </c>
      <c r="I1488" t="s">
        <v>189</v>
      </c>
      <c r="J1488">
        <v>1</v>
      </c>
      <c r="L1488" t="s">
        <v>3392</v>
      </c>
      <c r="M1488" t="s">
        <v>219</v>
      </c>
    </row>
    <row r="1489" spans="1:40" x14ac:dyDescent="0.35">
      <c r="A1489">
        <v>6368224</v>
      </c>
      <c r="B1489" t="s">
        <v>4326</v>
      </c>
      <c r="C1489" t="str">
        <f>"9781783749881"</f>
        <v>9781783749881</v>
      </c>
      <c r="D1489" t="str">
        <f>"9781783749898"</f>
        <v>9781783749898</v>
      </c>
      <c r="E1489" t="s">
        <v>1807</v>
      </c>
      <c r="F1489" t="s">
        <v>1807</v>
      </c>
      <c r="G1489" s="1">
        <v>44085</v>
      </c>
      <c r="H1489" s="1">
        <v>44112</v>
      </c>
      <c r="I1489" t="s">
        <v>189</v>
      </c>
      <c r="J1489">
        <v>1</v>
      </c>
      <c r="L1489" t="s">
        <v>4327</v>
      </c>
      <c r="M1489" t="s">
        <v>329</v>
      </c>
      <c r="Q1489" t="s">
        <v>260</v>
      </c>
      <c r="R1489" t="s">
        <v>261</v>
      </c>
      <c r="S1489" t="s">
        <v>261</v>
      </c>
      <c r="T1489" t="s">
        <v>261</v>
      </c>
      <c r="U1489" t="s">
        <v>261</v>
      </c>
      <c r="V1489" t="s">
        <v>262</v>
      </c>
      <c r="W1489" t="s">
        <v>261</v>
      </c>
      <c r="X1489" t="s">
        <v>261</v>
      </c>
      <c r="Y1489" t="s">
        <v>261</v>
      </c>
      <c r="Z1489" t="s">
        <v>409</v>
      </c>
      <c r="AA1489" t="s">
        <v>409</v>
      </c>
      <c r="AB1489" t="s">
        <v>409</v>
      </c>
      <c r="AC1489" t="s">
        <v>409</v>
      </c>
      <c r="AD1489" t="s">
        <v>262</v>
      </c>
      <c r="AH1489" t="s">
        <v>262</v>
      </c>
      <c r="AI1489" t="s">
        <v>262</v>
      </c>
      <c r="AJ1489" t="s">
        <v>261</v>
      </c>
      <c r="AK1489" t="s">
        <v>261</v>
      </c>
      <c r="AM1489" t="s">
        <v>262</v>
      </c>
      <c r="AN1489" t="s">
        <v>4328</v>
      </c>
    </row>
    <row r="1490" spans="1:40" x14ac:dyDescent="0.35">
      <c r="A1490">
        <v>6369353</v>
      </c>
      <c r="B1490" t="s">
        <v>4329</v>
      </c>
      <c r="C1490" t="str">
        <f>"9783319689654"</f>
        <v>9783319689654</v>
      </c>
      <c r="D1490" t="str">
        <f>"9783319689661"</f>
        <v>9783319689661</v>
      </c>
      <c r="E1490" t="s">
        <v>2289</v>
      </c>
      <c r="F1490" t="s">
        <v>2663</v>
      </c>
      <c r="G1490" s="1">
        <v>43083</v>
      </c>
      <c r="H1490" s="1">
        <v>44567</v>
      </c>
      <c r="I1490" t="s">
        <v>189</v>
      </c>
      <c r="L1490" t="s">
        <v>4330</v>
      </c>
    </row>
    <row r="1491" spans="1:40" x14ac:dyDescent="0.35">
      <c r="A1491">
        <v>6369355</v>
      </c>
      <c r="B1491" t="s">
        <v>4331</v>
      </c>
      <c r="C1491" t="str">
        <f>"9783319612904"</f>
        <v>9783319612904</v>
      </c>
      <c r="D1491" t="str">
        <f>"9783319612911"</f>
        <v>9783319612911</v>
      </c>
      <c r="E1491" t="s">
        <v>2289</v>
      </c>
      <c r="F1491" t="s">
        <v>2663</v>
      </c>
      <c r="G1491" s="1">
        <v>43045</v>
      </c>
      <c r="H1491" s="1">
        <v>44567</v>
      </c>
      <c r="I1491" t="s">
        <v>189</v>
      </c>
      <c r="L1491" t="s">
        <v>4332</v>
      </c>
    </row>
    <row r="1492" spans="1:40" x14ac:dyDescent="0.35">
      <c r="A1492">
        <v>6369359</v>
      </c>
      <c r="B1492" t="s">
        <v>4333</v>
      </c>
      <c r="C1492" t="str">
        <f>"9783319574950"</f>
        <v>9783319574950</v>
      </c>
      <c r="D1492" t="str">
        <f>"9783319574967"</f>
        <v>9783319574967</v>
      </c>
      <c r="E1492" t="s">
        <v>2289</v>
      </c>
      <c r="F1492" t="s">
        <v>2290</v>
      </c>
      <c r="G1492" s="1">
        <v>43010</v>
      </c>
      <c r="H1492" s="1">
        <v>44567</v>
      </c>
      <c r="I1492" t="s">
        <v>189</v>
      </c>
      <c r="L1492" t="s">
        <v>4334</v>
      </c>
    </row>
    <row r="1493" spans="1:40" x14ac:dyDescent="0.35">
      <c r="A1493">
        <v>6369363</v>
      </c>
      <c r="B1493" t="s">
        <v>4335</v>
      </c>
      <c r="C1493" t="str">
        <f>"9783319567136"</f>
        <v>9783319567136</v>
      </c>
      <c r="D1493" t="str">
        <f>"9783319567143"</f>
        <v>9783319567143</v>
      </c>
      <c r="E1493" t="s">
        <v>2289</v>
      </c>
      <c r="F1493" t="s">
        <v>2663</v>
      </c>
      <c r="G1493" s="1">
        <v>43063</v>
      </c>
      <c r="H1493" s="1">
        <v>44567</v>
      </c>
      <c r="I1493" t="s">
        <v>189</v>
      </c>
      <c r="K1493" t="s">
        <v>4168</v>
      </c>
      <c r="L1493" t="s">
        <v>4336</v>
      </c>
      <c r="M1493" t="s">
        <v>339</v>
      </c>
      <c r="N1493" t="s">
        <v>4170</v>
      </c>
      <c r="O1493" s="2">
        <v>61689004109034</v>
      </c>
      <c r="Q1493" t="s">
        <v>260</v>
      </c>
      <c r="R1493" t="s">
        <v>261</v>
      </c>
      <c r="S1493" t="s">
        <v>261</v>
      </c>
      <c r="T1493" t="s">
        <v>261</v>
      </c>
      <c r="U1493" t="s">
        <v>262</v>
      </c>
      <c r="V1493" t="s">
        <v>262</v>
      </c>
      <c r="W1493" t="s">
        <v>261</v>
      </c>
      <c r="X1493" t="s">
        <v>261</v>
      </c>
      <c r="Y1493" t="s">
        <v>261</v>
      </c>
      <c r="Z1493" t="s">
        <v>409</v>
      </c>
      <c r="AA1493" t="s">
        <v>409</v>
      </c>
      <c r="AB1493" t="s">
        <v>409</v>
      </c>
      <c r="AC1493" t="s">
        <v>409</v>
      </c>
      <c r="AD1493" t="s">
        <v>261</v>
      </c>
      <c r="AH1493" t="s">
        <v>262</v>
      </c>
      <c r="AI1493" t="s">
        <v>262</v>
      </c>
      <c r="AJ1493" t="s">
        <v>261</v>
      </c>
      <c r="AK1493" t="s">
        <v>261</v>
      </c>
      <c r="AM1493" t="s">
        <v>262</v>
      </c>
      <c r="AN1493" t="s">
        <v>4337</v>
      </c>
    </row>
    <row r="1494" spans="1:40" x14ac:dyDescent="0.35">
      <c r="A1494">
        <v>6369364</v>
      </c>
      <c r="B1494" t="s">
        <v>4338</v>
      </c>
      <c r="C1494" t="str">
        <f>"9783319580197"</f>
        <v>9783319580197</v>
      </c>
      <c r="D1494" t="str">
        <f>"9783319580203"</f>
        <v>9783319580203</v>
      </c>
      <c r="E1494" t="s">
        <v>2289</v>
      </c>
      <c r="F1494" t="s">
        <v>2290</v>
      </c>
      <c r="G1494" s="1">
        <v>42884</v>
      </c>
      <c r="H1494" s="1">
        <v>44567</v>
      </c>
      <c r="I1494" t="s">
        <v>189</v>
      </c>
      <c r="K1494" t="s">
        <v>3985</v>
      </c>
      <c r="L1494" t="s">
        <v>4318</v>
      </c>
    </row>
    <row r="1495" spans="1:40" x14ac:dyDescent="0.35">
      <c r="A1495">
        <v>6369366</v>
      </c>
      <c r="B1495" t="s">
        <v>4339</v>
      </c>
      <c r="C1495" t="str">
        <f>"9783319580418"</f>
        <v>9783319580418</v>
      </c>
      <c r="D1495" t="str">
        <f>"9783319580425"</f>
        <v>9783319580425</v>
      </c>
      <c r="E1495" t="s">
        <v>2289</v>
      </c>
      <c r="F1495" t="s">
        <v>2663</v>
      </c>
      <c r="G1495" s="1">
        <v>42997</v>
      </c>
      <c r="H1495" s="1">
        <v>44567</v>
      </c>
      <c r="I1495" t="s">
        <v>189</v>
      </c>
      <c r="K1495" t="s">
        <v>4340</v>
      </c>
      <c r="L1495" t="s">
        <v>4341</v>
      </c>
      <c r="M1495" t="s">
        <v>282</v>
      </c>
    </row>
    <row r="1496" spans="1:40" x14ac:dyDescent="0.35">
      <c r="A1496">
        <v>6369367</v>
      </c>
      <c r="B1496" t="s">
        <v>4342</v>
      </c>
      <c r="C1496" t="str">
        <f>"9783319655260"</f>
        <v>9783319655260</v>
      </c>
      <c r="D1496" t="str">
        <f>"9783319655277"</f>
        <v>9783319655277</v>
      </c>
      <c r="E1496" t="s">
        <v>2289</v>
      </c>
      <c r="F1496" t="s">
        <v>2290</v>
      </c>
      <c r="G1496" s="1">
        <v>43031</v>
      </c>
      <c r="H1496" s="1">
        <v>44567</v>
      </c>
      <c r="I1496" t="s">
        <v>189</v>
      </c>
      <c r="K1496" t="s">
        <v>4011</v>
      </c>
      <c r="L1496" t="s">
        <v>4012</v>
      </c>
    </row>
    <row r="1497" spans="1:40" x14ac:dyDescent="0.35">
      <c r="A1497">
        <v>6369374</v>
      </c>
      <c r="B1497" t="s">
        <v>4343</v>
      </c>
      <c r="C1497" t="str">
        <f>"9783319553801"</f>
        <v>9783319553801</v>
      </c>
      <c r="D1497" t="str">
        <f>"9783319553818"</f>
        <v>9783319553818</v>
      </c>
      <c r="E1497" t="s">
        <v>2289</v>
      </c>
      <c r="F1497" t="s">
        <v>2663</v>
      </c>
      <c r="G1497" s="1">
        <v>42985</v>
      </c>
      <c r="H1497" s="1">
        <v>44567</v>
      </c>
      <c r="I1497" t="s">
        <v>189</v>
      </c>
      <c r="L1497" t="s">
        <v>4344</v>
      </c>
    </row>
    <row r="1498" spans="1:40" x14ac:dyDescent="0.35">
      <c r="A1498">
        <v>6369633</v>
      </c>
      <c r="B1498" t="s">
        <v>4345</v>
      </c>
      <c r="C1498" t="str">
        <f>"9783030509903"</f>
        <v>9783030509903</v>
      </c>
      <c r="D1498" t="str">
        <f>"9783030509910"</f>
        <v>9783030509910</v>
      </c>
      <c r="E1498" t="s">
        <v>2289</v>
      </c>
      <c r="F1498" t="s">
        <v>2290</v>
      </c>
      <c r="G1498" s="1">
        <v>44112</v>
      </c>
      <c r="H1498" s="1">
        <v>44279</v>
      </c>
      <c r="I1498" t="s">
        <v>189</v>
      </c>
      <c r="L1498" t="s">
        <v>112</v>
      </c>
      <c r="M1498" t="s">
        <v>807</v>
      </c>
      <c r="N1498" t="s">
        <v>4346</v>
      </c>
      <c r="Q1498" t="s">
        <v>260</v>
      </c>
      <c r="R1498" t="s">
        <v>261</v>
      </c>
      <c r="S1498" t="s">
        <v>261</v>
      </c>
      <c r="T1498" t="s">
        <v>261</v>
      </c>
      <c r="U1498" t="s">
        <v>262</v>
      </c>
      <c r="V1498" t="s">
        <v>262</v>
      </c>
      <c r="W1498" t="s">
        <v>261</v>
      </c>
      <c r="X1498" t="s">
        <v>262</v>
      </c>
      <c r="Y1498" t="s">
        <v>261</v>
      </c>
      <c r="Z1498" t="s">
        <v>409</v>
      </c>
      <c r="AA1498" t="s">
        <v>409</v>
      </c>
      <c r="AB1498" t="s">
        <v>409</v>
      </c>
      <c r="AC1498" t="s">
        <v>409</v>
      </c>
      <c r="AD1498" t="s">
        <v>261</v>
      </c>
      <c r="AH1498" t="s">
        <v>262</v>
      </c>
      <c r="AI1498" t="s">
        <v>262</v>
      </c>
      <c r="AJ1498" t="s">
        <v>261</v>
      </c>
      <c r="AK1498" t="s">
        <v>261</v>
      </c>
      <c r="AM1498" t="s">
        <v>262</v>
      </c>
      <c r="AN1498" t="s">
        <v>4347</v>
      </c>
    </row>
    <row r="1499" spans="1:40" x14ac:dyDescent="0.35">
      <c r="A1499">
        <v>6370592</v>
      </c>
      <c r="B1499" t="s">
        <v>4348</v>
      </c>
      <c r="C1499" t="str">
        <f>""</f>
        <v/>
      </c>
      <c r="D1499" t="str">
        <f>"9789179298654"</f>
        <v>9789179298654</v>
      </c>
      <c r="E1499" t="s">
        <v>3642</v>
      </c>
      <c r="F1499" t="s">
        <v>3642</v>
      </c>
      <c r="G1499" s="1">
        <v>44113</v>
      </c>
      <c r="H1499" s="1">
        <v>44123</v>
      </c>
      <c r="I1499" t="s">
        <v>189</v>
      </c>
      <c r="J1499">
        <v>1</v>
      </c>
      <c r="L1499" t="s">
        <v>4349</v>
      </c>
      <c r="Q1499" t="s">
        <v>260</v>
      </c>
      <c r="R1499" t="s">
        <v>261</v>
      </c>
      <c r="S1499" t="s">
        <v>261</v>
      </c>
      <c r="T1499" t="s">
        <v>261</v>
      </c>
      <c r="U1499" t="s">
        <v>261</v>
      </c>
      <c r="V1499" t="s">
        <v>262</v>
      </c>
      <c r="W1499" t="s">
        <v>261</v>
      </c>
      <c r="X1499" t="s">
        <v>261</v>
      </c>
      <c r="Y1499" t="s">
        <v>261</v>
      </c>
      <c r="AD1499" t="s">
        <v>261</v>
      </c>
      <c r="AH1499" t="s">
        <v>262</v>
      </c>
      <c r="AI1499" t="s">
        <v>261</v>
      </c>
      <c r="AJ1499" t="s">
        <v>261</v>
      </c>
      <c r="AK1499" t="s">
        <v>261</v>
      </c>
      <c r="AM1499" t="s">
        <v>262</v>
      </c>
      <c r="AN1499" t="s">
        <v>4350</v>
      </c>
    </row>
    <row r="1500" spans="1:40" x14ac:dyDescent="0.35">
      <c r="A1500">
        <v>6370593</v>
      </c>
      <c r="B1500" t="s">
        <v>4351</v>
      </c>
      <c r="C1500" t="str">
        <f>""</f>
        <v/>
      </c>
      <c r="D1500" t="str">
        <f>"9789179298029"</f>
        <v>9789179298029</v>
      </c>
      <c r="E1500" t="s">
        <v>3642</v>
      </c>
      <c r="F1500" t="s">
        <v>3642</v>
      </c>
      <c r="G1500" s="1">
        <v>44106</v>
      </c>
      <c r="H1500" s="1">
        <v>44116</v>
      </c>
      <c r="I1500" t="s">
        <v>189</v>
      </c>
      <c r="L1500" t="s">
        <v>4352</v>
      </c>
      <c r="Q1500" t="s">
        <v>260</v>
      </c>
      <c r="R1500" t="s">
        <v>261</v>
      </c>
      <c r="S1500" t="s">
        <v>261</v>
      </c>
      <c r="T1500" t="s">
        <v>261</v>
      </c>
      <c r="U1500" t="s">
        <v>261</v>
      </c>
      <c r="V1500" t="s">
        <v>262</v>
      </c>
      <c r="W1500" t="s">
        <v>261</v>
      </c>
      <c r="X1500" t="s">
        <v>261</v>
      </c>
      <c r="Y1500" t="s">
        <v>261</v>
      </c>
      <c r="AD1500" t="s">
        <v>261</v>
      </c>
      <c r="AH1500" t="s">
        <v>262</v>
      </c>
      <c r="AI1500" t="s">
        <v>261</v>
      </c>
      <c r="AJ1500" t="s">
        <v>261</v>
      </c>
      <c r="AK1500" t="s">
        <v>261</v>
      </c>
      <c r="AM1500" t="s">
        <v>262</v>
      </c>
      <c r="AN1500" t="s">
        <v>4353</v>
      </c>
    </row>
    <row r="1501" spans="1:40" x14ac:dyDescent="0.35">
      <c r="A1501">
        <v>6371484</v>
      </c>
      <c r="B1501" t="s">
        <v>4354</v>
      </c>
      <c r="C1501" t="str">
        <f>"9781780648972"</f>
        <v>9781780648972</v>
      </c>
      <c r="D1501" t="str">
        <f>"9781780648996"</f>
        <v>9781780648996</v>
      </c>
      <c r="E1501" t="s">
        <v>4355</v>
      </c>
      <c r="F1501" t="s">
        <v>4355</v>
      </c>
      <c r="G1501" s="1">
        <v>42942</v>
      </c>
      <c r="H1501" s="1">
        <v>44211</v>
      </c>
      <c r="I1501" t="s">
        <v>189</v>
      </c>
      <c r="L1501" t="s">
        <v>4356</v>
      </c>
    </row>
    <row r="1502" spans="1:40" x14ac:dyDescent="0.35">
      <c r="A1502">
        <v>6371485</v>
      </c>
      <c r="B1502" t="s">
        <v>4357</v>
      </c>
      <c r="C1502" t="str">
        <f>"9781786390790"</f>
        <v>9781786390790</v>
      </c>
      <c r="D1502" t="str">
        <f>"9781786390813"</f>
        <v>9781786390813</v>
      </c>
      <c r="E1502" t="s">
        <v>4355</v>
      </c>
      <c r="F1502" t="s">
        <v>4355</v>
      </c>
      <c r="G1502" s="1">
        <v>42725</v>
      </c>
      <c r="H1502" s="1">
        <v>44211</v>
      </c>
      <c r="I1502" t="s">
        <v>189</v>
      </c>
      <c r="L1502" t="s">
        <v>4358</v>
      </c>
    </row>
    <row r="1503" spans="1:40" x14ac:dyDescent="0.35">
      <c r="A1503">
        <v>6371486</v>
      </c>
      <c r="B1503" t="s">
        <v>4359</v>
      </c>
      <c r="C1503" t="str">
        <f>"9781780644981"</f>
        <v>9781780644981</v>
      </c>
      <c r="D1503" t="str">
        <f>"9781780646756"</f>
        <v>9781780646756</v>
      </c>
      <c r="E1503" t="s">
        <v>4355</v>
      </c>
      <c r="F1503" t="s">
        <v>4355</v>
      </c>
      <c r="G1503" s="1">
        <v>42907</v>
      </c>
      <c r="H1503" s="1">
        <v>44211</v>
      </c>
      <c r="I1503" t="s">
        <v>189</v>
      </c>
      <c r="L1503" t="s">
        <v>4360</v>
      </c>
    </row>
    <row r="1504" spans="1:40" x14ac:dyDescent="0.35">
      <c r="A1504">
        <v>6371487</v>
      </c>
      <c r="B1504" t="s">
        <v>4361</v>
      </c>
      <c r="C1504" t="str">
        <f>"9781789246049"</f>
        <v>9781789246049</v>
      </c>
      <c r="D1504" t="str">
        <f>"9781789246063"</f>
        <v>9781789246063</v>
      </c>
      <c r="E1504" t="s">
        <v>4355</v>
      </c>
      <c r="F1504" t="s">
        <v>4355</v>
      </c>
      <c r="G1504" s="1">
        <v>44091</v>
      </c>
      <c r="H1504" s="1">
        <v>44211</v>
      </c>
      <c r="I1504" t="s">
        <v>189</v>
      </c>
      <c r="L1504" t="s">
        <v>4362</v>
      </c>
    </row>
    <row r="1505" spans="1:40" x14ac:dyDescent="0.35">
      <c r="A1505">
        <v>6371488</v>
      </c>
      <c r="B1505" t="s">
        <v>4363</v>
      </c>
      <c r="C1505" t="str">
        <f>"9781786390592"</f>
        <v>9781786390592</v>
      </c>
      <c r="D1505" t="str">
        <f>"9781786390615"</f>
        <v>9781786390615</v>
      </c>
      <c r="E1505" t="s">
        <v>4355</v>
      </c>
      <c r="F1505" t="s">
        <v>4355</v>
      </c>
      <c r="G1505" s="1">
        <v>42894</v>
      </c>
      <c r="H1505" s="1">
        <v>44211</v>
      </c>
      <c r="I1505" t="s">
        <v>189</v>
      </c>
      <c r="L1505" t="s">
        <v>4364</v>
      </c>
    </row>
    <row r="1506" spans="1:40" x14ac:dyDescent="0.35">
      <c r="A1506">
        <v>6371489</v>
      </c>
      <c r="B1506" t="s">
        <v>4365</v>
      </c>
      <c r="C1506" t="str">
        <f>"9781786390042"</f>
        <v>9781786390042</v>
      </c>
      <c r="D1506" t="str">
        <f>"9781786390066"</f>
        <v>9781786390066</v>
      </c>
      <c r="E1506" t="s">
        <v>4355</v>
      </c>
      <c r="F1506" t="s">
        <v>4355</v>
      </c>
      <c r="G1506" s="1">
        <v>42674</v>
      </c>
      <c r="H1506" s="1">
        <v>44211</v>
      </c>
      <c r="I1506" t="s">
        <v>189</v>
      </c>
      <c r="L1506" t="s">
        <v>4366</v>
      </c>
    </row>
    <row r="1507" spans="1:40" x14ac:dyDescent="0.35">
      <c r="A1507">
        <v>6373741</v>
      </c>
      <c r="B1507" t="s">
        <v>4367</v>
      </c>
      <c r="C1507" t="str">
        <f>""</f>
        <v/>
      </c>
      <c r="D1507" t="str">
        <f>"9789179297879"</f>
        <v>9789179297879</v>
      </c>
      <c r="E1507" t="s">
        <v>3642</v>
      </c>
      <c r="F1507" t="s">
        <v>3642</v>
      </c>
      <c r="G1507" s="1">
        <v>44119</v>
      </c>
      <c r="H1507" s="1">
        <v>44144</v>
      </c>
      <c r="I1507" t="s">
        <v>189</v>
      </c>
      <c r="L1507" t="s">
        <v>4368</v>
      </c>
      <c r="Q1507" t="s">
        <v>260</v>
      </c>
      <c r="R1507" t="s">
        <v>261</v>
      </c>
      <c r="S1507" t="s">
        <v>261</v>
      </c>
      <c r="T1507" t="s">
        <v>261</v>
      </c>
      <c r="U1507" t="s">
        <v>261</v>
      </c>
      <c r="V1507" t="s">
        <v>262</v>
      </c>
      <c r="W1507" t="s">
        <v>261</v>
      </c>
      <c r="X1507" t="s">
        <v>261</v>
      </c>
      <c r="Y1507" t="s">
        <v>261</v>
      </c>
      <c r="AD1507" t="s">
        <v>261</v>
      </c>
      <c r="AH1507" t="s">
        <v>262</v>
      </c>
      <c r="AI1507" t="s">
        <v>261</v>
      </c>
      <c r="AJ1507" t="s">
        <v>261</v>
      </c>
      <c r="AK1507" t="s">
        <v>261</v>
      </c>
      <c r="AM1507" t="s">
        <v>262</v>
      </c>
      <c r="AN1507" t="s">
        <v>4369</v>
      </c>
    </row>
    <row r="1508" spans="1:40" x14ac:dyDescent="0.35">
      <c r="A1508">
        <v>6373742</v>
      </c>
      <c r="B1508" t="s">
        <v>4370</v>
      </c>
      <c r="C1508" t="str">
        <f>""</f>
        <v/>
      </c>
      <c r="D1508" t="str">
        <f>"9789179298210"</f>
        <v>9789179298210</v>
      </c>
      <c r="E1508" t="s">
        <v>3642</v>
      </c>
      <c r="F1508" t="s">
        <v>3642</v>
      </c>
      <c r="G1508" s="1">
        <v>44120</v>
      </c>
      <c r="H1508" s="1">
        <v>44130</v>
      </c>
      <c r="I1508" t="s">
        <v>189</v>
      </c>
      <c r="J1508">
        <v>1</v>
      </c>
      <c r="L1508" t="s">
        <v>4371</v>
      </c>
      <c r="Q1508" t="s">
        <v>260</v>
      </c>
      <c r="R1508" t="s">
        <v>261</v>
      </c>
      <c r="S1508" t="s">
        <v>261</v>
      </c>
      <c r="T1508" t="s">
        <v>261</v>
      </c>
      <c r="U1508" t="s">
        <v>261</v>
      </c>
      <c r="V1508" t="s">
        <v>262</v>
      </c>
      <c r="W1508" t="s">
        <v>261</v>
      </c>
      <c r="X1508" t="s">
        <v>261</v>
      </c>
      <c r="Y1508" t="s">
        <v>261</v>
      </c>
      <c r="AD1508" t="s">
        <v>261</v>
      </c>
      <c r="AH1508" t="s">
        <v>262</v>
      </c>
      <c r="AI1508" t="s">
        <v>261</v>
      </c>
      <c r="AJ1508" t="s">
        <v>261</v>
      </c>
      <c r="AK1508" t="s">
        <v>261</v>
      </c>
      <c r="AM1508" t="s">
        <v>262</v>
      </c>
      <c r="AN1508" t="s">
        <v>4372</v>
      </c>
    </row>
    <row r="1509" spans="1:40" x14ac:dyDescent="0.35">
      <c r="A1509">
        <v>6373743</v>
      </c>
      <c r="B1509" t="s">
        <v>4373</v>
      </c>
      <c r="C1509" t="str">
        <f>""</f>
        <v/>
      </c>
      <c r="D1509" t="str">
        <f>"9789179298067"</f>
        <v>9789179298067</v>
      </c>
      <c r="E1509" t="s">
        <v>3642</v>
      </c>
      <c r="F1509" t="s">
        <v>3642</v>
      </c>
      <c r="G1509" s="1">
        <v>44113</v>
      </c>
      <c r="H1509" s="1">
        <v>44123</v>
      </c>
      <c r="I1509" t="s">
        <v>189</v>
      </c>
      <c r="J1509">
        <v>1</v>
      </c>
      <c r="L1509" t="s">
        <v>4374</v>
      </c>
      <c r="Q1509" t="s">
        <v>260</v>
      </c>
      <c r="R1509" t="s">
        <v>261</v>
      </c>
      <c r="S1509" t="s">
        <v>261</v>
      </c>
      <c r="T1509" t="s">
        <v>261</v>
      </c>
      <c r="U1509" t="s">
        <v>261</v>
      </c>
      <c r="V1509" t="s">
        <v>262</v>
      </c>
      <c r="W1509" t="s">
        <v>261</v>
      </c>
      <c r="X1509" t="s">
        <v>261</v>
      </c>
      <c r="Y1509" t="s">
        <v>261</v>
      </c>
      <c r="AD1509" t="s">
        <v>261</v>
      </c>
      <c r="AH1509" t="s">
        <v>262</v>
      </c>
      <c r="AI1509" t="s">
        <v>261</v>
      </c>
      <c r="AJ1509" t="s">
        <v>261</v>
      </c>
      <c r="AK1509" t="s">
        <v>261</v>
      </c>
      <c r="AM1509" t="s">
        <v>262</v>
      </c>
      <c r="AN1509" t="s">
        <v>4375</v>
      </c>
    </row>
    <row r="1510" spans="1:40" x14ac:dyDescent="0.35">
      <c r="A1510">
        <v>6373744</v>
      </c>
      <c r="B1510" t="s">
        <v>4376</v>
      </c>
      <c r="C1510" t="str">
        <f>""</f>
        <v/>
      </c>
      <c r="D1510" t="str">
        <f>"9789179298616"</f>
        <v>9789179298616</v>
      </c>
      <c r="E1510" t="s">
        <v>3642</v>
      </c>
      <c r="F1510" t="s">
        <v>3642</v>
      </c>
      <c r="G1510" s="1">
        <v>44116</v>
      </c>
      <c r="H1510" s="1">
        <v>44151</v>
      </c>
      <c r="I1510" t="s">
        <v>189</v>
      </c>
      <c r="J1510">
        <v>1</v>
      </c>
      <c r="L1510" t="s">
        <v>4377</v>
      </c>
      <c r="Q1510" t="s">
        <v>260</v>
      </c>
      <c r="R1510" t="s">
        <v>261</v>
      </c>
      <c r="S1510" t="s">
        <v>261</v>
      </c>
      <c r="T1510" t="s">
        <v>261</v>
      </c>
      <c r="U1510" t="s">
        <v>261</v>
      </c>
      <c r="V1510" t="s">
        <v>262</v>
      </c>
      <c r="W1510" t="s">
        <v>261</v>
      </c>
      <c r="X1510" t="s">
        <v>261</v>
      </c>
      <c r="Y1510" t="s">
        <v>261</v>
      </c>
      <c r="AD1510" t="s">
        <v>261</v>
      </c>
      <c r="AH1510" t="s">
        <v>262</v>
      </c>
      <c r="AI1510" t="s">
        <v>261</v>
      </c>
      <c r="AJ1510" t="s">
        <v>261</v>
      </c>
      <c r="AK1510" t="s">
        <v>261</v>
      </c>
      <c r="AM1510" t="s">
        <v>262</v>
      </c>
      <c r="AN1510" t="s">
        <v>4378</v>
      </c>
    </row>
    <row r="1511" spans="1:40" x14ac:dyDescent="0.35">
      <c r="A1511">
        <v>6374613</v>
      </c>
      <c r="B1511" t="s">
        <v>4379</v>
      </c>
      <c r="C1511" t="str">
        <f>"9781783749034"</f>
        <v>9781783749034</v>
      </c>
      <c r="D1511" t="str">
        <f>"9781783749041"</f>
        <v>9781783749041</v>
      </c>
      <c r="E1511" t="s">
        <v>1807</v>
      </c>
      <c r="F1511" t="s">
        <v>1807</v>
      </c>
      <c r="G1511" s="1">
        <v>44126</v>
      </c>
      <c r="H1511" s="1">
        <v>44125</v>
      </c>
      <c r="I1511" t="s">
        <v>189</v>
      </c>
      <c r="J1511">
        <v>1</v>
      </c>
      <c r="L1511" t="s">
        <v>4380</v>
      </c>
    </row>
    <row r="1512" spans="1:40" x14ac:dyDescent="0.35">
      <c r="A1512">
        <v>6374669</v>
      </c>
      <c r="B1512" t="s">
        <v>4381</v>
      </c>
      <c r="C1512" t="str">
        <f>""</f>
        <v/>
      </c>
      <c r="D1512" t="str">
        <f>"9789048532117"</f>
        <v>9789048532117</v>
      </c>
      <c r="E1512" t="s">
        <v>361</v>
      </c>
      <c r="F1512" t="s">
        <v>361</v>
      </c>
      <c r="G1512" s="1">
        <v>44119</v>
      </c>
      <c r="H1512" s="1">
        <v>44126</v>
      </c>
      <c r="I1512" t="s">
        <v>189</v>
      </c>
      <c r="J1512">
        <v>1</v>
      </c>
      <c r="L1512" t="s">
        <v>4382</v>
      </c>
      <c r="M1512" t="s">
        <v>578</v>
      </c>
      <c r="O1512" s="2">
        <v>7914375</v>
      </c>
      <c r="Q1512" t="s">
        <v>260</v>
      </c>
      <c r="R1512" t="s">
        <v>261</v>
      </c>
      <c r="S1512" t="s">
        <v>261</v>
      </c>
      <c r="T1512" t="s">
        <v>261</v>
      </c>
      <c r="U1512" t="s">
        <v>261</v>
      </c>
      <c r="V1512" t="s">
        <v>262</v>
      </c>
      <c r="W1512" t="s">
        <v>261</v>
      </c>
      <c r="X1512" t="s">
        <v>261</v>
      </c>
      <c r="Y1512" t="s">
        <v>261</v>
      </c>
      <c r="Z1512" t="s">
        <v>409</v>
      </c>
      <c r="AA1512" t="s">
        <v>409</v>
      </c>
      <c r="AB1512" t="s">
        <v>409</v>
      </c>
      <c r="AC1512" t="s">
        <v>409</v>
      </c>
      <c r="AD1512" t="s">
        <v>262</v>
      </c>
      <c r="AH1512" t="s">
        <v>262</v>
      </c>
      <c r="AI1512" t="s">
        <v>262</v>
      </c>
      <c r="AJ1512" t="s">
        <v>261</v>
      </c>
      <c r="AK1512" t="s">
        <v>261</v>
      </c>
      <c r="AM1512" t="s">
        <v>262</v>
      </c>
      <c r="AN1512" t="s">
        <v>4383</v>
      </c>
    </row>
    <row r="1513" spans="1:40" x14ac:dyDescent="0.35">
      <c r="A1513">
        <v>6377670</v>
      </c>
      <c r="B1513" t="s">
        <v>4384</v>
      </c>
      <c r="C1513" t="str">
        <f>""</f>
        <v/>
      </c>
      <c r="D1513" t="str">
        <f>"9789179297701"</f>
        <v>9789179297701</v>
      </c>
      <c r="E1513" t="s">
        <v>3642</v>
      </c>
      <c r="F1513" t="s">
        <v>3642</v>
      </c>
      <c r="G1513" s="1">
        <v>44126</v>
      </c>
      <c r="H1513" s="1">
        <v>44144</v>
      </c>
      <c r="I1513" t="s">
        <v>189</v>
      </c>
      <c r="J1513">
        <v>1</v>
      </c>
      <c r="L1513" t="s">
        <v>4385</v>
      </c>
      <c r="Q1513" t="s">
        <v>260</v>
      </c>
      <c r="R1513" t="s">
        <v>261</v>
      </c>
      <c r="S1513" t="s">
        <v>261</v>
      </c>
      <c r="T1513" t="s">
        <v>261</v>
      </c>
      <c r="U1513" t="s">
        <v>261</v>
      </c>
      <c r="V1513" t="s">
        <v>262</v>
      </c>
      <c r="W1513" t="s">
        <v>261</v>
      </c>
      <c r="X1513" t="s">
        <v>261</v>
      </c>
      <c r="Y1513" t="s">
        <v>261</v>
      </c>
      <c r="AD1513" t="s">
        <v>261</v>
      </c>
      <c r="AH1513" t="s">
        <v>262</v>
      </c>
      <c r="AI1513" t="s">
        <v>261</v>
      </c>
      <c r="AJ1513" t="s">
        <v>261</v>
      </c>
      <c r="AK1513" t="s">
        <v>261</v>
      </c>
      <c r="AM1513" t="s">
        <v>262</v>
      </c>
      <c r="AN1513" t="s">
        <v>4386</v>
      </c>
    </row>
    <row r="1514" spans="1:40" x14ac:dyDescent="0.35">
      <c r="A1514">
        <v>6377672</v>
      </c>
      <c r="B1514" t="s">
        <v>4387</v>
      </c>
      <c r="C1514" t="str">
        <f>""</f>
        <v/>
      </c>
      <c r="D1514" t="str">
        <f>"9789179297695"</f>
        <v>9789179297695</v>
      </c>
      <c r="E1514" t="s">
        <v>3642</v>
      </c>
      <c r="F1514" t="s">
        <v>3642</v>
      </c>
      <c r="G1514" s="1">
        <v>44127</v>
      </c>
      <c r="H1514" s="1">
        <v>44130</v>
      </c>
      <c r="I1514" t="s">
        <v>189</v>
      </c>
      <c r="J1514">
        <v>1</v>
      </c>
      <c r="L1514" t="s">
        <v>4388</v>
      </c>
      <c r="Q1514" t="s">
        <v>260</v>
      </c>
      <c r="R1514" t="s">
        <v>261</v>
      </c>
      <c r="S1514" t="s">
        <v>261</v>
      </c>
      <c r="T1514" t="s">
        <v>261</v>
      </c>
      <c r="U1514" t="s">
        <v>261</v>
      </c>
      <c r="V1514" t="s">
        <v>262</v>
      </c>
      <c r="W1514" t="s">
        <v>261</v>
      </c>
      <c r="X1514" t="s">
        <v>261</v>
      </c>
      <c r="Y1514" t="s">
        <v>261</v>
      </c>
      <c r="AD1514" t="s">
        <v>261</v>
      </c>
      <c r="AH1514" t="s">
        <v>262</v>
      </c>
      <c r="AI1514" t="s">
        <v>261</v>
      </c>
      <c r="AJ1514" t="s">
        <v>261</v>
      </c>
      <c r="AK1514" t="s">
        <v>261</v>
      </c>
      <c r="AM1514" t="s">
        <v>262</v>
      </c>
      <c r="AN1514" t="s">
        <v>4389</v>
      </c>
    </row>
    <row r="1515" spans="1:40" x14ac:dyDescent="0.35">
      <c r="A1515">
        <v>6377673</v>
      </c>
      <c r="B1515" t="s">
        <v>4390</v>
      </c>
      <c r="C1515" t="str">
        <f>""</f>
        <v/>
      </c>
      <c r="D1515" t="str">
        <f>"9789179298333"</f>
        <v>9789179298333</v>
      </c>
      <c r="E1515" t="s">
        <v>3642</v>
      </c>
      <c r="F1515" t="s">
        <v>3642</v>
      </c>
      <c r="G1515" s="1">
        <v>44123</v>
      </c>
      <c r="H1515" s="1">
        <v>44130</v>
      </c>
      <c r="I1515" t="s">
        <v>189</v>
      </c>
      <c r="J1515">
        <v>1</v>
      </c>
      <c r="L1515" t="s">
        <v>4391</v>
      </c>
      <c r="Q1515" t="s">
        <v>260</v>
      </c>
      <c r="R1515" t="s">
        <v>261</v>
      </c>
      <c r="S1515" t="s">
        <v>261</v>
      </c>
      <c r="T1515" t="s">
        <v>261</v>
      </c>
      <c r="U1515" t="s">
        <v>261</v>
      </c>
      <c r="V1515" t="s">
        <v>262</v>
      </c>
      <c r="W1515" t="s">
        <v>261</v>
      </c>
      <c r="X1515" t="s">
        <v>261</v>
      </c>
      <c r="Y1515" t="s">
        <v>261</v>
      </c>
      <c r="AD1515" t="s">
        <v>261</v>
      </c>
      <c r="AH1515" t="s">
        <v>262</v>
      </c>
      <c r="AI1515" t="s">
        <v>261</v>
      </c>
      <c r="AJ1515" t="s">
        <v>261</v>
      </c>
      <c r="AK1515" t="s">
        <v>261</v>
      </c>
      <c r="AM1515" t="s">
        <v>262</v>
      </c>
      <c r="AN1515" t="s">
        <v>4392</v>
      </c>
    </row>
    <row r="1516" spans="1:40" x14ac:dyDescent="0.35">
      <c r="A1516">
        <v>6377674</v>
      </c>
      <c r="B1516" t="s">
        <v>4393</v>
      </c>
      <c r="C1516" t="str">
        <f>""</f>
        <v/>
      </c>
      <c r="D1516" t="str">
        <f>"9789179297985"</f>
        <v>9789179297985</v>
      </c>
      <c r="E1516" t="s">
        <v>3642</v>
      </c>
      <c r="F1516" t="s">
        <v>3642</v>
      </c>
      <c r="G1516" s="1">
        <v>44124</v>
      </c>
      <c r="H1516" s="1">
        <v>44130</v>
      </c>
      <c r="I1516" t="s">
        <v>189</v>
      </c>
      <c r="J1516">
        <v>1</v>
      </c>
      <c r="L1516" t="s">
        <v>4394</v>
      </c>
      <c r="Q1516" t="s">
        <v>260</v>
      </c>
      <c r="R1516" t="s">
        <v>261</v>
      </c>
      <c r="S1516" t="s">
        <v>261</v>
      </c>
      <c r="T1516" t="s">
        <v>261</v>
      </c>
      <c r="U1516" t="s">
        <v>261</v>
      </c>
      <c r="V1516" t="s">
        <v>262</v>
      </c>
      <c r="W1516" t="s">
        <v>261</v>
      </c>
      <c r="X1516" t="s">
        <v>261</v>
      </c>
      <c r="Y1516" t="s">
        <v>261</v>
      </c>
      <c r="AD1516" t="s">
        <v>261</v>
      </c>
      <c r="AH1516" t="s">
        <v>262</v>
      </c>
      <c r="AI1516" t="s">
        <v>261</v>
      </c>
      <c r="AJ1516" t="s">
        <v>261</v>
      </c>
      <c r="AK1516" t="s">
        <v>261</v>
      </c>
      <c r="AM1516" t="s">
        <v>262</v>
      </c>
      <c r="AN1516" t="s">
        <v>4395</v>
      </c>
    </row>
    <row r="1517" spans="1:40" x14ac:dyDescent="0.35">
      <c r="A1517">
        <v>6379906</v>
      </c>
      <c r="B1517" t="s">
        <v>4396</v>
      </c>
      <c r="C1517" t="str">
        <f>"9781800640962"</f>
        <v>9781800640962</v>
      </c>
      <c r="D1517" t="str">
        <f>"9781800640979"</f>
        <v>9781800640979</v>
      </c>
      <c r="E1517" t="s">
        <v>1807</v>
      </c>
      <c r="F1517" t="s">
        <v>1807</v>
      </c>
      <c r="G1517" s="1">
        <v>44119</v>
      </c>
      <c r="H1517" s="1">
        <v>44133</v>
      </c>
      <c r="I1517" t="s">
        <v>189</v>
      </c>
      <c r="J1517">
        <v>1</v>
      </c>
      <c r="L1517" t="s">
        <v>4397</v>
      </c>
      <c r="M1517" t="s">
        <v>1318</v>
      </c>
      <c r="Q1517" t="s">
        <v>260</v>
      </c>
      <c r="R1517" t="s">
        <v>261</v>
      </c>
      <c r="S1517" t="s">
        <v>261</v>
      </c>
      <c r="T1517" t="s">
        <v>261</v>
      </c>
      <c r="U1517" t="s">
        <v>261</v>
      </c>
      <c r="V1517" t="s">
        <v>262</v>
      </c>
      <c r="W1517" t="s">
        <v>261</v>
      </c>
      <c r="X1517" t="s">
        <v>261</v>
      </c>
      <c r="Y1517" t="s">
        <v>261</v>
      </c>
      <c r="Z1517" t="s">
        <v>409</v>
      </c>
      <c r="AA1517" t="s">
        <v>409</v>
      </c>
      <c r="AB1517" t="s">
        <v>409</v>
      </c>
      <c r="AC1517" t="s">
        <v>409</v>
      </c>
      <c r="AD1517" t="s">
        <v>262</v>
      </c>
      <c r="AH1517" t="s">
        <v>262</v>
      </c>
      <c r="AI1517" t="s">
        <v>262</v>
      </c>
      <c r="AJ1517" t="s">
        <v>261</v>
      </c>
      <c r="AK1517" t="s">
        <v>261</v>
      </c>
      <c r="AM1517" t="s">
        <v>262</v>
      </c>
      <c r="AN1517" t="s">
        <v>4398</v>
      </c>
    </row>
    <row r="1518" spans="1:40" x14ac:dyDescent="0.35">
      <c r="A1518">
        <v>6379907</v>
      </c>
      <c r="B1518" t="s">
        <v>4399</v>
      </c>
      <c r="C1518" t="str">
        <f>"9781800640306"</f>
        <v>9781800640306</v>
      </c>
      <c r="D1518" t="str">
        <f>"9781800640313"</f>
        <v>9781800640313</v>
      </c>
      <c r="E1518" t="s">
        <v>1807</v>
      </c>
      <c r="F1518" t="s">
        <v>1807</v>
      </c>
      <c r="G1518" s="1">
        <v>44099</v>
      </c>
      <c r="H1518" s="1">
        <v>44133</v>
      </c>
      <c r="I1518" t="s">
        <v>189</v>
      </c>
      <c r="J1518">
        <v>1</v>
      </c>
      <c r="L1518" t="s">
        <v>4400</v>
      </c>
      <c r="M1518" t="s">
        <v>582</v>
      </c>
      <c r="O1518" t="s">
        <v>4401</v>
      </c>
      <c r="Q1518" t="s">
        <v>260</v>
      </c>
      <c r="R1518" t="s">
        <v>261</v>
      </c>
      <c r="S1518" t="s">
        <v>261</v>
      </c>
      <c r="T1518" t="s">
        <v>261</v>
      </c>
      <c r="U1518" t="s">
        <v>261</v>
      </c>
      <c r="V1518" t="s">
        <v>262</v>
      </c>
      <c r="W1518" t="s">
        <v>261</v>
      </c>
      <c r="X1518" t="s">
        <v>261</v>
      </c>
      <c r="Y1518" t="s">
        <v>261</v>
      </c>
      <c r="Z1518" t="s">
        <v>409</v>
      </c>
      <c r="AA1518" t="s">
        <v>409</v>
      </c>
      <c r="AB1518" t="s">
        <v>409</v>
      </c>
      <c r="AC1518" t="s">
        <v>409</v>
      </c>
      <c r="AD1518" t="s">
        <v>262</v>
      </c>
      <c r="AH1518" t="s">
        <v>262</v>
      </c>
      <c r="AI1518" t="s">
        <v>262</v>
      </c>
      <c r="AJ1518" t="s">
        <v>261</v>
      </c>
      <c r="AK1518" t="s">
        <v>261</v>
      </c>
      <c r="AM1518" t="s">
        <v>262</v>
      </c>
      <c r="AN1518" t="s">
        <v>4402</v>
      </c>
    </row>
    <row r="1519" spans="1:40" x14ac:dyDescent="0.35">
      <c r="A1519">
        <v>6380808</v>
      </c>
      <c r="B1519" t="s">
        <v>4403</v>
      </c>
      <c r="C1519" t="str">
        <f>"9783030370381"</f>
        <v>9783030370381</v>
      </c>
      <c r="D1519" t="str">
        <f>"9783030370398"</f>
        <v>9783030370398</v>
      </c>
      <c r="E1519" t="s">
        <v>2289</v>
      </c>
      <c r="F1519" t="s">
        <v>2663</v>
      </c>
      <c r="G1519" s="1">
        <v>44131</v>
      </c>
      <c r="H1519" s="1">
        <v>44246</v>
      </c>
      <c r="I1519" t="s">
        <v>189</v>
      </c>
      <c r="L1519" t="s">
        <v>4404</v>
      </c>
      <c r="M1519" t="s">
        <v>578</v>
      </c>
      <c r="N1519" t="s">
        <v>781</v>
      </c>
      <c r="O1519" s="2">
        <v>79143653</v>
      </c>
      <c r="Q1519" t="s">
        <v>260</v>
      </c>
      <c r="R1519" t="s">
        <v>261</v>
      </c>
      <c r="S1519" t="s">
        <v>261</v>
      </c>
      <c r="T1519" t="s">
        <v>261</v>
      </c>
      <c r="U1519" t="s">
        <v>262</v>
      </c>
      <c r="V1519" t="s">
        <v>262</v>
      </c>
      <c r="W1519" t="s">
        <v>261</v>
      </c>
      <c r="X1519" t="s">
        <v>262</v>
      </c>
      <c r="Y1519" t="s">
        <v>261</v>
      </c>
      <c r="Z1519" t="s">
        <v>409</v>
      </c>
      <c r="AA1519" t="s">
        <v>409</v>
      </c>
      <c r="AB1519" t="s">
        <v>409</v>
      </c>
      <c r="AC1519" t="s">
        <v>409</v>
      </c>
      <c r="AD1519" t="s">
        <v>261</v>
      </c>
      <c r="AH1519" t="s">
        <v>262</v>
      </c>
      <c r="AI1519" t="s">
        <v>262</v>
      </c>
      <c r="AJ1519" t="s">
        <v>261</v>
      </c>
      <c r="AK1519" t="s">
        <v>261</v>
      </c>
      <c r="AM1519" t="s">
        <v>262</v>
      </c>
      <c r="AN1519" t="s">
        <v>4405</v>
      </c>
    </row>
    <row r="1520" spans="1:40" x14ac:dyDescent="0.35">
      <c r="A1520">
        <v>6380891</v>
      </c>
      <c r="B1520" t="s">
        <v>4406</v>
      </c>
      <c r="C1520" t="str">
        <f>"9783030553999"</f>
        <v>9783030553999</v>
      </c>
      <c r="D1520" t="str">
        <f>"9783030554002"</f>
        <v>9783030554002</v>
      </c>
      <c r="E1520" t="s">
        <v>2289</v>
      </c>
      <c r="F1520" t="s">
        <v>2290</v>
      </c>
      <c r="G1520" s="1">
        <v>44121</v>
      </c>
      <c r="H1520" s="1">
        <v>44279</v>
      </c>
      <c r="I1520" t="s">
        <v>189</v>
      </c>
      <c r="L1520" t="s">
        <v>4407</v>
      </c>
    </row>
    <row r="1521" spans="1:40" x14ac:dyDescent="0.35">
      <c r="A1521">
        <v>6380914</v>
      </c>
      <c r="B1521" t="s">
        <v>4408</v>
      </c>
      <c r="C1521" t="str">
        <f>"9783030551513"</f>
        <v>9783030551513</v>
      </c>
      <c r="D1521" t="str">
        <f>"9783030551520"</f>
        <v>9783030551520</v>
      </c>
      <c r="E1521" t="s">
        <v>2289</v>
      </c>
      <c r="F1521" t="s">
        <v>2290</v>
      </c>
      <c r="G1521" s="1">
        <v>44119</v>
      </c>
      <c r="H1521" s="1">
        <v>44246</v>
      </c>
      <c r="I1521" t="s">
        <v>189</v>
      </c>
      <c r="K1521" t="s">
        <v>4409</v>
      </c>
      <c r="L1521" t="s">
        <v>4410</v>
      </c>
    </row>
    <row r="1522" spans="1:40" x14ac:dyDescent="0.35">
      <c r="A1522">
        <v>6381012</v>
      </c>
      <c r="B1522" t="s">
        <v>4411</v>
      </c>
      <c r="C1522" t="str">
        <f>"9783030546731"</f>
        <v>9783030546731</v>
      </c>
      <c r="D1522" t="str">
        <f>"9783030546748"</f>
        <v>9783030546748</v>
      </c>
      <c r="E1522" t="s">
        <v>2289</v>
      </c>
      <c r="F1522" t="s">
        <v>2663</v>
      </c>
      <c r="G1522" s="1">
        <v>44132</v>
      </c>
      <c r="H1522" s="1">
        <v>44279</v>
      </c>
      <c r="I1522" t="s">
        <v>189</v>
      </c>
      <c r="K1522" t="s">
        <v>3577</v>
      </c>
      <c r="L1522" t="s">
        <v>4412</v>
      </c>
    </row>
    <row r="1523" spans="1:40" x14ac:dyDescent="0.35">
      <c r="A1523">
        <v>6381122</v>
      </c>
      <c r="B1523" t="s">
        <v>4413</v>
      </c>
      <c r="C1523" t="str">
        <f>"9783030570804"</f>
        <v>9783030570804</v>
      </c>
      <c r="D1523" t="str">
        <f>"9783030570811"</f>
        <v>9783030570811</v>
      </c>
      <c r="E1523" t="s">
        <v>2289</v>
      </c>
      <c r="F1523" t="s">
        <v>2663</v>
      </c>
      <c r="G1523" s="1">
        <v>44118</v>
      </c>
      <c r="H1523" s="1">
        <v>44279</v>
      </c>
      <c r="I1523" t="s">
        <v>189</v>
      </c>
      <c r="K1523" t="s">
        <v>4414</v>
      </c>
      <c r="L1523" t="s">
        <v>4415</v>
      </c>
      <c r="M1523" t="s">
        <v>3181</v>
      </c>
    </row>
    <row r="1524" spans="1:40" x14ac:dyDescent="0.35">
      <c r="A1524">
        <v>6381145</v>
      </c>
      <c r="B1524" t="s">
        <v>4416</v>
      </c>
      <c r="C1524" t="str">
        <f>"9783030538460"</f>
        <v>9783030538460</v>
      </c>
      <c r="D1524" t="str">
        <f>"9783030538477"</f>
        <v>9783030538477</v>
      </c>
      <c r="E1524" t="s">
        <v>2289</v>
      </c>
      <c r="F1524" t="s">
        <v>2290</v>
      </c>
      <c r="G1524" s="1">
        <v>44131</v>
      </c>
      <c r="H1524" s="1">
        <v>44279</v>
      </c>
      <c r="I1524" t="s">
        <v>189</v>
      </c>
      <c r="K1524" t="s">
        <v>4417</v>
      </c>
      <c r="L1524" t="s">
        <v>4418</v>
      </c>
    </row>
    <row r="1525" spans="1:40" x14ac:dyDescent="0.35">
      <c r="A1525">
        <v>6381169</v>
      </c>
      <c r="B1525" t="s">
        <v>4419</v>
      </c>
      <c r="C1525" t="str">
        <f>"9783662489574"</f>
        <v>9783662489574</v>
      </c>
      <c r="D1525" t="str">
        <f>"9783662489598"</f>
        <v>9783662489598</v>
      </c>
      <c r="E1525" t="s">
        <v>4047</v>
      </c>
      <c r="F1525" t="s">
        <v>2290</v>
      </c>
      <c r="G1525" s="1">
        <v>42479</v>
      </c>
      <c r="H1525" s="1">
        <v>44567</v>
      </c>
      <c r="I1525" t="s">
        <v>189</v>
      </c>
      <c r="K1525" t="s">
        <v>4420</v>
      </c>
      <c r="L1525" t="s">
        <v>4421</v>
      </c>
    </row>
    <row r="1526" spans="1:40" x14ac:dyDescent="0.35">
      <c r="A1526">
        <v>6381176</v>
      </c>
      <c r="B1526" t="s">
        <v>4422</v>
      </c>
      <c r="C1526" t="str">
        <f>"9783658311599"</f>
        <v>9783658311599</v>
      </c>
      <c r="D1526" t="str">
        <f>"9783658311605"</f>
        <v>9783658311605</v>
      </c>
      <c r="E1526" t="s">
        <v>3972</v>
      </c>
      <c r="F1526" t="s">
        <v>3998</v>
      </c>
      <c r="G1526" s="1">
        <v>44118</v>
      </c>
      <c r="H1526" s="1">
        <v>44279</v>
      </c>
      <c r="I1526" t="s">
        <v>189</v>
      </c>
      <c r="K1526" t="s">
        <v>4423</v>
      </c>
      <c r="L1526" t="s">
        <v>4424</v>
      </c>
    </row>
    <row r="1527" spans="1:40" x14ac:dyDescent="0.35">
      <c r="A1527">
        <v>6381237</v>
      </c>
      <c r="B1527" t="s">
        <v>4425</v>
      </c>
      <c r="C1527" t="str">
        <f>"9783030546595"</f>
        <v>9783030546595</v>
      </c>
      <c r="D1527" t="str">
        <f>"9783030546601"</f>
        <v>9783030546601</v>
      </c>
      <c r="E1527" t="s">
        <v>2289</v>
      </c>
      <c r="F1527" t="s">
        <v>2663</v>
      </c>
      <c r="G1527" s="1">
        <v>44118</v>
      </c>
      <c r="H1527" s="1">
        <v>44279</v>
      </c>
      <c r="I1527" t="s">
        <v>189</v>
      </c>
      <c r="K1527" t="s">
        <v>4036</v>
      </c>
      <c r="L1527" t="s">
        <v>4037</v>
      </c>
    </row>
    <row r="1528" spans="1:40" x14ac:dyDescent="0.35">
      <c r="A1528">
        <v>6381274</v>
      </c>
      <c r="B1528" t="s">
        <v>4426</v>
      </c>
      <c r="C1528" t="str">
        <f>"9783030598327"</f>
        <v>9783030598327</v>
      </c>
      <c r="D1528" t="str">
        <f>"9783030598334"</f>
        <v>9783030598334</v>
      </c>
      <c r="E1528" t="s">
        <v>2289</v>
      </c>
      <c r="F1528" t="s">
        <v>2290</v>
      </c>
      <c r="G1528" s="1">
        <v>44131</v>
      </c>
      <c r="H1528" s="1">
        <v>44246</v>
      </c>
      <c r="I1528" t="s">
        <v>189</v>
      </c>
      <c r="K1528" t="s">
        <v>4008</v>
      </c>
      <c r="L1528" t="s">
        <v>4427</v>
      </c>
    </row>
    <row r="1529" spans="1:40" x14ac:dyDescent="0.35">
      <c r="A1529">
        <v>6381290</v>
      </c>
      <c r="B1529" t="s">
        <v>4428</v>
      </c>
      <c r="C1529" t="str">
        <f>"9783030496821"</f>
        <v>9783030496821</v>
      </c>
      <c r="D1529" t="str">
        <f>"9783030496838"</f>
        <v>9783030496838</v>
      </c>
      <c r="E1529" t="s">
        <v>2289</v>
      </c>
      <c r="F1529" t="s">
        <v>2663</v>
      </c>
      <c r="G1529" s="1">
        <v>44118</v>
      </c>
      <c r="H1529" s="1">
        <v>44279</v>
      </c>
      <c r="I1529" t="s">
        <v>189</v>
      </c>
      <c r="L1529" t="s">
        <v>4429</v>
      </c>
      <c r="M1529" t="s">
        <v>329</v>
      </c>
      <c r="N1529" t="s">
        <v>4236</v>
      </c>
      <c r="O1529" t="s">
        <v>4430</v>
      </c>
      <c r="Q1529" t="s">
        <v>260</v>
      </c>
      <c r="R1529" t="s">
        <v>261</v>
      </c>
      <c r="S1529" t="s">
        <v>261</v>
      </c>
      <c r="T1529" t="s">
        <v>261</v>
      </c>
      <c r="U1529" t="s">
        <v>262</v>
      </c>
      <c r="V1529" t="s">
        <v>262</v>
      </c>
      <c r="W1529" t="s">
        <v>261</v>
      </c>
      <c r="X1529" t="s">
        <v>262</v>
      </c>
      <c r="Y1529" t="s">
        <v>261</v>
      </c>
      <c r="Z1529" t="s">
        <v>409</v>
      </c>
      <c r="AA1529" t="s">
        <v>409</v>
      </c>
      <c r="AB1529" t="s">
        <v>409</v>
      </c>
      <c r="AC1529" t="s">
        <v>409</v>
      </c>
      <c r="AD1529" t="s">
        <v>261</v>
      </c>
      <c r="AH1529" t="s">
        <v>262</v>
      </c>
      <c r="AI1529" t="s">
        <v>262</v>
      </c>
      <c r="AJ1529" t="s">
        <v>261</v>
      </c>
      <c r="AK1529" t="s">
        <v>261</v>
      </c>
      <c r="AM1529" t="s">
        <v>262</v>
      </c>
      <c r="AN1529" t="s">
        <v>4431</v>
      </c>
    </row>
    <row r="1530" spans="1:40" x14ac:dyDescent="0.35">
      <c r="A1530">
        <v>6381308</v>
      </c>
      <c r="B1530" t="s">
        <v>4432</v>
      </c>
      <c r="C1530" t="str">
        <f>"9783030496784"</f>
        <v>9783030496784</v>
      </c>
      <c r="D1530" t="str">
        <f>"9783030496791"</f>
        <v>9783030496791</v>
      </c>
      <c r="E1530" t="s">
        <v>2289</v>
      </c>
      <c r="F1530" t="s">
        <v>2663</v>
      </c>
      <c r="G1530" s="1">
        <v>44119</v>
      </c>
      <c r="H1530" s="1">
        <v>44279</v>
      </c>
      <c r="I1530" t="s">
        <v>189</v>
      </c>
      <c r="L1530" t="s">
        <v>4429</v>
      </c>
      <c r="M1530" t="s">
        <v>329</v>
      </c>
      <c r="N1530" t="s">
        <v>4236</v>
      </c>
      <c r="O1530" t="s">
        <v>4430</v>
      </c>
      <c r="Q1530" t="s">
        <v>260</v>
      </c>
      <c r="R1530" t="s">
        <v>261</v>
      </c>
      <c r="S1530" t="s">
        <v>261</v>
      </c>
      <c r="T1530" t="s">
        <v>261</v>
      </c>
      <c r="U1530" t="s">
        <v>262</v>
      </c>
      <c r="V1530" t="s">
        <v>262</v>
      </c>
      <c r="W1530" t="s">
        <v>261</v>
      </c>
      <c r="X1530" t="s">
        <v>262</v>
      </c>
      <c r="Y1530" t="s">
        <v>261</v>
      </c>
      <c r="Z1530" t="s">
        <v>409</v>
      </c>
      <c r="AA1530" t="s">
        <v>409</v>
      </c>
      <c r="AB1530" t="s">
        <v>409</v>
      </c>
      <c r="AC1530" t="s">
        <v>409</v>
      </c>
      <c r="AD1530" t="s">
        <v>261</v>
      </c>
      <c r="AH1530" t="s">
        <v>262</v>
      </c>
      <c r="AI1530" t="s">
        <v>262</v>
      </c>
      <c r="AJ1530" t="s">
        <v>261</v>
      </c>
      <c r="AK1530" t="s">
        <v>261</v>
      </c>
      <c r="AM1530" t="s">
        <v>262</v>
      </c>
      <c r="AN1530" t="s">
        <v>4433</v>
      </c>
    </row>
    <row r="1531" spans="1:40" x14ac:dyDescent="0.35">
      <c r="A1531">
        <v>6381407</v>
      </c>
      <c r="B1531" t="s">
        <v>4434</v>
      </c>
      <c r="C1531" t="str">
        <f>"9783030278731"</f>
        <v>9783030278731</v>
      </c>
      <c r="D1531" t="str">
        <f>"9783030278748"</f>
        <v>9783030278748</v>
      </c>
      <c r="E1531" t="s">
        <v>2289</v>
      </c>
      <c r="F1531" t="s">
        <v>2290</v>
      </c>
      <c r="G1531" s="1">
        <v>44131</v>
      </c>
      <c r="H1531" s="1">
        <v>44246</v>
      </c>
      <c r="I1531" t="s">
        <v>189</v>
      </c>
      <c r="K1531" t="s">
        <v>4435</v>
      </c>
      <c r="L1531" t="s">
        <v>3981</v>
      </c>
    </row>
    <row r="1532" spans="1:40" x14ac:dyDescent="0.35">
      <c r="A1532">
        <v>6381426</v>
      </c>
      <c r="B1532" t="s">
        <v>4436</v>
      </c>
      <c r="C1532" t="str">
        <f>"9789811551901"</f>
        <v>9789811551901</v>
      </c>
      <c r="D1532" t="str">
        <f>"9789811551918"</f>
        <v>9789811551918</v>
      </c>
      <c r="E1532" t="s">
        <v>3404</v>
      </c>
      <c r="F1532" t="s">
        <v>2290</v>
      </c>
      <c r="G1532" s="1">
        <v>44127</v>
      </c>
      <c r="H1532" s="1">
        <v>44279</v>
      </c>
      <c r="I1532" t="s">
        <v>189</v>
      </c>
      <c r="K1532" t="s">
        <v>4437</v>
      </c>
      <c r="L1532" t="s">
        <v>4438</v>
      </c>
    </row>
    <row r="1533" spans="1:40" x14ac:dyDescent="0.35">
      <c r="A1533">
        <v>6381442</v>
      </c>
      <c r="B1533" t="s">
        <v>4439</v>
      </c>
      <c r="C1533" t="str">
        <f>"9783319295572"</f>
        <v>9783319295572</v>
      </c>
      <c r="D1533" t="str">
        <f>"9783319295589"</f>
        <v>9783319295589</v>
      </c>
      <c r="E1533" t="s">
        <v>2289</v>
      </c>
      <c r="F1533" t="s">
        <v>3635</v>
      </c>
      <c r="G1533" s="1">
        <v>42451</v>
      </c>
      <c r="H1533" s="1">
        <v>44567</v>
      </c>
      <c r="I1533" t="s">
        <v>189</v>
      </c>
      <c r="K1533" t="s">
        <v>4440</v>
      </c>
      <c r="L1533" t="s">
        <v>4441</v>
      </c>
    </row>
    <row r="1534" spans="1:40" x14ac:dyDescent="0.35">
      <c r="A1534">
        <v>6381988</v>
      </c>
      <c r="B1534" t="s">
        <v>4442</v>
      </c>
      <c r="C1534" t="str">
        <f>"9783030523909"</f>
        <v>9783030523909</v>
      </c>
      <c r="D1534" t="str">
        <f>"9783030523916"</f>
        <v>9783030523916</v>
      </c>
      <c r="E1534" t="s">
        <v>2289</v>
      </c>
      <c r="F1534" t="s">
        <v>2290</v>
      </c>
      <c r="G1534" s="1">
        <v>44134</v>
      </c>
      <c r="H1534" s="1">
        <v>44279</v>
      </c>
      <c r="I1534" t="s">
        <v>189</v>
      </c>
      <c r="K1534" t="s">
        <v>4443</v>
      </c>
      <c r="L1534" t="s">
        <v>4444</v>
      </c>
    </row>
    <row r="1535" spans="1:40" x14ac:dyDescent="0.35">
      <c r="A1535">
        <v>6382137</v>
      </c>
      <c r="B1535" t="s">
        <v>4445</v>
      </c>
      <c r="C1535" t="str">
        <f>"9783030512408"</f>
        <v>9783030512408</v>
      </c>
      <c r="D1535" t="str">
        <f>"9783030512415"</f>
        <v>9783030512415</v>
      </c>
      <c r="E1535" t="s">
        <v>2289</v>
      </c>
      <c r="F1535" t="s">
        <v>2290</v>
      </c>
      <c r="G1535" s="1">
        <v>44135</v>
      </c>
      <c r="H1535" s="1">
        <v>44246</v>
      </c>
      <c r="I1535" t="s">
        <v>189</v>
      </c>
      <c r="K1535" t="s">
        <v>1208</v>
      </c>
      <c r="L1535" t="s">
        <v>4245</v>
      </c>
    </row>
    <row r="1536" spans="1:40" x14ac:dyDescent="0.35">
      <c r="A1536">
        <v>6382138</v>
      </c>
      <c r="B1536" t="s">
        <v>4446</v>
      </c>
      <c r="C1536" t="str">
        <f>"9783030611569"</f>
        <v>9783030611569</v>
      </c>
      <c r="D1536" t="str">
        <f>"9783030611576"</f>
        <v>9783030611576</v>
      </c>
      <c r="E1536" t="s">
        <v>2289</v>
      </c>
      <c r="F1536" t="s">
        <v>2290</v>
      </c>
      <c r="G1536" s="1">
        <v>44135</v>
      </c>
      <c r="H1536" s="1">
        <v>44279</v>
      </c>
      <c r="I1536" t="s">
        <v>189</v>
      </c>
      <c r="K1536" t="s">
        <v>4447</v>
      </c>
      <c r="L1536" t="s">
        <v>4448</v>
      </c>
    </row>
    <row r="1537" spans="1:40" x14ac:dyDescent="0.35">
      <c r="A1537">
        <v>6382143</v>
      </c>
      <c r="B1537" t="s">
        <v>4449</v>
      </c>
      <c r="C1537" t="str">
        <f>"9789811581823"</f>
        <v>9789811581823</v>
      </c>
      <c r="D1537" t="str">
        <f>"9789811581830"</f>
        <v>9789811581830</v>
      </c>
      <c r="E1537" t="s">
        <v>4183</v>
      </c>
      <c r="F1537" t="s">
        <v>4450</v>
      </c>
      <c r="G1537" s="1">
        <v>44135</v>
      </c>
      <c r="H1537" s="1">
        <v>44279</v>
      </c>
      <c r="I1537" t="s">
        <v>189</v>
      </c>
      <c r="L1537" t="s">
        <v>4451</v>
      </c>
    </row>
    <row r="1538" spans="1:40" x14ac:dyDescent="0.35">
      <c r="A1538">
        <v>6382157</v>
      </c>
      <c r="B1538" t="s">
        <v>4452</v>
      </c>
      <c r="C1538" t="str">
        <f>"9783030512446"</f>
        <v>9783030512446</v>
      </c>
      <c r="D1538" t="str">
        <f>"9783030512453"</f>
        <v>9783030512453</v>
      </c>
      <c r="E1538" t="s">
        <v>2289</v>
      </c>
      <c r="F1538" t="s">
        <v>2290</v>
      </c>
      <c r="G1538" s="1">
        <v>44135</v>
      </c>
      <c r="H1538" s="1">
        <v>44246</v>
      </c>
      <c r="I1538" t="s">
        <v>189</v>
      </c>
      <c r="K1538" t="s">
        <v>1208</v>
      </c>
      <c r="L1538" t="s">
        <v>4245</v>
      </c>
    </row>
    <row r="1539" spans="1:40" x14ac:dyDescent="0.35">
      <c r="A1539">
        <v>6382163</v>
      </c>
      <c r="B1539" t="s">
        <v>4453</v>
      </c>
      <c r="C1539" t="str">
        <f>"9783030548704"</f>
        <v>9783030548704</v>
      </c>
      <c r="D1539" t="str">
        <f>"9783030548711"</f>
        <v>9783030548711</v>
      </c>
      <c r="E1539" t="s">
        <v>2289</v>
      </c>
      <c r="F1539" t="s">
        <v>2663</v>
      </c>
      <c r="G1539" s="1">
        <v>44135</v>
      </c>
      <c r="H1539" s="1">
        <v>44279</v>
      </c>
      <c r="I1539" t="s">
        <v>189</v>
      </c>
      <c r="K1539" t="s">
        <v>4168</v>
      </c>
      <c r="L1539" t="s">
        <v>4454</v>
      </c>
      <c r="M1539" t="s">
        <v>329</v>
      </c>
    </row>
    <row r="1540" spans="1:40" x14ac:dyDescent="0.35">
      <c r="A1540">
        <v>6382228</v>
      </c>
      <c r="B1540" t="s">
        <v>4455</v>
      </c>
      <c r="C1540" t="str">
        <f>""</f>
        <v/>
      </c>
      <c r="D1540" t="str">
        <f>"9789179297763"</f>
        <v>9789179297763</v>
      </c>
      <c r="E1540" t="s">
        <v>3642</v>
      </c>
      <c r="F1540" t="s">
        <v>3642</v>
      </c>
      <c r="G1540" s="1">
        <v>44130</v>
      </c>
      <c r="H1540" s="1">
        <v>44137</v>
      </c>
      <c r="I1540" t="s">
        <v>189</v>
      </c>
      <c r="J1540">
        <v>1</v>
      </c>
      <c r="L1540" t="s">
        <v>4456</v>
      </c>
      <c r="Q1540" t="s">
        <v>260</v>
      </c>
      <c r="R1540" t="s">
        <v>261</v>
      </c>
      <c r="S1540" t="s">
        <v>261</v>
      </c>
      <c r="T1540" t="s">
        <v>261</v>
      </c>
      <c r="U1540" t="s">
        <v>261</v>
      </c>
      <c r="V1540" t="s">
        <v>262</v>
      </c>
      <c r="W1540" t="s">
        <v>261</v>
      </c>
      <c r="X1540" t="s">
        <v>261</v>
      </c>
      <c r="Y1540" t="s">
        <v>261</v>
      </c>
      <c r="AD1540" t="s">
        <v>261</v>
      </c>
      <c r="AH1540" t="s">
        <v>262</v>
      </c>
      <c r="AI1540" t="s">
        <v>261</v>
      </c>
      <c r="AJ1540" t="s">
        <v>261</v>
      </c>
      <c r="AK1540" t="s">
        <v>261</v>
      </c>
      <c r="AM1540" t="s">
        <v>262</v>
      </c>
      <c r="AN1540" t="s">
        <v>4457</v>
      </c>
    </row>
    <row r="1541" spans="1:40" x14ac:dyDescent="0.35">
      <c r="A1541">
        <v>6382677</v>
      </c>
      <c r="B1541" t="s">
        <v>4458</v>
      </c>
      <c r="C1541" t="str">
        <f>""</f>
        <v/>
      </c>
      <c r="D1541" t="str">
        <f>"9789048551552"</f>
        <v>9789048551552</v>
      </c>
      <c r="E1541" t="s">
        <v>361</v>
      </c>
      <c r="F1541" t="s">
        <v>361</v>
      </c>
      <c r="G1541" s="1">
        <v>44109</v>
      </c>
      <c r="H1541" s="1">
        <v>44138</v>
      </c>
      <c r="I1541" t="s">
        <v>189</v>
      </c>
      <c r="J1541">
        <v>1</v>
      </c>
      <c r="K1541" t="s">
        <v>4459</v>
      </c>
      <c r="L1541" t="s">
        <v>4460</v>
      </c>
      <c r="M1541" t="s">
        <v>239</v>
      </c>
    </row>
    <row r="1542" spans="1:40" x14ac:dyDescent="0.35">
      <c r="A1542">
        <v>6383170</v>
      </c>
      <c r="B1542" t="s">
        <v>4461</v>
      </c>
      <c r="C1542" t="str">
        <f>"9789813271791"</f>
        <v>9789813271791</v>
      </c>
      <c r="D1542" t="str">
        <f>"9789813271807"</f>
        <v>9789813271807</v>
      </c>
      <c r="E1542" t="s">
        <v>3954</v>
      </c>
      <c r="F1542" t="s">
        <v>3955</v>
      </c>
      <c r="G1542" s="1">
        <v>43606</v>
      </c>
      <c r="H1542" s="1">
        <v>44210</v>
      </c>
      <c r="I1542" t="s">
        <v>189</v>
      </c>
      <c r="K1542" t="s">
        <v>4462</v>
      </c>
      <c r="L1542" t="s">
        <v>4463</v>
      </c>
    </row>
    <row r="1543" spans="1:40" x14ac:dyDescent="0.35">
      <c r="A1543">
        <v>6383171</v>
      </c>
      <c r="B1543" t="s">
        <v>4464</v>
      </c>
      <c r="C1543" t="str">
        <f>"9789814759908"</f>
        <v>9789814759908</v>
      </c>
      <c r="D1543" t="str">
        <f>"9789814759915"</f>
        <v>9789814759915</v>
      </c>
      <c r="E1543" t="s">
        <v>3954</v>
      </c>
      <c r="F1543" t="s">
        <v>3955</v>
      </c>
      <c r="G1543" s="1">
        <v>42545</v>
      </c>
      <c r="H1543" s="1">
        <v>44210</v>
      </c>
      <c r="I1543" t="s">
        <v>189</v>
      </c>
      <c r="L1543" t="s">
        <v>4465</v>
      </c>
    </row>
    <row r="1544" spans="1:40" x14ac:dyDescent="0.35">
      <c r="A1544">
        <v>6383172</v>
      </c>
      <c r="B1544" t="s">
        <v>4466</v>
      </c>
      <c r="C1544" t="str">
        <f>"9789813207806"</f>
        <v>9789813207806</v>
      </c>
      <c r="D1544" t="str">
        <f>"9789813207813"</f>
        <v>9789813207813</v>
      </c>
      <c r="E1544" t="s">
        <v>3954</v>
      </c>
      <c r="F1544" t="s">
        <v>3955</v>
      </c>
      <c r="G1544" s="1">
        <v>42697</v>
      </c>
      <c r="H1544" s="1">
        <v>44537</v>
      </c>
      <c r="I1544" t="s">
        <v>189</v>
      </c>
      <c r="L1544" t="s">
        <v>4467</v>
      </c>
    </row>
    <row r="1545" spans="1:40" x14ac:dyDescent="0.35">
      <c r="A1545">
        <v>6383173</v>
      </c>
      <c r="B1545" t="s">
        <v>4468</v>
      </c>
      <c r="C1545" t="str">
        <f>"9789814749404"</f>
        <v>9789814749404</v>
      </c>
      <c r="D1545" t="str">
        <f>"9789814749411"</f>
        <v>9789814749411</v>
      </c>
      <c r="E1545" t="s">
        <v>3954</v>
      </c>
      <c r="F1545" t="s">
        <v>3955</v>
      </c>
      <c r="G1545" s="1">
        <v>42327</v>
      </c>
      <c r="H1545" s="1">
        <v>44537</v>
      </c>
      <c r="I1545" t="s">
        <v>189</v>
      </c>
      <c r="L1545" t="s">
        <v>4467</v>
      </c>
    </row>
    <row r="1546" spans="1:40" x14ac:dyDescent="0.35">
      <c r="A1546">
        <v>6383174</v>
      </c>
      <c r="B1546" t="s">
        <v>4469</v>
      </c>
      <c r="C1546" t="str">
        <f>"9781848165694"</f>
        <v>9781848165694</v>
      </c>
      <c r="D1546" t="str">
        <f>"9781848165786"</f>
        <v>9781848165786</v>
      </c>
      <c r="E1546" t="s">
        <v>3954</v>
      </c>
      <c r="F1546" t="s">
        <v>4470</v>
      </c>
      <c r="G1546" s="1">
        <v>40196</v>
      </c>
      <c r="H1546" s="1">
        <v>44210</v>
      </c>
      <c r="I1546" t="s">
        <v>189</v>
      </c>
      <c r="L1546" t="s">
        <v>4471</v>
      </c>
    </row>
    <row r="1547" spans="1:40" x14ac:dyDescent="0.35">
      <c r="A1547">
        <v>6383175</v>
      </c>
      <c r="B1547" t="s">
        <v>4472</v>
      </c>
      <c r="C1547" t="str">
        <f>"9781848165625"</f>
        <v>9781848165625</v>
      </c>
      <c r="D1547" t="str">
        <f>"9781848165632"</f>
        <v>9781848165632</v>
      </c>
      <c r="E1547" t="s">
        <v>3954</v>
      </c>
      <c r="F1547" t="s">
        <v>4470</v>
      </c>
      <c r="G1547" s="1">
        <v>40109</v>
      </c>
      <c r="H1547" s="1">
        <v>44210</v>
      </c>
      <c r="I1547" t="s">
        <v>189</v>
      </c>
      <c r="L1547" t="s">
        <v>4473</v>
      </c>
    </row>
    <row r="1548" spans="1:40" x14ac:dyDescent="0.35">
      <c r="A1548">
        <v>6383176</v>
      </c>
      <c r="B1548" t="s">
        <v>4474</v>
      </c>
      <c r="C1548" t="str">
        <f>"9789811215629"</f>
        <v>9789811215629</v>
      </c>
      <c r="D1548" t="str">
        <f>"9789811215636"</f>
        <v>9789811215636</v>
      </c>
      <c r="E1548" t="s">
        <v>3954</v>
      </c>
      <c r="F1548" t="s">
        <v>3955</v>
      </c>
      <c r="G1548" s="1">
        <v>43797</v>
      </c>
      <c r="H1548" s="1">
        <v>44210</v>
      </c>
      <c r="I1548" t="s">
        <v>189</v>
      </c>
      <c r="L1548" t="s">
        <v>4467</v>
      </c>
    </row>
    <row r="1549" spans="1:40" x14ac:dyDescent="0.35">
      <c r="A1549">
        <v>6383177</v>
      </c>
      <c r="B1549" t="s">
        <v>4475</v>
      </c>
      <c r="C1549" t="str">
        <f>"9789813226593"</f>
        <v>9789813226593</v>
      </c>
      <c r="D1549" t="str">
        <f>"9789813226609"</f>
        <v>9789813226609</v>
      </c>
      <c r="E1549" t="s">
        <v>3954</v>
      </c>
      <c r="F1549" t="s">
        <v>3955</v>
      </c>
      <c r="G1549" s="1">
        <v>43021</v>
      </c>
      <c r="H1549" s="1">
        <v>44210</v>
      </c>
      <c r="I1549" t="s">
        <v>189</v>
      </c>
      <c r="L1549" t="s">
        <v>4476</v>
      </c>
    </row>
    <row r="1550" spans="1:40" x14ac:dyDescent="0.35">
      <c r="A1550">
        <v>6383178</v>
      </c>
      <c r="B1550" t="s">
        <v>4477</v>
      </c>
      <c r="C1550" t="str">
        <f>"9789813230880"</f>
        <v>9789813230880</v>
      </c>
      <c r="D1550" t="str">
        <f>"9789813230897"</f>
        <v>9789813230897</v>
      </c>
      <c r="E1550" t="s">
        <v>3954</v>
      </c>
      <c r="F1550" t="s">
        <v>3955</v>
      </c>
      <c r="G1550" s="1">
        <v>43207</v>
      </c>
      <c r="H1550" s="1">
        <v>44210</v>
      </c>
      <c r="I1550" t="s">
        <v>189</v>
      </c>
      <c r="L1550" t="s">
        <v>4478</v>
      </c>
      <c r="M1550" t="s">
        <v>944</v>
      </c>
      <c r="Q1550" t="s">
        <v>260</v>
      </c>
      <c r="R1550" t="s">
        <v>261</v>
      </c>
      <c r="S1550" t="s">
        <v>261</v>
      </c>
      <c r="T1550" t="s">
        <v>261</v>
      </c>
      <c r="U1550" t="s">
        <v>261</v>
      </c>
      <c r="V1550" t="s">
        <v>262</v>
      </c>
      <c r="W1550" t="s">
        <v>261</v>
      </c>
      <c r="X1550" t="s">
        <v>261</v>
      </c>
      <c r="Y1550" t="s">
        <v>261</v>
      </c>
      <c r="Z1550" t="s">
        <v>409</v>
      </c>
      <c r="AA1550" t="s">
        <v>409</v>
      </c>
      <c r="AB1550" t="s">
        <v>409</v>
      </c>
      <c r="AC1550" t="s">
        <v>409</v>
      </c>
      <c r="AD1550" t="s">
        <v>261</v>
      </c>
      <c r="AH1550" t="s">
        <v>262</v>
      </c>
      <c r="AI1550" t="s">
        <v>262</v>
      </c>
      <c r="AJ1550" t="s">
        <v>261</v>
      </c>
      <c r="AK1550" t="s">
        <v>261</v>
      </c>
      <c r="AM1550" t="s">
        <v>262</v>
      </c>
      <c r="AN1550" t="s">
        <v>4479</v>
      </c>
    </row>
    <row r="1551" spans="1:40" x14ac:dyDescent="0.35">
      <c r="A1551">
        <v>6383179</v>
      </c>
      <c r="B1551" t="s">
        <v>4480</v>
      </c>
      <c r="C1551" t="str">
        <f>"9789813235526"</f>
        <v>9789813235526</v>
      </c>
      <c r="D1551" t="str">
        <f>"9789813235533"</f>
        <v>9789813235533</v>
      </c>
      <c r="E1551" t="s">
        <v>3954</v>
      </c>
      <c r="F1551" t="s">
        <v>3955</v>
      </c>
      <c r="G1551" s="1">
        <v>43056</v>
      </c>
      <c r="H1551" s="1">
        <v>44210</v>
      </c>
      <c r="I1551" t="s">
        <v>189</v>
      </c>
      <c r="L1551" t="s">
        <v>4467</v>
      </c>
    </row>
    <row r="1552" spans="1:40" x14ac:dyDescent="0.35">
      <c r="A1552">
        <v>6383180</v>
      </c>
      <c r="B1552" t="s">
        <v>4481</v>
      </c>
      <c r="C1552" t="str">
        <f>"9789813236028"</f>
        <v>9789813236028</v>
      </c>
      <c r="D1552" t="str">
        <f>"9789813236035"</f>
        <v>9789813236035</v>
      </c>
      <c r="E1552" t="s">
        <v>3954</v>
      </c>
      <c r="F1552" t="s">
        <v>3955</v>
      </c>
      <c r="G1552" s="1">
        <v>43213</v>
      </c>
      <c r="H1552" s="1">
        <v>44210</v>
      </c>
      <c r="I1552" t="s">
        <v>189</v>
      </c>
      <c r="L1552" t="s">
        <v>4482</v>
      </c>
    </row>
    <row r="1553" spans="1:40" x14ac:dyDescent="0.35">
      <c r="A1553">
        <v>6383181</v>
      </c>
      <c r="B1553" t="s">
        <v>4483</v>
      </c>
      <c r="C1553" t="str">
        <f>"9789813272552"</f>
        <v>9789813272552</v>
      </c>
      <c r="D1553" t="str">
        <f>"9789813272569"</f>
        <v>9789813272569</v>
      </c>
      <c r="E1553" t="s">
        <v>3954</v>
      </c>
      <c r="F1553" t="s">
        <v>3955</v>
      </c>
      <c r="G1553" s="1">
        <v>43357</v>
      </c>
      <c r="H1553" s="1">
        <v>44210</v>
      </c>
      <c r="I1553" t="s">
        <v>189</v>
      </c>
      <c r="L1553" t="s">
        <v>4250</v>
      </c>
    </row>
    <row r="1554" spans="1:40" x14ac:dyDescent="0.35">
      <c r="A1554">
        <v>6383182</v>
      </c>
      <c r="B1554" t="s">
        <v>4484</v>
      </c>
      <c r="C1554" t="str">
        <f>"9789813278349"</f>
        <v>9789813278349</v>
      </c>
      <c r="D1554" t="str">
        <f>"9789813278356"</f>
        <v>9789813278356</v>
      </c>
      <c r="E1554" t="s">
        <v>3954</v>
      </c>
      <c r="F1554" t="s">
        <v>3955</v>
      </c>
      <c r="G1554" s="1">
        <v>43412</v>
      </c>
      <c r="H1554" s="1">
        <v>44210</v>
      </c>
      <c r="I1554" t="s">
        <v>189</v>
      </c>
      <c r="K1554" t="s">
        <v>4485</v>
      </c>
      <c r="L1554" t="s">
        <v>4486</v>
      </c>
    </row>
    <row r="1555" spans="1:40" x14ac:dyDescent="0.35">
      <c r="A1555">
        <v>6383183</v>
      </c>
      <c r="B1555" t="s">
        <v>4487</v>
      </c>
      <c r="C1555" t="str">
        <f>"9789813279810"</f>
        <v>9789813279810</v>
      </c>
      <c r="D1555" t="str">
        <f>"9789813279827"</f>
        <v>9789813279827</v>
      </c>
      <c r="E1555" t="s">
        <v>3954</v>
      </c>
      <c r="F1555" t="s">
        <v>3955</v>
      </c>
      <c r="G1555" s="1">
        <v>43432</v>
      </c>
      <c r="H1555" s="1">
        <v>44210</v>
      </c>
      <c r="I1555" t="s">
        <v>189</v>
      </c>
      <c r="L1555" t="s">
        <v>4467</v>
      </c>
    </row>
    <row r="1556" spans="1:40" x14ac:dyDescent="0.35">
      <c r="A1556">
        <v>6383184</v>
      </c>
      <c r="B1556" t="s">
        <v>4488</v>
      </c>
      <c r="C1556" t="str">
        <f>"9789814596374"</f>
        <v>9789814596374</v>
      </c>
      <c r="D1556" t="str">
        <f>"9789814366496"</f>
        <v>9789814366496</v>
      </c>
      <c r="E1556" t="s">
        <v>3954</v>
      </c>
      <c r="F1556" t="s">
        <v>3955</v>
      </c>
      <c r="G1556" s="1">
        <v>40885</v>
      </c>
      <c r="H1556" s="1">
        <v>44210</v>
      </c>
      <c r="I1556" t="s">
        <v>189</v>
      </c>
      <c r="L1556" t="s">
        <v>4489</v>
      </c>
    </row>
    <row r="1557" spans="1:40" x14ac:dyDescent="0.35">
      <c r="A1557">
        <v>6383185</v>
      </c>
      <c r="B1557" t="s">
        <v>4490</v>
      </c>
      <c r="C1557" t="str">
        <f>"9789814596367"</f>
        <v>9789814596367</v>
      </c>
      <c r="D1557" t="str">
        <f>"9789814447973"</f>
        <v>9789814447973</v>
      </c>
      <c r="E1557" t="s">
        <v>3954</v>
      </c>
      <c r="F1557" t="s">
        <v>3955</v>
      </c>
      <c r="G1557" s="1">
        <v>41229</v>
      </c>
      <c r="H1557" s="1">
        <v>44210</v>
      </c>
      <c r="I1557" t="s">
        <v>189</v>
      </c>
      <c r="L1557" t="s">
        <v>4467</v>
      </c>
    </row>
    <row r="1558" spans="1:40" x14ac:dyDescent="0.35">
      <c r="A1558">
        <v>6383186</v>
      </c>
      <c r="B1558" t="s">
        <v>4491</v>
      </c>
      <c r="C1558" t="str">
        <f>"9789814335041"</f>
        <v>9789814335041</v>
      </c>
      <c r="D1558" t="str">
        <f>"9789814335058"</f>
        <v>9789814335058</v>
      </c>
      <c r="E1558" t="s">
        <v>3954</v>
      </c>
      <c r="F1558" t="s">
        <v>3955</v>
      </c>
      <c r="G1558" s="1">
        <v>40511</v>
      </c>
      <c r="H1558" s="1">
        <v>44210</v>
      </c>
      <c r="I1558" t="s">
        <v>189</v>
      </c>
      <c r="L1558" t="s">
        <v>4467</v>
      </c>
    </row>
    <row r="1559" spans="1:40" x14ac:dyDescent="0.35">
      <c r="A1559">
        <v>6383187</v>
      </c>
      <c r="B1559" t="s">
        <v>4492</v>
      </c>
      <c r="C1559" t="str">
        <f>"9789814299473"</f>
        <v>9789814299473</v>
      </c>
      <c r="D1559" t="str">
        <f>"9789814295291"</f>
        <v>9789814295291</v>
      </c>
      <c r="E1559" t="s">
        <v>3954</v>
      </c>
      <c r="F1559" t="s">
        <v>3955</v>
      </c>
      <c r="G1559" s="1">
        <v>40109</v>
      </c>
      <c r="H1559" s="1">
        <v>44210</v>
      </c>
      <c r="I1559" t="s">
        <v>189</v>
      </c>
      <c r="L1559" t="s">
        <v>4467</v>
      </c>
    </row>
    <row r="1560" spans="1:40" x14ac:dyDescent="0.35">
      <c r="A1560">
        <v>6383188</v>
      </c>
      <c r="B1560" t="s">
        <v>4493</v>
      </c>
      <c r="C1560" t="str">
        <f>"9789814508711"</f>
        <v>9789814508711</v>
      </c>
      <c r="D1560" t="str">
        <f>"9789814508728"</f>
        <v>9789814508728</v>
      </c>
      <c r="E1560" t="s">
        <v>3954</v>
      </c>
      <c r="F1560" t="s">
        <v>3955</v>
      </c>
      <c r="G1560" s="1">
        <v>41428</v>
      </c>
      <c r="H1560" s="1">
        <v>44210</v>
      </c>
      <c r="I1560" t="s">
        <v>189</v>
      </c>
      <c r="L1560" t="s">
        <v>4494</v>
      </c>
    </row>
    <row r="1561" spans="1:40" x14ac:dyDescent="0.35">
      <c r="A1561">
        <v>6383189</v>
      </c>
      <c r="B1561" t="s">
        <v>4495</v>
      </c>
      <c r="C1561" t="str">
        <f>"9789814596343"</f>
        <v>9789814596343</v>
      </c>
      <c r="D1561" t="str">
        <f>"9789814583220"</f>
        <v>9789814583220</v>
      </c>
      <c r="E1561" t="s">
        <v>3954</v>
      </c>
      <c r="F1561" t="s">
        <v>3955</v>
      </c>
      <c r="G1561" s="1">
        <v>41597</v>
      </c>
      <c r="H1561" s="1">
        <v>44210</v>
      </c>
      <c r="I1561" t="s">
        <v>189</v>
      </c>
      <c r="L1561" t="s">
        <v>4467</v>
      </c>
    </row>
    <row r="1562" spans="1:40" x14ac:dyDescent="0.35">
      <c r="A1562">
        <v>6383190</v>
      </c>
      <c r="B1562" t="s">
        <v>4496</v>
      </c>
      <c r="C1562" t="str">
        <f>"9789814644143"</f>
        <v>9789814644143</v>
      </c>
      <c r="D1562" t="str">
        <f>"9789814644150"</f>
        <v>9789814644150</v>
      </c>
      <c r="E1562" t="s">
        <v>3954</v>
      </c>
      <c r="F1562" t="s">
        <v>3955</v>
      </c>
      <c r="G1562" s="1">
        <v>42198</v>
      </c>
      <c r="H1562" s="1">
        <v>44210</v>
      </c>
      <c r="I1562" t="s">
        <v>189</v>
      </c>
      <c r="K1562" t="s">
        <v>4462</v>
      </c>
      <c r="L1562" t="s">
        <v>4067</v>
      </c>
    </row>
    <row r="1563" spans="1:40" x14ac:dyDescent="0.35">
      <c r="A1563">
        <v>6383191</v>
      </c>
      <c r="B1563" t="s">
        <v>4497</v>
      </c>
      <c r="C1563" t="str">
        <f>"9789814644723"</f>
        <v>9789814644723</v>
      </c>
      <c r="D1563" t="str">
        <f>"9789814644730"</f>
        <v>9789814644730</v>
      </c>
      <c r="E1563" t="s">
        <v>3954</v>
      </c>
      <c r="F1563" t="s">
        <v>3955</v>
      </c>
      <c r="G1563" s="1">
        <v>41954</v>
      </c>
      <c r="H1563" s="1">
        <v>44210</v>
      </c>
      <c r="I1563" t="s">
        <v>189</v>
      </c>
      <c r="L1563" t="s">
        <v>4467</v>
      </c>
    </row>
    <row r="1564" spans="1:40" x14ac:dyDescent="0.35">
      <c r="A1564">
        <v>6383192</v>
      </c>
      <c r="B1564" t="s">
        <v>4498</v>
      </c>
      <c r="C1564" t="str">
        <f>"9789814675468"</f>
        <v>9789814675468</v>
      </c>
      <c r="D1564" t="str">
        <f>"9789814675475"</f>
        <v>9789814675475</v>
      </c>
      <c r="E1564" t="s">
        <v>3954</v>
      </c>
      <c r="F1564" t="s">
        <v>3955</v>
      </c>
      <c r="G1564" s="1">
        <v>42244</v>
      </c>
      <c r="H1564" s="1">
        <v>44210</v>
      </c>
      <c r="I1564" t="s">
        <v>189</v>
      </c>
      <c r="K1564" t="s">
        <v>4462</v>
      </c>
      <c r="L1564" t="s">
        <v>4499</v>
      </c>
    </row>
    <row r="1565" spans="1:40" x14ac:dyDescent="0.35">
      <c r="A1565">
        <v>6383193</v>
      </c>
      <c r="B1565" t="s">
        <v>4500</v>
      </c>
      <c r="C1565" t="str">
        <f>"9789814730907"</f>
        <v>9789814730907</v>
      </c>
      <c r="D1565" t="str">
        <f>"9789814730914"</f>
        <v>9789814730914</v>
      </c>
      <c r="E1565" t="s">
        <v>3954</v>
      </c>
      <c r="F1565" t="s">
        <v>3955</v>
      </c>
      <c r="G1565" s="1">
        <v>42716</v>
      </c>
      <c r="H1565" s="1">
        <v>44210</v>
      </c>
      <c r="I1565" t="s">
        <v>189</v>
      </c>
      <c r="L1565" t="s">
        <v>4501</v>
      </c>
    </row>
    <row r="1566" spans="1:40" x14ac:dyDescent="0.35">
      <c r="A1566">
        <v>6383194</v>
      </c>
      <c r="B1566" t="s">
        <v>4502</v>
      </c>
      <c r="C1566" t="str">
        <f>"9789814733502"</f>
        <v>9789814733502</v>
      </c>
      <c r="D1566" t="str">
        <f>"9789814733519"</f>
        <v>9789814733519</v>
      </c>
      <c r="E1566" t="s">
        <v>3954</v>
      </c>
      <c r="F1566" t="s">
        <v>3955</v>
      </c>
      <c r="G1566" s="1">
        <v>42607</v>
      </c>
      <c r="H1566" s="1">
        <v>44210</v>
      </c>
      <c r="I1566" t="s">
        <v>189</v>
      </c>
      <c r="K1566" t="s">
        <v>4462</v>
      </c>
      <c r="L1566" t="s">
        <v>4503</v>
      </c>
    </row>
    <row r="1567" spans="1:40" x14ac:dyDescent="0.35">
      <c r="A1567">
        <v>6383195</v>
      </c>
      <c r="B1567" t="s">
        <v>4504</v>
      </c>
      <c r="C1567" t="str">
        <f>"9789814749138"</f>
        <v>9789814749138</v>
      </c>
      <c r="D1567" t="str">
        <f>"9789814749145"</f>
        <v>9789814749145</v>
      </c>
      <c r="E1567" t="s">
        <v>3954</v>
      </c>
      <c r="F1567" t="s">
        <v>3955</v>
      </c>
      <c r="G1567" s="1">
        <v>42852</v>
      </c>
      <c r="H1567" s="1">
        <v>44210</v>
      </c>
      <c r="I1567" t="s">
        <v>189</v>
      </c>
      <c r="K1567" t="s">
        <v>4462</v>
      </c>
      <c r="L1567" t="s">
        <v>4505</v>
      </c>
    </row>
    <row r="1568" spans="1:40" x14ac:dyDescent="0.35">
      <c r="A1568">
        <v>6383534</v>
      </c>
      <c r="B1568" t="s">
        <v>4506</v>
      </c>
      <c r="C1568" t="str">
        <f>"9789811518300"</f>
        <v>9789811518300</v>
      </c>
      <c r="D1568" t="str">
        <f>"9789811518317"</f>
        <v>9789811518317</v>
      </c>
      <c r="E1568" t="s">
        <v>3404</v>
      </c>
      <c r="F1568" t="s">
        <v>2290</v>
      </c>
      <c r="G1568" s="1">
        <v>44138</v>
      </c>
      <c r="H1568" s="1">
        <v>44369</v>
      </c>
      <c r="I1568" t="s">
        <v>189</v>
      </c>
      <c r="K1568" t="s">
        <v>4507</v>
      </c>
      <c r="L1568" t="s">
        <v>4508</v>
      </c>
      <c r="M1568" t="s">
        <v>249</v>
      </c>
      <c r="N1568" t="s">
        <v>4509</v>
      </c>
      <c r="Q1568" t="s">
        <v>260</v>
      </c>
      <c r="R1568" t="s">
        <v>261</v>
      </c>
      <c r="S1568" t="s">
        <v>261</v>
      </c>
      <c r="T1568" t="s">
        <v>261</v>
      </c>
      <c r="U1568" t="s">
        <v>262</v>
      </c>
      <c r="V1568" t="s">
        <v>262</v>
      </c>
      <c r="W1568" t="s">
        <v>261</v>
      </c>
      <c r="X1568" t="s">
        <v>262</v>
      </c>
      <c r="Y1568" t="s">
        <v>261</v>
      </c>
      <c r="Z1568" t="s">
        <v>409</v>
      </c>
      <c r="AA1568" t="s">
        <v>409</v>
      </c>
      <c r="AB1568" t="s">
        <v>409</v>
      </c>
      <c r="AC1568" t="s">
        <v>409</v>
      </c>
      <c r="AD1568" t="s">
        <v>261</v>
      </c>
      <c r="AH1568" t="s">
        <v>262</v>
      </c>
      <c r="AI1568" t="s">
        <v>262</v>
      </c>
      <c r="AJ1568" t="s">
        <v>261</v>
      </c>
      <c r="AK1568" t="s">
        <v>261</v>
      </c>
      <c r="AM1568" t="s">
        <v>262</v>
      </c>
      <c r="AN1568" t="s">
        <v>4510</v>
      </c>
    </row>
    <row r="1569" spans="1:40" x14ac:dyDescent="0.35">
      <c r="A1569">
        <v>6383536</v>
      </c>
      <c r="B1569" t="s">
        <v>4511</v>
      </c>
      <c r="C1569" t="str">
        <f>"9783030466350"</f>
        <v>9783030466350</v>
      </c>
      <c r="D1569" t="str">
        <f>"9783030466367"</f>
        <v>9783030466367</v>
      </c>
      <c r="E1569" t="s">
        <v>2289</v>
      </c>
      <c r="F1569" t="s">
        <v>2663</v>
      </c>
      <c r="G1569" s="1">
        <v>44138</v>
      </c>
      <c r="H1569" s="1">
        <v>44279</v>
      </c>
      <c r="I1569" t="s">
        <v>189</v>
      </c>
      <c r="L1569" t="s">
        <v>4512</v>
      </c>
    </row>
    <row r="1570" spans="1:40" x14ac:dyDescent="0.35">
      <c r="A1570">
        <v>6383586</v>
      </c>
      <c r="B1570" t="s">
        <v>4513</v>
      </c>
      <c r="C1570" t="str">
        <f>"9781484255735"</f>
        <v>9781484255735</v>
      </c>
      <c r="D1570" t="str">
        <f>"9781484255742"</f>
        <v>9781484255742</v>
      </c>
      <c r="E1570" t="s">
        <v>4514</v>
      </c>
      <c r="F1570" t="s">
        <v>4514</v>
      </c>
      <c r="G1570" s="1">
        <v>44138</v>
      </c>
      <c r="H1570" s="1">
        <v>44279</v>
      </c>
      <c r="I1570" t="s">
        <v>189</v>
      </c>
      <c r="L1570" t="s">
        <v>4515</v>
      </c>
    </row>
    <row r="1571" spans="1:40" x14ac:dyDescent="0.35">
      <c r="A1571">
        <v>6383590</v>
      </c>
      <c r="B1571" t="s">
        <v>4516</v>
      </c>
      <c r="C1571" t="str">
        <f>"9781478010258"</f>
        <v>9781478010258</v>
      </c>
      <c r="D1571" t="str">
        <f>"9781478012832"</f>
        <v>9781478012832</v>
      </c>
      <c r="E1571" t="s">
        <v>687</v>
      </c>
      <c r="F1571" t="s">
        <v>687</v>
      </c>
      <c r="G1571" s="1">
        <v>44183</v>
      </c>
      <c r="H1571" s="1">
        <v>44139</v>
      </c>
      <c r="I1571" t="s">
        <v>189</v>
      </c>
      <c r="J1571">
        <v>1</v>
      </c>
      <c r="L1571" t="s">
        <v>4517</v>
      </c>
      <c r="M1571" t="s">
        <v>988</v>
      </c>
      <c r="N1571" t="s">
        <v>4518</v>
      </c>
      <c r="Q1571" t="s">
        <v>260</v>
      </c>
      <c r="R1571" t="s">
        <v>261</v>
      </c>
      <c r="S1571" t="s">
        <v>261</v>
      </c>
      <c r="T1571" t="s">
        <v>261</v>
      </c>
      <c r="U1571" t="s">
        <v>261</v>
      </c>
      <c r="V1571" t="s">
        <v>262</v>
      </c>
      <c r="W1571" t="s">
        <v>261</v>
      </c>
      <c r="X1571" t="s">
        <v>261</v>
      </c>
      <c r="Y1571" t="s">
        <v>261</v>
      </c>
      <c r="Z1571" t="s">
        <v>409</v>
      </c>
      <c r="AB1571" t="s">
        <v>409</v>
      </c>
      <c r="AC1571" t="s">
        <v>409</v>
      </c>
      <c r="AD1571" t="s">
        <v>262</v>
      </c>
      <c r="AH1571" t="s">
        <v>262</v>
      </c>
      <c r="AI1571" t="s">
        <v>262</v>
      </c>
      <c r="AJ1571" t="s">
        <v>261</v>
      </c>
      <c r="AK1571" t="s">
        <v>261</v>
      </c>
      <c r="AM1571" t="s">
        <v>262</v>
      </c>
      <c r="AN1571" t="s">
        <v>4519</v>
      </c>
    </row>
    <row r="1572" spans="1:40" x14ac:dyDescent="0.35">
      <c r="A1572">
        <v>6384516</v>
      </c>
      <c r="B1572" t="s">
        <v>4520</v>
      </c>
      <c r="C1572" t="str">
        <f>"9789811556319"</f>
        <v>9789811556319</v>
      </c>
      <c r="D1572" t="str">
        <f>"9789811556326"</f>
        <v>9789811556326</v>
      </c>
      <c r="E1572" t="s">
        <v>3404</v>
      </c>
      <c r="F1572" t="s">
        <v>2290</v>
      </c>
      <c r="G1572" s="1">
        <v>44139</v>
      </c>
      <c r="H1572" s="1">
        <v>44279</v>
      </c>
      <c r="I1572" t="s">
        <v>189</v>
      </c>
      <c r="L1572" t="s">
        <v>4521</v>
      </c>
    </row>
    <row r="1573" spans="1:40" x14ac:dyDescent="0.35">
      <c r="A1573">
        <v>6384525</v>
      </c>
      <c r="B1573" t="s">
        <v>4522</v>
      </c>
      <c r="C1573" t="str">
        <f>"9783319967516"</f>
        <v>9783319967516</v>
      </c>
      <c r="D1573" t="str">
        <f>"9783319967523"</f>
        <v>9783319967523</v>
      </c>
      <c r="E1573" t="s">
        <v>2289</v>
      </c>
      <c r="F1573" t="s">
        <v>2290</v>
      </c>
      <c r="G1573" s="1">
        <v>43391</v>
      </c>
      <c r="H1573" s="1">
        <v>44543</v>
      </c>
      <c r="I1573" t="s">
        <v>189</v>
      </c>
      <c r="K1573" t="s">
        <v>4523</v>
      </c>
      <c r="L1573" t="s">
        <v>4524</v>
      </c>
      <c r="M1573" t="s">
        <v>329</v>
      </c>
      <c r="N1573" t="s">
        <v>4525</v>
      </c>
      <c r="Q1573" t="s">
        <v>260</v>
      </c>
      <c r="R1573" t="s">
        <v>261</v>
      </c>
      <c r="S1573" t="s">
        <v>261</v>
      </c>
      <c r="T1573" t="s">
        <v>261</v>
      </c>
      <c r="U1573" t="s">
        <v>262</v>
      </c>
      <c r="V1573" t="s">
        <v>262</v>
      </c>
      <c r="W1573" t="s">
        <v>261</v>
      </c>
      <c r="X1573" t="s">
        <v>261</v>
      </c>
      <c r="Y1573" t="s">
        <v>261</v>
      </c>
      <c r="Z1573" t="s">
        <v>409</v>
      </c>
      <c r="AA1573" t="s">
        <v>409</v>
      </c>
      <c r="AB1573" t="s">
        <v>409</v>
      </c>
      <c r="AC1573" t="s">
        <v>409</v>
      </c>
      <c r="AD1573" t="s">
        <v>261</v>
      </c>
      <c r="AH1573" t="s">
        <v>262</v>
      </c>
      <c r="AI1573" t="s">
        <v>262</v>
      </c>
      <c r="AJ1573" t="s">
        <v>261</v>
      </c>
      <c r="AK1573" t="s">
        <v>261</v>
      </c>
      <c r="AM1573" t="s">
        <v>262</v>
      </c>
      <c r="AN1573" t="s">
        <v>4526</v>
      </c>
    </row>
    <row r="1574" spans="1:40" x14ac:dyDescent="0.35">
      <c r="A1574">
        <v>6384526</v>
      </c>
      <c r="B1574" t="s">
        <v>4527</v>
      </c>
      <c r="C1574" t="str">
        <f>"9783030575618"</f>
        <v>9783030575618</v>
      </c>
      <c r="D1574" t="str">
        <f>"9783030575625"</f>
        <v>9783030575625</v>
      </c>
      <c r="E1574" t="s">
        <v>2289</v>
      </c>
      <c r="F1574" t="s">
        <v>2663</v>
      </c>
      <c r="G1574" s="1">
        <v>44139</v>
      </c>
      <c r="H1574" s="1">
        <v>44279</v>
      </c>
      <c r="I1574" t="s">
        <v>189</v>
      </c>
      <c r="L1574" t="s">
        <v>4528</v>
      </c>
    </row>
    <row r="1575" spans="1:40" x14ac:dyDescent="0.35">
      <c r="A1575">
        <v>6384926</v>
      </c>
      <c r="B1575" t="s">
        <v>4529</v>
      </c>
      <c r="C1575" t="str">
        <f>"9783030570385"</f>
        <v>9783030570385</v>
      </c>
      <c r="D1575" t="str">
        <f>"9783030570392"</f>
        <v>9783030570392</v>
      </c>
      <c r="E1575" t="s">
        <v>2289</v>
      </c>
      <c r="F1575" t="s">
        <v>2290</v>
      </c>
      <c r="G1575" s="1">
        <v>44140</v>
      </c>
      <c r="H1575" s="1">
        <v>44279</v>
      </c>
      <c r="I1575" t="s">
        <v>189</v>
      </c>
      <c r="L1575" t="s">
        <v>4530</v>
      </c>
      <c r="M1575" t="s">
        <v>323</v>
      </c>
      <c r="N1575" t="s">
        <v>4531</v>
      </c>
      <c r="Q1575" t="s">
        <v>260</v>
      </c>
      <c r="R1575" t="s">
        <v>261</v>
      </c>
      <c r="S1575" t="s">
        <v>261</v>
      </c>
      <c r="T1575" t="s">
        <v>261</v>
      </c>
      <c r="U1575" t="s">
        <v>262</v>
      </c>
      <c r="V1575" t="s">
        <v>262</v>
      </c>
      <c r="W1575" t="s">
        <v>261</v>
      </c>
      <c r="X1575" t="s">
        <v>262</v>
      </c>
      <c r="Y1575" t="s">
        <v>261</v>
      </c>
      <c r="Z1575" t="s">
        <v>409</v>
      </c>
      <c r="AA1575" t="s">
        <v>409</v>
      </c>
      <c r="AB1575" t="s">
        <v>409</v>
      </c>
      <c r="AC1575" t="s">
        <v>409</v>
      </c>
      <c r="AD1575" t="s">
        <v>261</v>
      </c>
      <c r="AH1575" t="s">
        <v>262</v>
      </c>
      <c r="AI1575" t="s">
        <v>262</v>
      </c>
      <c r="AJ1575" t="s">
        <v>261</v>
      </c>
      <c r="AK1575" t="s">
        <v>261</v>
      </c>
      <c r="AM1575" t="s">
        <v>262</v>
      </c>
      <c r="AN1575" t="s">
        <v>4532</v>
      </c>
    </row>
    <row r="1576" spans="1:40" x14ac:dyDescent="0.35">
      <c r="A1576">
        <v>6385894</v>
      </c>
      <c r="B1576" t="s">
        <v>4533</v>
      </c>
      <c r="C1576" t="str">
        <f>"9789027201034"</f>
        <v>9789027201034</v>
      </c>
      <c r="D1576" t="str">
        <f>"9789027263834"</f>
        <v>9789027263834</v>
      </c>
      <c r="E1576" t="s">
        <v>1372</v>
      </c>
      <c r="F1576" t="s">
        <v>1372</v>
      </c>
      <c r="G1576" s="1">
        <v>43349</v>
      </c>
      <c r="H1576" s="1">
        <v>44196</v>
      </c>
      <c r="I1576" t="s">
        <v>189</v>
      </c>
      <c r="J1576">
        <v>1</v>
      </c>
      <c r="K1576" t="s">
        <v>4534</v>
      </c>
      <c r="L1576" t="s">
        <v>4535</v>
      </c>
    </row>
    <row r="1577" spans="1:40" x14ac:dyDescent="0.35">
      <c r="A1577">
        <v>6385895</v>
      </c>
      <c r="B1577" t="s">
        <v>4536</v>
      </c>
      <c r="C1577" t="str">
        <f>"9789027201003"</f>
        <v>9789027201003</v>
      </c>
      <c r="D1577" t="str">
        <f>"9789027263865"</f>
        <v>9789027263865</v>
      </c>
      <c r="E1577" t="s">
        <v>1372</v>
      </c>
      <c r="F1577" t="s">
        <v>1372</v>
      </c>
      <c r="G1577" s="1">
        <v>43298</v>
      </c>
      <c r="H1577" s="1">
        <v>44196</v>
      </c>
      <c r="I1577" t="s">
        <v>189</v>
      </c>
      <c r="J1577">
        <v>1</v>
      </c>
      <c r="K1577" t="s">
        <v>4537</v>
      </c>
      <c r="L1577" t="s">
        <v>4538</v>
      </c>
    </row>
    <row r="1578" spans="1:40" x14ac:dyDescent="0.35">
      <c r="A1578">
        <v>6385897</v>
      </c>
      <c r="B1578" t="s">
        <v>4539</v>
      </c>
      <c r="C1578" t="str">
        <f>"9789027203212"</f>
        <v>9789027203212</v>
      </c>
      <c r="D1578" t="str">
        <f>"9789027262493"</f>
        <v>9789027262493</v>
      </c>
      <c r="E1578" t="s">
        <v>1372</v>
      </c>
      <c r="F1578" t="s">
        <v>1372</v>
      </c>
      <c r="G1578" s="1">
        <v>43627</v>
      </c>
      <c r="H1578" s="1">
        <v>44196</v>
      </c>
      <c r="I1578" t="s">
        <v>189</v>
      </c>
      <c r="J1578">
        <v>1</v>
      </c>
      <c r="L1578" t="s">
        <v>4540</v>
      </c>
    </row>
    <row r="1579" spans="1:40" x14ac:dyDescent="0.35">
      <c r="A1579">
        <v>6385912</v>
      </c>
      <c r="B1579" t="s">
        <v>4541</v>
      </c>
      <c r="C1579" t="str">
        <f>"9789027204905"</f>
        <v>9789027204905</v>
      </c>
      <c r="D1579" t="str">
        <f>"9789027261601"</f>
        <v>9789027261601</v>
      </c>
      <c r="E1579" t="s">
        <v>1372</v>
      </c>
      <c r="F1579" t="s">
        <v>1372</v>
      </c>
      <c r="G1579" s="1">
        <v>43929</v>
      </c>
      <c r="H1579" s="1">
        <v>44196</v>
      </c>
      <c r="I1579" t="s">
        <v>189</v>
      </c>
      <c r="J1579">
        <v>1</v>
      </c>
      <c r="K1579" t="s">
        <v>4542</v>
      </c>
      <c r="L1579" t="s">
        <v>4543</v>
      </c>
    </row>
    <row r="1580" spans="1:40" x14ac:dyDescent="0.35">
      <c r="A1580">
        <v>6385914</v>
      </c>
      <c r="B1580" t="s">
        <v>4544</v>
      </c>
      <c r="C1580" t="str">
        <f>"9789027202406"</f>
        <v>9789027202406</v>
      </c>
      <c r="D1580" t="str">
        <f>"9789027262769"</f>
        <v>9789027262769</v>
      </c>
      <c r="E1580" t="s">
        <v>1372</v>
      </c>
      <c r="F1580" t="s">
        <v>1372</v>
      </c>
      <c r="G1580" s="1">
        <v>43517</v>
      </c>
      <c r="H1580" s="1">
        <v>44196</v>
      </c>
      <c r="I1580" t="s">
        <v>189</v>
      </c>
      <c r="J1580">
        <v>1</v>
      </c>
      <c r="K1580" t="s">
        <v>4534</v>
      </c>
      <c r="L1580" t="s">
        <v>4545</v>
      </c>
      <c r="M1580" t="s">
        <v>676</v>
      </c>
      <c r="N1580" t="s">
        <v>4546</v>
      </c>
      <c r="Q1580" t="s">
        <v>260</v>
      </c>
      <c r="R1580" t="s">
        <v>261</v>
      </c>
      <c r="S1580" t="s">
        <v>261</v>
      </c>
      <c r="T1580" t="s">
        <v>261</v>
      </c>
      <c r="U1580" t="s">
        <v>261</v>
      </c>
      <c r="V1580" t="s">
        <v>262</v>
      </c>
      <c r="W1580" t="s">
        <v>261</v>
      </c>
      <c r="X1580" t="s">
        <v>261</v>
      </c>
      <c r="Y1580" t="s">
        <v>261</v>
      </c>
      <c r="Z1580" t="s">
        <v>409</v>
      </c>
      <c r="AA1580" t="s">
        <v>409</v>
      </c>
      <c r="AB1580" t="s">
        <v>409</v>
      </c>
      <c r="AC1580" t="s">
        <v>409</v>
      </c>
      <c r="AD1580" t="s">
        <v>261</v>
      </c>
      <c r="AH1580" t="s">
        <v>262</v>
      </c>
      <c r="AI1580" t="s">
        <v>262</v>
      </c>
      <c r="AJ1580" t="s">
        <v>261</v>
      </c>
      <c r="AK1580" t="s">
        <v>261</v>
      </c>
      <c r="AM1580" t="s">
        <v>262</v>
      </c>
      <c r="AN1580" t="s">
        <v>4547</v>
      </c>
    </row>
    <row r="1581" spans="1:40" x14ac:dyDescent="0.35">
      <c r="A1581">
        <v>6385916</v>
      </c>
      <c r="B1581" t="s">
        <v>4548</v>
      </c>
      <c r="C1581" t="str">
        <f>"9789027263124"</f>
        <v>9789027263124</v>
      </c>
      <c r="D1581" t="str">
        <f>"9789027263131"</f>
        <v>9789027263131</v>
      </c>
      <c r="E1581" t="s">
        <v>1372</v>
      </c>
      <c r="F1581" t="s">
        <v>1372</v>
      </c>
      <c r="G1581" s="1">
        <v>43378</v>
      </c>
      <c r="H1581" s="1">
        <v>44196</v>
      </c>
      <c r="I1581" t="s">
        <v>189</v>
      </c>
      <c r="J1581">
        <v>1</v>
      </c>
      <c r="K1581" t="s">
        <v>4549</v>
      </c>
      <c r="L1581" t="s">
        <v>4550</v>
      </c>
      <c r="M1581" t="s">
        <v>676</v>
      </c>
      <c r="N1581" t="s">
        <v>4551</v>
      </c>
      <c r="O1581" s="2">
        <v>430045</v>
      </c>
      <c r="Q1581" t="s">
        <v>260</v>
      </c>
      <c r="R1581" t="s">
        <v>261</v>
      </c>
      <c r="S1581" t="s">
        <v>261</v>
      </c>
      <c r="T1581" t="s">
        <v>261</v>
      </c>
      <c r="U1581" t="s">
        <v>262</v>
      </c>
      <c r="V1581" t="s">
        <v>262</v>
      </c>
      <c r="W1581" t="s">
        <v>261</v>
      </c>
      <c r="X1581" t="s">
        <v>262</v>
      </c>
      <c r="Y1581" t="s">
        <v>261</v>
      </c>
      <c r="Z1581" t="s">
        <v>409</v>
      </c>
      <c r="AA1581" t="s">
        <v>409</v>
      </c>
      <c r="AB1581" t="s">
        <v>409</v>
      </c>
      <c r="AC1581" t="s">
        <v>409</v>
      </c>
      <c r="AD1581" t="s">
        <v>261</v>
      </c>
      <c r="AH1581" t="s">
        <v>262</v>
      </c>
      <c r="AI1581" t="s">
        <v>262</v>
      </c>
      <c r="AJ1581" t="s">
        <v>261</v>
      </c>
      <c r="AK1581" t="s">
        <v>261</v>
      </c>
      <c r="AM1581" t="s">
        <v>262</v>
      </c>
      <c r="AN1581" t="s">
        <v>4552</v>
      </c>
    </row>
    <row r="1582" spans="1:40" x14ac:dyDescent="0.35">
      <c r="A1582">
        <v>6385918</v>
      </c>
      <c r="B1582" t="s">
        <v>4553</v>
      </c>
      <c r="C1582" t="str">
        <f>"9789027203496"</f>
        <v>9789027203496</v>
      </c>
      <c r="D1582" t="str">
        <f>"9789027262240"</f>
        <v>9789027262240</v>
      </c>
      <c r="E1582" t="s">
        <v>1372</v>
      </c>
      <c r="F1582" t="s">
        <v>1372</v>
      </c>
      <c r="G1582" s="1">
        <v>43690</v>
      </c>
      <c r="H1582" s="1">
        <v>44196</v>
      </c>
      <c r="I1582" t="s">
        <v>189</v>
      </c>
      <c r="J1582">
        <v>1</v>
      </c>
      <c r="K1582" t="s">
        <v>4554</v>
      </c>
      <c r="L1582" t="s">
        <v>4555</v>
      </c>
    </row>
    <row r="1583" spans="1:40" x14ac:dyDescent="0.35">
      <c r="A1583">
        <v>6386034</v>
      </c>
      <c r="B1583" t="s">
        <v>4556</v>
      </c>
      <c r="C1583" t="str">
        <f>"9783658320645"</f>
        <v>9783658320645</v>
      </c>
      <c r="D1583" t="str">
        <f>"9783658320652"</f>
        <v>9783658320652</v>
      </c>
      <c r="E1583" t="s">
        <v>3972</v>
      </c>
      <c r="F1583" t="s">
        <v>3998</v>
      </c>
      <c r="G1583" s="1">
        <v>44141</v>
      </c>
      <c r="H1583" s="1">
        <v>44567</v>
      </c>
      <c r="I1583" t="s">
        <v>189</v>
      </c>
      <c r="K1583" t="s">
        <v>4557</v>
      </c>
      <c r="L1583" t="s">
        <v>4558</v>
      </c>
      <c r="M1583" t="s">
        <v>323</v>
      </c>
      <c r="N1583" t="s">
        <v>4559</v>
      </c>
      <c r="Q1583" t="s">
        <v>408</v>
      </c>
      <c r="R1583" t="s">
        <v>261</v>
      </c>
      <c r="S1583" t="s">
        <v>261</v>
      </c>
      <c r="T1583" t="s">
        <v>261</v>
      </c>
      <c r="U1583" t="s">
        <v>262</v>
      </c>
      <c r="V1583" t="s">
        <v>262</v>
      </c>
      <c r="W1583" t="s">
        <v>261</v>
      </c>
      <c r="X1583" t="s">
        <v>261</v>
      </c>
      <c r="Y1583" t="s">
        <v>261</v>
      </c>
      <c r="Z1583" t="s">
        <v>409</v>
      </c>
      <c r="AA1583" t="s">
        <v>409</v>
      </c>
      <c r="AB1583" t="s">
        <v>409</v>
      </c>
      <c r="AC1583" t="s">
        <v>409</v>
      </c>
      <c r="AD1583" t="s">
        <v>261</v>
      </c>
      <c r="AH1583" t="s">
        <v>262</v>
      </c>
      <c r="AI1583" t="s">
        <v>262</v>
      </c>
      <c r="AJ1583" t="s">
        <v>261</v>
      </c>
      <c r="AK1583" t="s">
        <v>261</v>
      </c>
      <c r="AM1583" t="s">
        <v>262</v>
      </c>
      <c r="AN1583" t="s">
        <v>4560</v>
      </c>
    </row>
    <row r="1584" spans="1:40" x14ac:dyDescent="0.35">
      <c r="A1584">
        <v>6386050</v>
      </c>
      <c r="B1584" t="s">
        <v>4561</v>
      </c>
      <c r="C1584" t="str">
        <f>"9783030469504"</f>
        <v>9783030469504</v>
      </c>
      <c r="D1584" t="str">
        <f>"9783030469511"</f>
        <v>9783030469511</v>
      </c>
      <c r="E1584" t="s">
        <v>2289</v>
      </c>
      <c r="F1584" t="s">
        <v>2663</v>
      </c>
      <c r="G1584" s="1">
        <v>44141</v>
      </c>
      <c r="H1584" s="1">
        <v>44279</v>
      </c>
      <c r="I1584" t="s">
        <v>189</v>
      </c>
      <c r="L1584" t="s">
        <v>4562</v>
      </c>
    </row>
    <row r="1585" spans="1:40" x14ac:dyDescent="0.35">
      <c r="A1585">
        <v>6386056</v>
      </c>
      <c r="B1585" t="s">
        <v>4563</v>
      </c>
      <c r="C1585" t="str">
        <f>"9783662623763"</f>
        <v>9783662623763</v>
      </c>
      <c r="D1585" t="str">
        <f>"9783662623770"</f>
        <v>9783662623770</v>
      </c>
      <c r="E1585" t="s">
        <v>4047</v>
      </c>
      <c r="F1585" t="s">
        <v>4084</v>
      </c>
      <c r="G1585" s="1">
        <v>44131</v>
      </c>
      <c r="H1585" s="1">
        <v>44567</v>
      </c>
      <c r="I1585" t="s">
        <v>189</v>
      </c>
      <c r="L1585" t="s">
        <v>4564</v>
      </c>
      <c r="M1585" t="s">
        <v>3481</v>
      </c>
    </row>
    <row r="1586" spans="1:40" x14ac:dyDescent="0.35">
      <c r="A1586">
        <v>6386233</v>
      </c>
      <c r="B1586" t="s">
        <v>4565</v>
      </c>
      <c r="C1586" t="str">
        <f>""</f>
        <v/>
      </c>
      <c r="D1586" t="str">
        <f>"9789179297862"</f>
        <v>9789179297862</v>
      </c>
      <c r="E1586" t="s">
        <v>3642</v>
      </c>
      <c r="F1586" t="s">
        <v>3642</v>
      </c>
      <c r="G1586" s="1">
        <v>44138</v>
      </c>
      <c r="H1586" s="1">
        <v>44144</v>
      </c>
      <c r="I1586" t="s">
        <v>189</v>
      </c>
      <c r="J1586">
        <v>1</v>
      </c>
      <c r="L1586" t="s">
        <v>4566</v>
      </c>
      <c r="Q1586" t="s">
        <v>260</v>
      </c>
      <c r="R1586" t="s">
        <v>261</v>
      </c>
      <c r="S1586" t="s">
        <v>261</v>
      </c>
      <c r="T1586" t="s">
        <v>261</v>
      </c>
      <c r="U1586" t="s">
        <v>261</v>
      </c>
      <c r="V1586" t="s">
        <v>262</v>
      </c>
      <c r="W1586" t="s">
        <v>261</v>
      </c>
      <c r="X1586" t="s">
        <v>261</v>
      </c>
      <c r="Y1586" t="s">
        <v>261</v>
      </c>
      <c r="AD1586" t="s">
        <v>261</v>
      </c>
      <c r="AH1586" t="s">
        <v>262</v>
      </c>
      <c r="AI1586" t="s">
        <v>261</v>
      </c>
      <c r="AJ1586" t="s">
        <v>261</v>
      </c>
      <c r="AK1586" t="s">
        <v>261</v>
      </c>
      <c r="AM1586" t="s">
        <v>262</v>
      </c>
      <c r="AN1586" t="s">
        <v>4567</v>
      </c>
    </row>
    <row r="1587" spans="1:40" x14ac:dyDescent="0.35">
      <c r="A1587">
        <v>6386234</v>
      </c>
      <c r="B1587" t="s">
        <v>4568</v>
      </c>
      <c r="C1587" t="str">
        <f>""</f>
        <v/>
      </c>
      <c r="D1587" t="str">
        <f>"9789179297770"</f>
        <v>9789179297770</v>
      </c>
      <c r="E1587" t="s">
        <v>3642</v>
      </c>
      <c r="F1587" t="s">
        <v>3642</v>
      </c>
      <c r="G1587" s="1">
        <v>44123</v>
      </c>
      <c r="H1587" s="1">
        <v>44151</v>
      </c>
      <c r="I1587" t="s">
        <v>189</v>
      </c>
      <c r="J1587">
        <v>1</v>
      </c>
      <c r="L1587" t="s">
        <v>4569</v>
      </c>
      <c r="Q1587" t="s">
        <v>260</v>
      </c>
      <c r="R1587" t="s">
        <v>261</v>
      </c>
      <c r="S1587" t="s">
        <v>261</v>
      </c>
      <c r="T1587" t="s">
        <v>261</v>
      </c>
      <c r="U1587" t="s">
        <v>261</v>
      </c>
      <c r="V1587" t="s">
        <v>262</v>
      </c>
      <c r="W1587" t="s">
        <v>261</v>
      </c>
      <c r="X1587" t="s">
        <v>261</v>
      </c>
      <c r="Y1587" t="s">
        <v>261</v>
      </c>
      <c r="AD1587" t="s">
        <v>261</v>
      </c>
      <c r="AH1587" t="s">
        <v>262</v>
      </c>
      <c r="AI1587" t="s">
        <v>261</v>
      </c>
      <c r="AJ1587" t="s">
        <v>261</v>
      </c>
      <c r="AK1587" t="s">
        <v>261</v>
      </c>
      <c r="AM1587" t="s">
        <v>262</v>
      </c>
      <c r="AN1587" t="s">
        <v>4570</v>
      </c>
    </row>
    <row r="1588" spans="1:40" x14ac:dyDescent="0.35">
      <c r="A1588">
        <v>6386235</v>
      </c>
      <c r="B1588" t="s">
        <v>4571</v>
      </c>
      <c r="C1588" t="str">
        <f>""</f>
        <v/>
      </c>
      <c r="D1588" t="str">
        <f>"9789179297596"</f>
        <v>9789179297596</v>
      </c>
      <c r="E1588" t="s">
        <v>3642</v>
      </c>
      <c r="F1588" t="s">
        <v>3642</v>
      </c>
      <c r="G1588" s="1">
        <v>44126</v>
      </c>
      <c r="H1588" s="1">
        <v>44144</v>
      </c>
      <c r="I1588" t="s">
        <v>189</v>
      </c>
      <c r="J1588">
        <v>1</v>
      </c>
      <c r="L1588" t="s">
        <v>4572</v>
      </c>
      <c r="Q1588" t="s">
        <v>260</v>
      </c>
      <c r="R1588" t="s">
        <v>261</v>
      </c>
      <c r="S1588" t="s">
        <v>261</v>
      </c>
      <c r="T1588" t="s">
        <v>261</v>
      </c>
      <c r="U1588" t="s">
        <v>261</v>
      </c>
      <c r="V1588" t="s">
        <v>262</v>
      </c>
      <c r="W1588" t="s">
        <v>261</v>
      </c>
      <c r="X1588" t="s">
        <v>261</v>
      </c>
      <c r="Y1588" t="s">
        <v>261</v>
      </c>
      <c r="AD1588" t="s">
        <v>261</v>
      </c>
      <c r="AH1588" t="s">
        <v>262</v>
      </c>
      <c r="AI1588" t="s">
        <v>261</v>
      </c>
      <c r="AJ1588" t="s">
        <v>261</v>
      </c>
      <c r="AK1588" t="s">
        <v>261</v>
      </c>
      <c r="AM1588" t="s">
        <v>262</v>
      </c>
      <c r="AN1588" t="s">
        <v>4573</v>
      </c>
    </row>
    <row r="1589" spans="1:40" x14ac:dyDescent="0.35">
      <c r="A1589">
        <v>6386236</v>
      </c>
      <c r="B1589" t="s">
        <v>4574</v>
      </c>
      <c r="C1589" t="str">
        <f>""</f>
        <v/>
      </c>
      <c r="D1589" t="str">
        <f>"9789179297831"</f>
        <v>9789179297831</v>
      </c>
      <c r="E1589" t="s">
        <v>3642</v>
      </c>
      <c r="F1589" t="s">
        <v>3642</v>
      </c>
      <c r="G1589" s="1">
        <v>44138</v>
      </c>
      <c r="H1589" s="1">
        <v>44144</v>
      </c>
      <c r="I1589" t="s">
        <v>189</v>
      </c>
      <c r="J1589">
        <v>1</v>
      </c>
      <c r="L1589" t="s">
        <v>4575</v>
      </c>
      <c r="Q1589" t="s">
        <v>260</v>
      </c>
      <c r="R1589" t="s">
        <v>261</v>
      </c>
      <c r="S1589" t="s">
        <v>261</v>
      </c>
      <c r="T1589" t="s">
        <v>261</v>
      </c>
      <c r="U1589" t="s">
        <v>261</v>
      </c>
      <c r="V1589" t="s">
        <v>262</v>
      </c>
      <c r="W1589" t="s">
        <v>261</v>
      </c>
      <c r="X1589" t="s">
        <v>261</v>
      </c>
      <c r="Y1589" t="s">
        <v>261</v>
      </c>
      <c r="AD1589" t="s">
        <v>261</v>
      </c>
      <c r="AH1589" t="s">
        <v>262</v>
      </c>
      <c r="AI1589" t="s">
        <v>261</v>
      </c>
      <c r="AJ1589" t="s">
        <v>261</v>
      </c>
      <c r="AK1589" t="s">
        <v>261</v>
      </c>
      <c r="AM1589" t="s">
        <v>262</v>
      </c>
      <c r="AN1589" t="s">
        <v>4576</v>
      </c>
    </row>
    <row r="1590" spans="1:40" x14ac:dyDescent="0.35">
      <c r="A1590">
        <v>6386237</v>
      </c>
      <c r="B1590" t="s">
        <v>4577</v>
      </c>
      <c r="C1590" t="str">
        <f>""</f>
        <v/>
      </c>
      <c r="D1590" t="str">
        <f>"9789179297589"</f>
        <v>9789179297589</v>
      </c>
      <c r="E1590" t="s">
        <v>3642</v>
      </c>
      <c r="F1590" t="s">
        <v>3642</v>
      </c>
      <c r="G1590" s="1">
        <v>44113</v>
      </c>
      <c r="H1590" s="1">
        <v>44144</v>
      </c>
      <c r="I1590" t="s">
        <v>189</v>
      </c>
      <c r="L1590" t="s">
        <v>4578</v>
      </c>
      <c r="Q1590" t="s">
        <v>260</v>
      </c>
      <c r="R1590" t="s">
        <v>261</v>
      </c>
      <c r="S1590" t="s">
        <v>261</v>
      </c>
      <c r="T1590" t="s">
        <v>261</v>
      </c>
      <c r="U1590" t="s">
        <v>261</v>
      </c>
      <c r="V1590" t="s">
        <v>262</v>
      </c>
      <c r="W1590" t="s">
        <v>261</v>
      </c>
      <c r="X1590" t="s">
        <v>261</v>
      </c>
      <c r="Y1590" t="s">
        <v>261</v>
      </c>
      <c r="AD1590" t="s">
        <v>261</v>
      </c>
      <c r="AH1590" t="s">
        <v>262</v>
      </c>
      <c r="AI1590" t="s">
        <v>261</v>
      </c>
      <c r="AJ1590" t="s">
        <v>261</v>
      </c>
      <c r="AK1590" t="s">
        <v>261</v>
      </c>
      <c r="AM1590" t="s">
        <v>262</v>
      </c>
      <c r="AN1590" t="s">
        <v>4579</v>
      </c>
    </row>
    <row r="1591" spans="1:40" x14ac:dyDescent="0.35">
      <c r="A1591">
        <v>6386238</v>
      </c>
      <c r="B1591" t="s">
        <v>4580</v>
      </c>
      <c r="C1591" t="str">
        <f>""</f>
        <v/>
      </c>
      <c r="D1591" t="str">
        <f>"9789179297497"</f>
        <v>9789179297497</v>
      </c>
      <c r="E1591" t="s">
        <v>3642</v>
      </c>
      <c r="F1591" t="s">
        <v>3642</v>
      </c>
      <c r="G1591" s="1">
        <v>44139</v>
      </c>
      <c r="H1591" s="1">
        <v>44151</v>
      </c>
      <c r="I1591" t="s">
        <v>189</v>
      </c>
      <c r="J1591">
        <v>1</v>
      </c>
      <c r="L1591" t="s">
        <v>4581</v>
      </c>
      <c r="Q1591" t="s">
        <v>260</v>
      </c>
      <c r="R1591" t="s">
        <v>261</v>
      </c>
      <c r="S1591" t="s">
        <v>261</v>
      </c>
      <c r="T1591" t="s">
        <v>261</v>
      </c>
      <c r="U1591" t="s">
        <v>261</v>
      </c>
      <c r="V1591" t="s">
        <v>262</v>
      </c>
      <c r="W1591" t="s">
        <v>261</v>
      </c>
      <c r="X1591" t="s">
        <v>261</v>
      </c>
      <c r="Y1591" t="s">
        <v>261</v>
      </c>
      <c r="AD1591" t="s">
        <v>261</v>
      </c>
      <c r="AH1591" t="s">
        <v>262</v>
      </c>
      <c r="AI1591" t="s">
        <v>261</v>
      </c>
      <c r="AJ1591" t="s">
        <v>261</v>
      </c>
      <c r="AK1591" t="s">
        <v>261</v>
      </c>
      <c r="AM1591" t="s">
        <v>262</v>
      </c>
      <c r="AN1591" t="s">
        <v>4582</v>
      </c>
    </row>
    <row r="1592" spans="1:40" x14ac:dyDescent="0.35">
      <c r="A1592">
        <v>6387545</v>
      </c>
      <c r="B1592" t="s">
        <v>4583</v>
      </c>
      <c r="C1592" t="str">
        <f>"9783030496586"</f>
        <v>9783030496586</v>
      </c>
      <c r="D1592" t="str">
        <f>"9783030496593"</f>
        <v>9783030496593</v>
      </c>
      <c r="E1592" t="s">
        <v>2289</v>
      </c>
      <c r="F1592" t="s">
        <v>2663</v>
      </c>
      <c r="G1592" s="1">
        <v>44145</v>
      </c>
      <c r="H1592" s="1">
        <v>44279</v>
      </c>
      <c r="I1592" t="s">
        <v>189</v>
      </c>
      <c r="K1592" t="s">
        <v>4584</v>
      </c>
      <c r="L1592" t="s">
        <v>4585</v>
      </c>
    </row>
    <row r="1593" spans="1:40" x14ac:dyDescent="0.35">
      <c r="A1593">
        <v>6388690</v>
      </c>
      <c r="B1593" t="s">
        <v>4586</v>
      </c>
      <c r="C1593" t="str">
        <f>"9783030563158"</f>
        <v>9783030563158</v>
      </c>
      <c r="D1593" t="str">
        <f>"9783030563165"</f>
        <v>9783030563165</v>
      </c>
      <c r="E1593" t="s">
        <v>2289</v>
      </c>
      <c r="F1593" t="s">
        <v>2290</v>
      </c>
      <c r="G1593" s="1">
        <v>44146</v>
      </c>
      <c r="H1593" s="1">
        <v>44369</v>
      </c>
      <c r="I1593" t="s">
        <v>189</v>
      </c>
      <c r="L1593" t="s">
        <v>4252</v>
      </c>
    </row>
    <row r="1594" spans="1:40" x14ac:dyDescent="0.35">
      <c r="A1594">
        <v>6395760</v>
      </c>
      <c r="B1594" t="s">
        <v>4587</v>
      </c>
      <c r="C1594" t="str">
        <f>"9783030512361"</f>
        <v>9783030512361</v>
      </c>
      <c r="D1594" t="str">
        <f>"9783030512378"</f>
        <v>9783030512378</v>
      </c>
      <c r="E1594" t="s">
        <v>2289</v>
      </c>
      <c r="F1594" t="s">
        <v>2290</v>
      </c>
      <c r="G1594" s="1">
        <v>44148</v>
      </c>
      <c r="H1594" s="1">
        <v>44369</v>
      </c>
      <c r="I1594" t="s">
        <v>189</v>
      </c>
      <c r="K1594" t="s">
        <v>1208</v>
      </c>
      <c r="L1594" t="s">
        <v>4245</v>
      </c>
    </row>
    <row r="1595" spans="1:40" x14ac:dyDescent="0.35">
      <c r="A1595">
        <v>6395763</v>
      </c>
      <c r="B1595" t="s">
        <v>4588</v>
      </c>
      <c r="C1595" t="str">
        <f>"9783030517007"</f>
        <v>9783030517007</v>
      </c>
      <c r="D1595" t="str">
        <f>"9783030517014"</f>
        <v>9783030517014</v>
      </c>
      <c r="E1595" t="s">
        <v>2289</v>
      </c>
      <c r="F1595" t="s">
        <v>2663</v>
      </c>
      <c r="G1595" s="1">
        <v>44148</v>
      </c>
      <c r="H1595" s="1">
        <v>44279</v>
      </c>
      <c r="I1595" t="s">
        <v>189</v>
      </c>
      <c r="L1595" t="s">
        <v>4589</v>
      </c>
    </row>
    <row r="1596" spans="1:40" x14ac:dyDescent="0.35">
      <c r="A1596">
        <v>6396089</v>
      </c>
      <c r="B1596" t="s">
        <v>4590</v>
      </c>
      <c r="C1596" t="str">
        <f>"9783658320478"</f>
        <v>9783658320478</v>
      </c>
      <c r="D1596" t="str">
        <f>"9783658320485"</f>
        <v>9783658320485</v>
      </c>
      <c r="E1596" t="s">
        <v>3972</v>
      </c>
      <c r="F1596" t="s">
        <v>3998</v>
      </c>
      <c r="G1596" s="1">
        <v>44149</v>
      </c>
      <c r="H1596" s="1">
        <v>44567</v>
      </c>
      <c r="I1596" t="s">
        <v>189</v>
      </c>
      <c r="L1596" t="s">
        <v>4591</v>
      </c>
    </row>
    <row r="1597" spans="1:40" x14ac:dyDescent="0.35">
      <c r="A1597">
        <v>6396098</v>
      </c>
      <c r="B1597" t="s">
        <v>4592</v>
      </c>
      <c r="C1597" t="str">
        <f>"9783030539139"</f>
        <v>9783030539139</v>
      </c>
      <c r="D1597" t="str">
        <f>"9783030539146"</f>
        <v>9783030539146</v>
      </c>
      <c r="E1597" t="s">
        <v>2289</v>
      </c>
      <c r="F1597" t="s">
        <v>2290</v>
      </c>
      <c r="G1597" s="1">
        <v>44149</v>
      </c>
      <c r="H1597" s="1">
        <v>44279</v>
      </c>
      <c r="I1597" t="s">
        <v>189</v>
      </c>
      <c r="K1597" t="s">
        <v>4593</v>
      </c>
      <c r="L1597" t="s">
        <v>4594</v>
      </c>
    </row>
    <row r="1598" spans="1:40" x14ac:dyDescent="0.35">
      <c r="A1598">
        <v>6396099</v>
      </c>
      <c r="B1598" t="s">
        <v>4595</v>
      </c>
      <c r="C1598" t="str">
        <f>"9783030484415"</f>
        <v>9783030484415</v>
      </c>
      <c r="D1598" t="str">
        <f>"9783030484422"</f>
        <v>9783030484422</v>
      </c>
      <c r="E1598" t="s">
        <v>2289</v>
      </c>
      <c r="F1598" t="s">
        <v>2290</v>
      </c>
      <c r="G1598" s="1">
        <v>44149</v>
      </c>
      <c r="H1598" s="1">
        <v>44279</v>
      </c>
      <c r="I1598" t="s">
        <v>189</v>
      </c>
      <c r="L1598" t="s">
        <v>4596</v>
      </c>
    </row>
    <row r="1599" spans="1:40" x14ac:dyDescent="0.35">
      <c r="A1599">
        <v>6396102</v>
      </c>
      <c r="B1599" t="s">
        <v>4597</v>
      </c>
      <c r="C1599" t="str">
        <f>"9783658309190"</f>
        <v>9783658309190</v>
      </c>
      <c r="D1599" t="str">
        <f>"9783658309206"</f>
        <v>9783658309206</v>
      </c>
      <c r="E1599" t="s">
        <v>3972</v>
      </c>
      <c r="F1599" t="s">
        <v>3998</v>
      </c>
      <c r="G1599" s="1">
        <v>44149</v>
      </c>
      <c r="H1599" s="1">
        <v>44567</v>
      </c>
      <c r="I1599" t="s">
        <v>189</v>
      </c>
      <c r="K1599" t="s">
        <v>4598</v>
      </c>
      <c r="L1599" t="s">
        <v>4599</v>
      </c>
    </row>
    <row r="1600" spans="1:40" x14ac:dyDescent="0.35">
      <c r="A1600">
        <v>6396307</v>
      </c>
      <c r="B1600" t="s">
        <v>4600</v>
      </c>
      <c r="C1600" t="str">
        <f>""</f>
        <v/>
      </c>
      <c r="D1600" t="str">
        <f>"9789179297534"</f>
        <v>9789179297534</v>
      </c>
      <c r="E1600" t="s">
        <v>3642</v>
      </c>
      <c r="F1600" t="s">
        <v>3642</v>
      </c>
      <c r="G1600" s="1">
        <v>44146</v>
      </c>
      <c r="H1600" s="1">
        <v>44186</v>
      </c>
      <c r="I1600" t="s">
        <v>189</v>
      </c>
      <c r="J1600">
        <v>1</v>
      </c>
      <c r="L1600" t="s">
        <v>4601</v>
      </c>
      <c r="Q1600" t="s">
        <v>260</v>
      </c>
      <c r="R1600" t="s">
        <v>261</v>
      </c>
      <c r="S1600" t="s">
        <v>261</v>
      </c>
      <c r="T1600" t="s">
        <v>261</v>
      </c>
      <c r="U1600" t="s">
        <v>261</v>
      </c>
      <c r="V1600" t="s">
        <v>262</v>
      </c>
      <c r="W1600" t="s">
        <v>261</v>
      </c>
      <c r="X1600" t="s">
        <v>261</v>
      </c>
      <c r="Y1600" t="s">
        <v>261</v>
      </c>
      <c r="AD1600" t="s">
        <v>261</v>
      </c>
      <c r="AH1600" t="s">
        <v>262</v>
      </c>
      <c r="AI1600" t="s">
        <v>261</v>
      </c>
      <c r="AJ1600" t="s">
        <v>261</v>
      </c>
      <c r="AK1600" t="s">
        <v>261</v>
      </c>
      <c r="AM1600" t="s">
        <v>262</v>
      </c>
      <c r="AN1600" t="s">
        <v>4602</v>
      </c>
    </row>
    <row r="1601" spans="1:40" x14ac:dyDescent="0.35">
      <c r="A1601">
        <v>6396308</v>
      </c>
      <c r="B1601" t="s">
        <v>4603</v>
      </c>
    </row>
    <row r="1602" spans="1:40" x14ac:dyDescent="0.35">
      <c r="A1602">
        <v>6396309</v>
      </c>
      <c r="B1602" t="s">
        <v>4604</v>
      </c>
      <c r="C1602" t="str">
        <f>""</f>
        <v/>
      </c>
      <c r="D1602" t="str">
        <f>"9789179298098"</f>
        <v>9789179298098</v>
      </c>
      <c r="E1602" t="s">
        <v>3642</v>
      </c>
      <c r="F1602" t="s">
        <v>3642</v>
      </c>
      <c r="G1602" s="1">
        <v>44146</v>
      </c>
      <c r="H1602" s="1">
        <v>44158</v>
      </c>
      <c r="I1602" t="s">
        <v>189</v>
      </c>
      <c r="J1602">
        <v>1</v>
      </c>
      <c r="L1602" t="s">
        <v>4605</v>
      </c>
      <c r="Q1602" t="s">
        <v>260</v>
      </c>
      <c r="R1602" t="s">
        <v>261</v>
      </c>
      <c r="S1602" t="s">
        <v>261</v>
      </c>
      <c r="T1602" t="s">
        <v>261</v>
      </c>
      <c r="U1602" t="s">
        <v>261</v>
      </c>
      <c r="V1602" t="s">
        <v>262</v>
      </c>
      <c r="W1602" t="s">
        <v>261</v>
      </c>
      <c r="X1602" t="s">
        <v>261</v>
      </c>
      <c r="Y1602" t="s">
        <v>261</v>
      </c>
      <c r="AD1602" t="s">
        <v>261</v>
      </c>
      <c r="AH1602" t="s">
        <v>262</v>
      </c>
      <c r="AI1602" t="s">
        <v>261</v>
      </c>
      <c r="AJ1602" t="s">
        <v>261</v>
      </c>
      <c r="AK1602" t="s">
        <v>261</v>
      </c>
      <c r="AM1602" t="s">
        <v>262</v>
      </c>
      <c r="AN1602" t="s">
        <v>4606</v>
      </c>
    </row>
    <row r="1603" spans="1:40" x14ac:dyDescent="0.35">
      <c r="A1603">
        <v>6396950</v>
      </c>
      <c r="B1603" t="s">
        <v>4607</v>
      </c>
      <c r="C1603" t="str">
        <f>""</f>
        <v/>
      </c>
      <c r="D1603" t="str">
        <f>"9783111430157"</f>
        <v>9783111430157</v>
      </c>
      <c r="E1603" t="s">
        <v>415</v>
      </c>
      <c r="F1603" t="s">
        <v>415</v>
      </c>
      <c r="G1603" t="s">
        <v>4608</v>
      </c>
      <c r="H1603" s="1">
        <v>44210</v>
      </c>
      <c r="I1603" t="s">
        <v>189</v>
      </c>
      <c r="J1603">
        <v>1</v>
      </c>
      <c r="L1603" t="s">
        <v>4609</v>
      </c>
      <c r="M1603" t="s">
        <v>219</v>
      </c>
      <c r="Q1603" t="s">
        <v>408</v>
      </c>
      <c r="R1603" t="s">
        <v>262</v>
      </c>
      <c r="S1603" t="s">
        <v>261</v>
      </c>
      <c r="T1603" t="s">
        <v>261</v>
      </c>
      <c r="U1603" t="s">
        <v>261</v>
      </c>
      <c r="V1603" t="s">
        <v>262</v>
      </c>
      <c r="W1603" t="s">
        <v>261</v>
      </c>
      <c r="X1603" t="s">
        <v>261</v>
      </c>
      <c r="Y1603" t="s">
        <v>262</v>
      </c>
      <c r="AC1603" t="s">
        <v>4610</v>
      </c>
      <c r="AD1603" t="s">
        <v>261</v>
      </c>
      <c r="AH1603" t="s">
        <v>262</v>
      </c>
      <c r="AI1603" t="s">
        <v>262</v>
      </c>
      <c r="AJ1603" t="s">
        <v>261</v>
      </c>
      <c r="AK1603" t="s">
        <v>261</v>
      </c>
      <c r="AM1603" t="s">
        <v>262</v>
      </c>
      <c r="AN1603" t="s">
        <v>4611</v>
      </c>
    </row>
    <row r="1604" spans="1:40" x14ac:dyDescent="0.35">
      <c r="A1604">
        <v>6402006</v>
      </c>
      <c r="B1604" t="s">
        <v>4612</v>
      </c>
      <c r="C1604" t="str">
        <f>""</f>
        <v/>
      </c>
      <c r="D1604" t="str">
        <f>"9789048551460"</f>
        <v>9789048551460</v>
      </c>
      <c r="E1604" t="s">
        <v>361</v>
      </c>
      <c r="F1604" t="s">
        <v>361</v>
      </c>
      <c r="G1604" s="1">
        <v>44105</v>
      </c>
      <c r="H1604" s="1">
        <v>44305</v>
      </c>
      <c r="I1604" t="s">
        <v>189</v>
      </c>
      <c r="J1604">
        <v>1</v>
      </c>
      <c r="K1604" t="s">
        <v>2167</v>
      </c>
      <c r="L1604" t="s">
        <v>4613</v>
      </c>
      <c r="M1604" t="s">
        <v>210</v>
      </c>
    </row>
    <row r="1605" spans="1:40" x14ac:dyDescent="0.35">
      <c r="A1605">
        <v>6402066</v>
      </c>
      <c r="B1605" t="s">
        <v>4614</v>
      </c>
      <c r="C1605" t="str">
        <f>"9781789247954"</f>
        <v>9781789247954</v>
      </c>
      <c r="D1605" t="str">
        <f>"9781789247978"</f>
        <v>9781789247978</v>
      </c>
      <c r="E1605" t="s">
        <v>4355</v>
      </c>
      <c r="F1605" t="s">
        <v>4355</v>
      </c>
      <c r="G1605" s="1">
        <v>44153</v>
      </c>
      <c r="H1605" s="1">
        <v>44211</v>
      </c>
      <c r="I1605" t="s">
        <v>189</v>
      </c>
      <c r="L1605" t="s">
        <v>4615</v>
      </c>
    </row>
    <row r="1606" spans="1:40" x14ac:dyDescent="0.35">
      <c r="A1606">
        <v>6402741</v>
      </c>
      <c r="B1606" t="s">
        <v>4616</v>
      </c>
      <c r="C1606" t="str">
        <f>"9781783749829"</f>
        <v>9781783749829</v>
      </c>
      <c r="D1606" t="str">
        <f>"9781783749836"</f>
        <v>9781783749836</v>
      </c>
      <c r="E1606" t="s">
        <v>1807</v>
      </c>
      <c r="F1606" t="s">
        <v>1807</v>
      </c>
      <c r="G1606" s="1">
        <v>44134</v>
      </c>
      <c r="H1606" s="1">
        <v>44155</v>
      </c>
      <c r="I1606" t="s">
        <v>189</v>
      </c>
      <c r="J1606">
        <v>1</v>
      </c>
      <c r="K1606" t="s">
        <v>2114</v>
      </c>
      <c r="L1606" t="s">
        <v>44</v>
      </c>
    </row>
    <row r="1607" spans="1:40" x14ac:dyDescent="0.35">
      <c r="A1607">
        <v>6402742</v>
      </c>
      <c r="B1607" t="s">
        <v>4617</v>
      </c>
      <c r="C1607" t="str">
        <f>"9781800640542"</f>
        <v>9781800640542</v>
      </c>
      <c r="D1607" t="str">
        <f>"9781800640559"</f>
        <v>9781800640559</v>
      </c>
      <c r="E1607" t="s">
        <v>1807</v>
      </c>
      <c r="F1607" t="s">
        <v>1807</v>
      </c>
      <c r="G1607" s="1">
        <v>44141</v>
      </c>
      <c r="H1607" s="1">
        <v>44155</v>
      </c>
      <c r="I1607" t="s">
        <v>189</v>
      </c>
      <c r="J1607">
        <v>1</v>
      </c>
      <c r="L1607" t="s">
        <v>4618</v>
      </c>
      <c r="M1607" t="s">
        <v>199</v>
      </c>
      <c r="Q1607" t="s">
        <v>260</v>
      </c>
      <c r="R1607" t="s">
        <v>261</v>
      </c>
      <c r="S1607" t="s">
        <v>261</v>
      </c>
      <c r="T1607" t="s">
        <v>261</v>
      </c>
      <c r="U1607" t="s">
        <v>261</v>
      </c>
      <c r="V1607" t="s">
        <v>262</v>
      </c>
      <c r="W1607" t="s">
        <v>261</v>
      </c>
      <c r="X1607" t="s">
        <v>261</v>
      </c>
      <c r="Y1607" t="s">
        <v>261</v>
      </c>
      <c r="Z1607" t="s">
        <v>409</v>
      </c>
      <c r="AA1607" t="s">
        <v>409</v>
      </c>
      <c r="AB1607" t="s">
        <v>409</v>
      </c>
      <c r="AC1607" t="s">
        <v>409</v>
      </c>
      <c r="AD1607" t="s">
        <v>262</v>
      </c>
      <c r="AH1607" t="s">
        <v>262</v>
      </c>
      <c r="AI1607" t="s">
        <v>262</v>
      </c>
      <c r="AJ1607" t="s">
        <v>261</v>
      </c>
      <c r="AK1607" t="s">
        <v>261</v>
      </c>
      <c r="AM1607" t="s">
        <v>262</v>
      </c>
      <c r="AN1607" t="s">
        <v>4619</v>
      </c>
    </row>
    <row r="1608" spans="1:40" x14ac:dyDescent="0.35">
      <c r="A1608">
        <v>6402743</v>
      </c>
      <c r="B1608" t="s">
        <v>4620</v>
      </c>
      <c r="C1608" t="str">
        <f>"9781783748976"</f>
        <v>9781783748976</v>
      </c>
      <c r="D1608" t="str">
        <f>"9781783748983"</f>
        <v>9781783748983</v>
      </c>
      <c r="E1608" t="s">
        <v>1807</v>
      </c>
      <c r="F1608" t="s">
        <v>1807</v>
      </c>
      <c r="G1608" s="1">
        <v>44146</v>
      </c>
      <c r="H1608" s="1">
        <v>44155</v>
      </c>
      <c r="I1608" t="s">
        <v>189</v>
      </c>
      <c r="J1608">
        <v>1</v>
      </c>
      <c r="L1608" t="s">
        <v>36</v>
      </c>
      <c r="M1608" t="s">
        <v>219</v>
      </c>
    </row>
    <row r="1609" spans="1:40" x14ac:dyDescent="0.35">
      <c r="A1609">
        <v>6403567</v>
      </c>
      <c r="B1609" t="s">
        <v>4621</v>
      </c>
      <c r="C1609" t="str">
        <f>"9783030612986"</f>
        <v>9783030612986</v>
      </c>
      <c r="D1609" t="str">
        <f>"9783030612993"</f>
        <v>9783030612993</v>
      </c>
      <c r="E1609" t="s">
        <v>2289</v>
      </c>
      <c r="F1609" t="s">
        <v>2663</v>
      </c>
      <c r="G1609" s="1">
        <v>44155</v>
      </c>
      <c r="H1609" s="1">
        <v>44210</v>
      </c>
      <c r="I1609" t="s">
        <v>189</v>
      </c>
      <c r="K1609" t="s">
        <v>4622</v>
      </c>
      <c r="L1609" t="s">
        <v>95</v>
      </c>
      <c r="M1609" t="s">
        <v>535</v>
      </c>
    </row>
    <row r="1610" spans="1:40" x14ac:dyDescent="0.35">
      <c r="A1610">
        <v>6403583</v>
      </c>
      <c r="B1610" t="s">
        <v>4623</v>
      </c>
      <c r="C1610" t="str">
        <f>"9789811576829"</f>
        <v>9789811576829</v>
      </c>
      <c r="D1610" t="str">
        <f>"9789811576836"</f>
        <v>9789811576836</v>
      </c>
      <c r="E1610" t="s">
        <v>3404</v>
      </c>
      <c r="F1610" t="s">
        <v>2290</v>
      </c>
      <c r="G1610" s="1">
        <v>44155</v>
      </c>
      <c r="H1610" s="1">
        <v>44210</v>
      </c>
      <c r="I1610" t="s">
        <v>189</v>
      </c>
      <c r="L1610" t="s">
        <v>4624</v>
      </c>
      <c r="M1610" t="s">
        <v>582</v>
      </c>
      <c r="N1610" t="s">
        <v>4625</v>
      </c>
      <c r="Q1610" t="s">
        <v>260</v>
      </c>
      <c r="R1610" t="s">
        <v>261</v>
      </c>
      <c r="S1610" t="s">
        <v>261</v>
      </c>
      <c r="T1610" t="s">
        <v>261</v>
      </c>
      <c r="U1610" t="s">
        <v>262</v>
      </c>
      <c r="V1610" t="s">
        <v>262</v>
      </c>
      <c r="W1610" t="s">
        <v>261</v>
      </c>
      <c r="X1610" t="s">
        <v>262</v>
      </c>
      <c r="Y1610" t="s">
        <v>261</v>
      </c>
      <c r="Z1610" t="s">
        <v>409</v>
      </c>
      <c r="AA1610" t="s">
        <v>409</v>
      </c>
      <c r="AB1610" t="s">
        <v>409</v>
      </c>
      <c r="AC1610" t="s">
        <v>409</v>
      </c>
      <c r="AD1610" t="s">
        <v>261</v>
      </c>
      <c r="AH1610" t="s">
        <v>262</v>
      </c>
      <c r="AI1610" t="s">
        <v>262</v>
      </c>
      <c r="AJ1610" t="s">
        <v>261</v>
      </c>
      <c r="AK1610" t="s">
        <v>261</v>
      </c>
      <c r="AM1610" t="s">
        <v>262</v>
      </c>
      <c r="AN1610" t="s">
        <v>4626</v>
      </c>
    </row>
    <row r="1611" spans="1:40" x14ac:dyDescent="0.35">
      <c r="A1611">
        <v>6404589</v>
      </c>
      <c r="B1611" t="s">
        <v>4627</v>
      </c>
      <c r="C1611" t="str">
        <f>""</f>
        <v/>
      </c>
      <c r="D1611" t="str">
        <f>"9789179297909"</f>
        <v>9789179297909</v>
      </c>
      <c r="E1611" t="s">
        <v>3642</v>
      </c>
      <c r="F1611" t="s">
        <v>3642</v>
      </c>
      <c r="G1611" s="1">
        <v>44151</v>
      </c>
      <c r="H1611" s="1">
        <v>44158</v>
      </c>
      <c r="I1611" t="s">
        <v>189</v>
      </c>
      <c r="J1611">
        <v>1</v>
      </c>
      <c r="L1611" t="s">
        <v>4628</v>
      </c>
      <c r="Q1611" t="s">
        <v>260</v>
      </c>
      <c r="R1611" t="s">
        <v>261</v>
      </c>
      <c r="S1611" t="s">
        <v>261</v>
      </c>
      <c r="T1611" t="s">
        <v>261</v>
      </c>
      <c r="U1611" t="s">
        <v>261</v>
      </c>
      <c r="V1611" t="s">
        <v>262</v>
      </c>
      <c r="W1611" t="s">
        <v>261</v>
      </c>
      <c r="X1611" t="s">
        <v>261</v>
      </c>
      <c r="Y1611" t="s">
        <v>261</v>
      </c>
      <c r="AD1611" t="s">
        <v>261</v>
      </c>
      <c r="AH1611" t="s">
        <v>262</v>
      </c>
      <c r="AI1611" t="s">
        <v>261</v>
      </c>
      <c r="AJ1611" t="s">
        <v>261</v>
      </c>
      <c r="AK1611" t="s">
        <v>261</v>
      </c>
      <c r="AM1611" t="s">
        <v>262</v>
      </c>
      <c r="AN1611" t="s">
        <v>4629</v>
      </c>
    </row>
    <row r="1612" spans="1:40" x14ac:dyDescent="0.35">
      <c r="A1612">
        <v>6404590</v>
      </c>
      <c r="B1612" t="s">
        <v>4630</v>
      </c>
      <c r="C1612" t="str">
        <f>""</f>
        <v/>
      </c>
      <c r="D1612" t="str">
        <f>"9789179297688"</f>
        <v>9789179297688</v>
      </c>
      <c r="E1612" t="s">
        <v>3642</v>
      </c>
      <c r="F1612" t="s">
        <v>3642</v>
      </c>
      <c r="G1612" s="1">
        <v>44151</v>
      </c>
      <c r="H1612" s="1">
        <v>44158</v>
      </c>
      <c r="I1612" t="s">
        <v>189</v>
      </c>
      <c r="J1612">
        <v>1</v>
      </c>
      <c r="L1612" t="s">
        <v>4631</v>
      </c>
      <c r="Q1612" t="s">
        <v>260</v>
      </c>
      <c r="R1612" t="s">
        <v>261</v>
      </c>
      <c r="S1612" t="s">
        <v>261</v>
      </c>
      <c r="T1612" t="s">
        <v>261</v>
      </c>
      <c r="U1612" t="s">
        <v>261</v>
      </c>
      <c r="V1612" t="s">
        <v>262</v>
      </c>
      <c r="W1612" t="s">
        <v>261</v>
      </c>
      <c r="X1612" t="s">
        <v>261</v>
      </c>
      <c r="Y1612" t="s">
        <v>261</v>
      </c>
      <c r="AD1612" t="s">
        <v>261</v>
      </c>
      <c r="AH1612" t="s">
        <v>262</v>
      </c>
      <c r="AI1612" t="s">
        <v>261</v>
      </c>
      <c r="AJ1612" t="s">
        <v>261</v>
      </c>
      <c r="AK1612" t="s">
        <v>261</v>
      </c>
      <c r="AM1612" t="s">
        <v>262</v>
      </c>
      <c r="AN1612" t="s">
        <v>4632</v>
      </c>
    </row>
    <row r="1613" spans="1:40" x14ac:dyDescent="0.35">
      <c r="A1613">
        <v>6404591</v>
      </c>
      <c r="B1613" t="s">
        <v>4633</v>
      </c>
      <c r="C1613" t="str">
        <f>""</f>
        <v/>
      </c>
      <c r="D1613" t="str">
        <f>"9789179297824"</f>
        <v>9789179297824</v>
      </c>
      <c r="E1613" t="s">
        <v>3642</v>
      </c>
      <c r="F1613" t="s">
        <v>3642</v>
      </c>
      <c r="G1613" s="1">
        <v>44152</v>
      </c>
      <c r="H1613" s="1">
        <v>44158</v>
      </c>
      <c r="I1613" t="s">
        <v>189</v>
      </c>
      <c r="J1613">
        <v>1</v>
      </c>
      <c r="L1613" t="s">
        <v>4634</v>
      </c>
      <c r="Q1613" t="s">
        <v>260</v>
      </c>
      <c r="R1613" t="s">
        <v>261</v>
      </c>
      <c r="S1613" t="s">
        <v>261</v>
      </c>
      <c r="T1613" t="s">
        <v>261</v>
      </c>
      <c r="U1613" t="s">
        <v>261</v>
      </c>
      <c r="V1613" t="s">
        <v>262</v>
      </c>
      <c r="W1613" t="s">
        <v>261</v>
      </c>
      <c r="X1613" t="s">
        <v>261</v>
      </c>
      <c r="Y1613" t="s">
        <v>261</v>
      </c>
      <c r="AD1613" t="s">
        <v>261</v>
      </c>
      <c r="AH1613" t="s">
        <v>262</v>
      </c>
      <c r="AI1613" t="s">
        <v>261</v>
      </c>
      <c r="AJ1613" t="s">
        <v>261</v>
      </c>
      <c r="AK1613" t="s">
        <v>261</v>
      </c>
      <c r="AM1613" t="s">
        <v>262</v>
      </c>
      <c r="AN1613" t="s">
        <v>4635</v>
      </c>
    </row>
    <row r="1614" spans="1:40" x14ac:dyDescent="0.35">
      <c r="A1614">
        <v>6404592</v>
      </c>
      <c r="B1614" t="s">
        <v>4636</v>
      </c>
      <c r="C1614" t="str">
        <f>""</f>
        <v/>
      </c>
      <c r="D1614" t="str">
        <f>"9789179298050"</f>
        <v>9789179298050</v>
      </c>
      <c r="E1614" t="s">
        <v>3642</v>
      </c>
      <c r="F1614" t="s">
        <v>3642</v>
      </c>
      <c r="G1614" s="1">
        <v>44152</v>
      </c>
      <c r="H1614" s="1">
        <v>44158</v>
      </c>
      <c r="I1614" t="s">
        <v>189</v>
      </c>
      <c r="J1614">
        <v>1</v>
      </c>
      <c r="L1614" t="s">
        <v>4637</v>
      </c>
      <c r="Q1614" t="s">
        <v>260</v>
      </c>
      <c r="R1614" t="s">
        <v>261</v>
      </c>
      <c r="S1614" t="s">
        <v>261</v>
      </c>
      <c r="T1614" t="s">
        <v>261</v>
      </c>
      <c r="U1614" t="s">
        <v>261</v>
      </c>
      <c r="V1614" t="s">
        <v>262</v>
      </c>
      <c r="W1614" t="s">
        <v>261</v>
      </c>
      <c r="X1614" t="s">
        <v>261</v>
      </c>
      <c r="Y1614" t="s">
        <v>261</v>
      </c>
      <c r="AD1614" t="s">
        <v>261</v>
      </c>
      <c r="AH1614" t="s">
        <v>262</v>
      </c>
      <c r="AI1614" t="s">
        <v>261</v>
      </c>
      <c r="AJ1614" t="s">
        <v>261</v>
      </c>
      <c r="AK1614" t="s">
        <v>261</v>
      </c>
      <c r="AM1614" t="s">
        <v>262</v>
      </c>
      <c r="AN1614" t="s">
        <v>4638</v>
      </c>
    </row>
    <row r="1615" spans="1:40" x14ac:dyDescent="0.35">
      <c r="A1615">
        <v>6404593</v>
      </c>
      <c r="B1615" t="s">
        <v>4639</v>
      </c>
      <c r="C1615" t="str">
        <f>""</f>
        <v/>
      </c>
      <c r="D1615" t="str">
        <f>"9789179297503"</f>
        <v>9789179297503</v>
      </c>
      <c r="E1615" t="s">
        <v>3642</v>
      </c>
      <c r="F1615" t="s">
        <v>3642</v>
      </c>
      <c r="G1615" s="1">
        <v>44155</v>
      </c>
      <c r="H1615" s="1">
        <v>44228</v>
      </c>
      <c r="I1615" t="s">
        <v>189</v>
      </c>
      <c r="J1615">
        <v>1</v>
      </c>
      <c r="L1615" t="s">
        <v>4640</v>
      </c>
      <c r="Q1615" t="s">
        <v>260</v>
      </c>
      <c r="R1615" t="s">
        <v>261</v>
      </c>
      <c r="S1615" t="s">
        <v>261</v>
      </c>
      <c r="T1615" t="s">
        <v>261</v>
      </c>
      <c r="U1615" t="s">
        <v>261</v>
      </c>
      <c r="V1615" t="s">
        <v>262</v>
      </c>
      <c r="W1615" t="s">
        <v>261</v>
      </c>
      <c r="X1615" t="s">
        <v>261</v>
      </c>
      <c r="Y1615" t="s">
        <v>261</v>
      </c>
      <c r="AD1615" t="s">
        <v>261</v>
      </c>
      <c r="AH1615" t="s">
        <v>262</v>
      </c>
      <c r="AI1615" t="s">
        <v>261</v>
      </c>
      <c r="AJ1615" t="s">
        <v>261</v>
      </c>
      <c r="AK1615" t="s">
        <v>261</v>
      </c>
      <c r="AM1615" t="s">
        <v>262</v>
      </c>
      <c r="AN1615" t="s">
        <v>4641</v>
      </c>
    </row>
    <row r="1616" spans="1:40" x14ac:dyDescent="0.35">
      <c r="A1616">
        <v>6407544</v>
      </c>
      <c r="B1616" t="s">
        <v>4642</v>
      </c>
      <c r="C1616" t="str">
        <f>"9783030611835"</f>
        <v>9783030611835</v>
      </c>
      <c r="D1616" t="str">
        <f>"9783030611842"</f>
        <v>9783030611842</v>
      </c>
      <c r="E1616" t="s">
        <v>2289</v>
      </c>
      <c r="F1616" t="s">
        <v>4450</v>
      </c>
      <c r="G1616" s="1">
        <v>44159</v>
      </c>
      <c r="H1616" s="1">
        <v>44210</v>
      </c>
      <c r="I1616" t="s">
        <v>189</v>
      </c>
      <c r="L1616" t="s">
        <v>4643</v>
      </c>
    </row>
    <row r="1617" spans="1:40" x14ac:dyDescent="0.35">
      <c r="A1617">
        <v>6407566</v>
      </c>
      <c r="B1617" t="s">
        <v>4644</v>
      </c>
      <c r="C1617" t="str">
        <f>"9783030285609"</f>
        <v>9783030285609</v>
      </c>
      <c r="D1617" t="str">
        <f>"9783030285616"</f>
        <v>9783030285616</v>
      </c>
      <c r="E1617" t="s">
        <v>2289</v>
      </c>
      <c r="F1617" t="s">
        <v>2290</v>
      </c>
      <c r="G1617" s="1">
        <v>44159</v>
      </c>
      <c r="H1617" s="1">
        <v>44210</v>
      </c>
      <c r="I1617" t="s">
        <v>189</v>
      </c>
      <c r="L1617" t="s">
        <v>4645</v>
      </c>
    </row>
    <row r="1618" spans="1:40" x14ac:dyDescent="0.35">
      <c r="A1618">
        <v>6407583</v>
      </c>
      <c r="B1618" t="s">
        <v>4646</v>
      </c>
      <c r="C1618" t="str">
        <f>"9783030590307"</f>
        <v>9783030590307</v>
      </c>
      <c r="D1618" t="str">
        <f>"9783030590314"</f>
        <v>9783030590314</v>
      </c>
      <c r="E1618" t="s">
        <v>2289</v>
      </c>
      <c r="F1618" t="s">
        <v>2290</v>
      </c>
      <c r="G1618" s="1">
        <v>44159</v>
      </c>
      <c r="H1618" s="1">
        <v>44210</v>
      </c>
      <c r="I1618" t="s">
        <v>189</v>
      </c>
      <c r="L1618" t="s">
        <v>4647</v>
      </c>
      <c r="M1618" t="s">
        <v>323</v>
      </c>
      <c r="N1618" t="s">
        <v>4098</v>
      </c>
      <c r="Q1618" t="s">
        <v>260</v>
      </c>
      <c r="R1618" t="s">
        <v>261</v>
      </c>
      <c r="S1618" t="s">
        <v>261</v>
      </c>
      <c r="T1618" t="s">
        <v>261</v>
      </c>
      <c r="U1618" t="s">
        <v>262</v>
      </c>
      <c r="V1618" t="s">
        <v>262</v>
      </c>
      <c r="W1618" t="s">
        <v>261</v>
      </c>
      <c r="X1618" t="s">
        <v>262</v>
      </c>
      <c r="Y1618" t="s">
        <v>261</v>
      </c>
      <c r="Z1618" t="s">
        <v>409</v>
      </c>
      <c r="AA1618" t="s">
        <v>409</v>
      </c>
      <c r="AB1618" t="s">
        <v>409</v>
      </c>
      <c r="AC1618" t="s">
        <v>409</v>
      </c>
      <c r="AD1618" t="s">
        <v>261</v>
      </c>
      <c r="AH1618" t="s">
        <v>262</v>
      </c>
      <c r="AI1618" t="s">
        <v>262</v>
      </c>
      <c r="AJ1618" t="s">
        <v>261</v>
      </c>
      <c r="AK1618" t="s">
        <v>261</v>
      </c>
      <c r="AM1618" t="s">
        <v>262</v>
      </c>
      <c r="AN1618" t="s">
        <v>4648</v>
      </c>
    </row>
    <row r="1619" spans="1:40" x14ac:dyDescent="0.35">
      <c r="A1619">
        <v>6407613</v>
      </c>
      <c r="B1619" t="s">
        <v>4649</v>
      </c>
      <c r="C1619" t="str">
        <f>"9783030362829"</f>
        <v>9783030362829</v>
      </c>
      <c r="D1619" t="str">
        <f>"9783030362836"</f>
        <v>9783030362836</v>
      </c>
      <c r="E1619" t="s">
        <v>2289</v>
      </c>
      <c r="F1619" t="s">
        <v>2290</v>
      </c>
      <c r="G1619" s="1">
        <v>44159</v>
      </c>
      <c r="H1619" s="1">
        <v>44210</v>
      </c>
      <c r="I1619" t="s">
        <v>189</v>
      </c>
      <c r="L1619" t="s">
        <v>4650</v>
      </c>
    </row>
    <row r="1620" spans="1:40" x14ac:dyDescent="0.35">
      <c r="A1620">
        <v>6407626</v>
      </c>
      <c r="B1620" t="s">
        <v>4651</v>
      </c>
      <c r="C1620" t="str">
        <f>"9783662615836"</f>
        <v>9783662615836</v>
      </c>
      <c r="D1620" t="str">
        <f>"9783662615843"</f>
        <v>9783662615843</v>
      </c>
      <c r="E1620" t="s">
        <v>4047</v>
      </c>
      <c r="F1620" t="s">
        <v>4084</v>
      </c>
      <c r="G1620" s="1">
        <v>44159</v>
      </c>
      <c r="H1620" s="1">
        <v>44210</v>
      </c>
      <c r="I1620" t="s">
        <v>189</v>
      </c>
      <c r="K1620" t="s">
        <v>4652</v>
      </c>
      <c r="L1620" t="s">
        <v>4653</v>
      </c>
    </row>
    <row r="1621" spans="1:40" x14ac:dyDescent="0.35">
      <c r="A1621">
        <v>6407629</v>
      </c>
      <c r="B1621" t="s">
        <v>4654</v>
      </c>
      <c r="C1621" t="str">
        <f>"9783030626617"</f>
        <v>9783030626617</v>
      </c>
      <c r="D1621" t="str">
        <f>"9783030626624"</f>
        <v>9783030626624</v>
      </c>
      <c r="E1621" t="s">
        <v>2289</v>
      </c>
      <c r="F1621" t="s">
        <v>2663</v>
      </c>
      <c r="G1621" s="1">
        <v>44159</v>
      </c>
      <c r="H1621" s="1">
        <v>44210</v>
      </c>
      <c r="I1621" t="s">
        <v>189</v>
      </c>
      <c r="L1621" t="s">
        <v>4655</v>
      </c>
    </row>
    <row r="1622" spans="1:40" x14ac:dyDescent="0.35">
      <c r="A1622">
        <v>6407993</v>
      </c>
      <c r="B1622" t="s">
        <v>4656</v>
      </c>
      <c r="C1622" t="str">
        <f>"9783030601232"</f>
        <v>9783030601232</v>
      </c>
      <c r="D1622" t="str">
        <f>"9783030601249"</f>
        <v>9783030601249</v>
      </c>
      <c r="E1622" t="s">
        <v>2289</v>
      </c>
      <c r="F1622" t="s">
        <v>2290</v>
      </c>
      <c r="G1622" s="1">
        <v>44159</v>
      </c>
      <c r="H1622" s="1">
        <v>44210</v>
      </c>
      <c r="I1622" t="s">
        <v>189</v>
      </c>
      <c r="K1622" t="s">
        <v>4657</v>
      </c>
      <c r="L1622" t="s">
        <v>4658</v>
      </c>
    </row>
    <row r="1623" spans="1:40" x14ac:dyDescent="0.35">
      <c r="A1623">
        <v>6416822</v>
      </c>
      <c r="B1623" t="s">
        <v>4659</v>
      </c>
      <c r="C1623" t="str">
        <f>"9781789241853"</f>
        <v>9781789241853</v>
      </c>
      <c r="D1623" t="str">
        <f>"9781789245585"</f>
        <v>9781789245585</v>
      </c>
      <c r="E1623" t="s">
        <v>4355</v>
      </c>
      <c r="F1623" t="s">
        <v>4355</v>
      </c>
      <c r="G1623" s="1">
        <v>43855</v>
      </c>
      <c r="H1623" s="1">
        <v>44211</v>
      </c>
      <c r="I1623" t="s">
        <v>189</v>
      </c>
      <c r="L1623" t="s">
        <v>4660</v>
      </c>
    </row>
    <row r="1624" spans="1:40" x14ac:dyDescent="0.35">
      <c r="A1624">
        <v>6417073</v>
      </c>
      <c r="B1624" t="s">
        <v>4661</v>
      </c>
      <c r="C1624" t="str">
        <f>"9783030579371"</f>
        <v>9783030579371</v>
      </c>
      <c r="D1624" t="str">
        <f>"9783030579388"</f>
        <v>9783030579388</v>
      </c>
      <c r="E1624" t="s">
        <v>2289</v>
      </c>
      <c r="F1624" t="s">
        <v>2663</v>
      </c>
      <c r="G1624" s="1">
        <v>44166</v>
      </c>
      <c r="H1624" s="1">
        <v>44210</v>
      </c>
      <c r="I1624" t="s">
        <v>189</v>
      </c>
      <c r="L1624" t="s">
        <v>69</v>
      </c>
    </row>
    <row r="1625" spans="1:40" x14ac:dyDescent="0.35">
      <c r="A1625">
        <v>6417076</v>
      </c>
      <c r="B1625" t="s">
        <v>4662</v>
      </c>
      <c r="C1625" t="str">
        <f>"9789811574962"</f>
        <v>9789811574962</v>
      </c>
      <c r="D1625" t="str">
        <f>"9789811574979"</f>
        <v>9789811574979</v>
      </c>
      <c r="E1625" t="s">
        <v>2290</v>
      </c>
      <c r="F1625" t="s">
        <v>2290</v>
      </c>
      <c r="G1625" s="1">
        <v>44166</v>
      </c>
      <c r="H1625" s="1">
        <v>44210</v>
      </c>
      <c r="I1625" t="s">
        <v>189</v>
      </c>
      <c r="L1625" t="s">
        <v>4663</v>
      </c>
    </row>
    <row r="1626" spans="1:40" x14ac:dyDescent="0.35">
      <c r="A1626">
        <v>6417096</v>
      </c>
      <c r="B1626" t="s">
        <v>4664</v>
      </c>
      <c r="C1626" t="str">
        <f>"9783030615116"</f>
        <v>9783030615116</v>
      </c>
      <c r="D1626" t="str">
        <f>"9783030615123"</f>
        <v>9783030615123</v>
      </c>
      <c r="E1626" t="s">
        <v>2289</v>
      </c>
      <c r="F1626" t="s">
        <v>2663</v>
      </c>
      <c r="G1626" s="1">
        <v>44166</v>
      </c>
      <c r="H1626" s="1">
        <v>44210</v>
      </c>
      <c r="I1626" t="s">
        <v>189</v>
      </c>
      <c r="K1626" t="s">
        <v>4665</v>
      </c>
      <c r="L1626" t="s">
        <v>4666</v>
      </c>
      <c r="M1626" t="s">
        <v>316</v>
      </c>
      <c r="N1626" t="s">
        <v>4667</v>
      </c>
      <c r="O1626" s="2">
        <v>342494083</v>
      </c>
      <c r="Q1626" t="s">
        <v>260</v>
      </c>
      <c r="R1626" t="s">
        <v>261</v>
      </c>
      <c r="S1626" t="s">
        <v>261</v>
      </c>
      <c r="T1626" t="s">
        <v>261</v>
      </c>
      <c r="U1626" t="s">
        <v>262</v>
      </c>
      <c r="V1626" t="s">
        <v>262</v>
      </c>
      <c r="W1626" t="s">
        <v>261</v>
      </c>
      <c r="X1626" t="s">
        <v>261</v>
      </c>
      <c r="Y1626" t="s">
        <v>261</v>
      </c>
      <c r="Z1626" t="s">
        <v>409</v>
      </c>
      <c r="AA1626" t="s">
        <v>409</v>
      </c>
      <c r="AB1626" t="s">
        <v>409</v>
      </c>
      <c r="AC1626" t="s">
        <v>409</v>
      </c>
      <c r="AD1626" t="s">
        <v>261</v>
      </c>
      <c r="AH1626" t="s">
        <v>262</v>
      </c>
      <c r="AI1626" t="s">
        <v>262</v>
      </c>
      <c r="AJ1626" t="s">
        <v>261</v>
      </c>
      <c r="AK1626" t="s">
        <v>261</v>
      </c>
      <c r="AM1626" t="s">
        <v>262</v>
      </c>
      <c r="AN1626" t="s">
        <v>4668</v>
      </c>
    </row>
    <row r="1627" spans="1:40" x14ac:dyDescent="0.35">
      <c r="A1627">
        <v>6417097</v>
      </c>
      <c r="B1627" t="s">
        <v>4669</v>
      </c>
      <c r="C1627" t="str">
        <f>"9783662621943"</f>
        <v>9783662621943</v>
      </c>
      <c r="D1627" t="str">
        <f>"9783662621950"</f>
        <v>9783662621950</v>
      </c>
      <c r="E1627" t="s">
        <v>4047</v>
      </c>
      <c r="F1627" t="s">
        <v>4084</v>
      </c>
      <c r="G1627" s="1">
        <v>44166</v>
      </c>
      <c r="H1627" s="1">
        <v>44210</v>
      </c>
      <c r="I1627" t="s">
        <v>189</v>
      </c>
      <c r="L1627" t="s">
        <v>4670</v>
      </c>
      <c r="M1627" t="s">
        <v>3574</v>
      </c>
    </row>
    <row r="1628" spans="1:40" x14ac:dyDescent="0.35">
      <c r="A1628">
        <v>6417113</v>
      </c>
      <c r="B1628" t="s">
        <v>4671</v>
      </c>
      <c r="C1628" t="str">
        <f>"9783662615218"</f>
        <v>9783662615218</v>
      </c>
      <c r="D1628" t="str">
        <f>"9783662615225"</f>
        <v>9783662615225</v>
      </c>
      <c r="E1628" t="s">
        <v>4047</v>
      </c>
      <c r="F1628" t="s">
        <v>4048</v>
      </c>
      <c r="G1628" s="1">
        <v>44148</v>
      </c>
      <c r="H1628" s="1">
        <v>44210</v>
      </c>
      <c r="I1628" t="s">
        <v>189</v>
      </c>
      <c r="L1628" t="s">
        <v>4672</v>
      </c>
    </row>
    <row r="1629" spans="1:40" x14ac:dyDescent="0.35">
      <c r="A1629">
        <v>6417118</v>
      </c>
      <c r="B1629" t="s">
        <v>4673</v>
      </c>
      <c r="C1629" t="str">
        <f>"9783030626686"</f>
        <v>9783030626686</v>
      </c>
      <c r="D1629" t="str">
        <f>"9783030626693"</f>
        <v>9783030626693</v>
      </c>
      <c r="E1629" t="s">
        <v>2289</v>
      </c>
      <c r="F1629" t="s">
        <v>2290</v>
      </c>
      <c r="G1629" s="1">
        <v>44166</v>
      </c>
      <c r="H1629" s="1">
        <v>44210</v>
      </c>
      <c r="I1629" t="s">
        <v>189</v>
      </c>
      <c r="K1629" t="s">
        <v>4674</v>
      </c>
      <c r="L1629" t="s">
        <v>4675</v>
      </c>
    </row>
    <row r="1630" spans="1:40" x14ac:dyDescent="0.35">
      <c r="A1630">
        <v>6417126</v>
      </c>
      <c r="B1630" t="s">
        <v>4676</v>
      </c>
      <c r="C1630" t="str">
        <f>"9783658318208"</f>
        <v>9783658318208</v>
      </c>
      <c r="D1630" t="str">
        <f>"9783658318215"</f>
        <v>9783658318215</v>
      </c>
      <c r="E1630" t="s">
        <v>3972</v>
      </c>
      <c r="F1630" t="s">
        <v>3998</v>
      </c>
      <c r="G1630" s="1">
        <v>44197</v>
      </c>
      <c r="H1630" s="1">
        <v>44210</v>
      </c>
      <c r="I1630" t="s">
        <v>189</v>
      </c>
      <c r="K1630" t="s">
        <v>4677</v>
      </c>
      <c r="L1630" t="s">
        <v>4678</v>
      </c>
      <c r="M1630" t="s">
        <v>210</v>
      </c>
      <c r="N1630" t="s">
        <v>4679</v>
      </c>
      <c r="Q1630" t="s">
        <v>260</v>
      </c>
      <c r="R1630" t="s">
        <v>261</v>
      </c>
      <c r="S1630" t="s">
        <v>261</v>
      </c>
      <c r="T1630" t="s">
        <v>261</v>
      </c>
      <c r="U1630" t="s">
        <v>262</v>
      </c>
      <c r="V1630" t="s">
        <v>262</v>
      </c>
      <c r="W1630" t="s">
        <v>261</v>
      </c>
      <c r="X1630" t="s">
        <v>261</v>
      </c>
      <c r="Y1630" t="s">
        <v>261</v>
      </c>
      <c r="Z1630" t="s">
        <v>409</v>
      </c>
      <c r="AA1630" t="s">
        <v>409</v>
      </c>
      <c r="AB1630" t="s">
        <v>409</v>
      </c>
      <c r="AC1630" t="s">
        <v>409</v>
      </c>
      <c r="AD1630" t="s">
        <v>261</v>
      </c>
      <c r="AH1630" t="s">
        <v>262</v>
      </c>
      <c r="AI1630" t="s">
        <v>262</v>
      </c>
      <c r="AJ1630" t="s">
        <v>261</v>
      </c>
      <c r="AK1630" t="s">
        <v>261</v>
      </c>
      <c r="AM1630" t="s">
        <v>262</v>
      </c>
      <c r="AN1630" t="s">
        <v>4680</v>
      </c>
    </row>
    <row r="1631" spans="1:40" x14ac:dyDescent="0.35">
      <c r="A1631">
        <v>6417135</v>
      </c>
      <c r="B1631" t="s">
        <v>4681</v>
      </c>
      <c r="C1631" t="str">
        <f>"9783030555399"</f>
        <v>9783030555399</v>
      </c>
      <c r="D1631" t="str">
        <f>"9783030555405"</f>
        <v>9783030555405</v>
      </c>
      <c r="E1631" t="s">
        <v>2289</v>
      </c>
      <c r="F1631" t="s">
        <v>2663</v>
      </c>
      <c r="G1631" s="1">
        <v>44166</v>
      </c>
      <c r="H1631" s="1">
        <v>44210</v>
      </c>
      <c r="I1631" t="s">
        <v>189</v>
      </c>
      <c r="L1631" t="s">
        <v>4682</v>
      </c>
    </row>
    <row r="1632" spans="1:40" x14ac:dyDescent="0.35">
      <c r="A1632">
        <v>6419193</v>
      </c>
      <c r="B1632" t="s">
        <v>4683</v>
      </c>
      <c r="C1632" t="str">
        <f>"9781641893770"</f>
        <v>9781641893770</v>
      </c>
      <c r="D1632" t="str">
        <f>"9781641893787"</f>
        <v>9781641893787</v>
      </c>
      <c r="E1632" t="s">
        <v>3422</v>
      </c>
      <c r="F1632" t="s">
        <v>3422</v>
      </c>
      <c r="G1632" s="1">
        <v>43982</v>
      </c>
      <c r="H1632" s="1">
        <v>44168</v>
      </c>
      <c r="I1632" t="s">
        <v>189</v>
      </c>
      <c r="J1632">
        <v>1</v>
      </c>
      <c r="K1632" t="s">
        <v>4684</v>
      </c>
      <c r="L1632" t="s">
        <v>4685</v>
      </c>
      <c r="M1632" t="s">
        <v>676</v>
      </c>
    </row>
    <row r="1633" spans="1:40" x14ac:dyDescent="0.35">
      <c r="A1633">
        <v>6420681</v>
      </c>
      <c r="B1633" t="s">
        <v>4686</v>
      </c>
      <c r="C1633" t="str">
        <f>"9783030498245"</f>
        <v>9783030498245</v>
      </c>
      <c r="D1633" t="str">
        <f>"9783030498252"</f>
        <v>9783030498252</v>
      </c>
      <c r="E1633" t="s">
        <v>2289</v>
      </c>
      <c r="F1633" t="s">
        <v>2290</v>
      </c>
      <c r="G1633" s="1">
        <v>44169</v>
      </c>
      <c r="H1633" s="1">
        <v>44210</v>
      </c>
      <c r="I1633" t="s">
        <v>189</v>
      </c>
      <c r="K1633" t="s">
        <v>4687</v>
      </c>
      <c r="L1633" t="s">
        <v>4688</v>
      </c>
    </row>
    <row r="1634" spans="1:40" x14ac:dyDescent="0.35">
      <c r="A1634">
        <v>6420687</v>
      </c>
      <c r="B1634" t="s">
        <v>4689</v>
      </c>
      <c r="C1634" t="str">
        <f>"9783030586164"</f>
        <v>9783030586164</v>
      </c>
      <c r="D1634" t="str">
        <f>"9783030586171"</f>
        <v>9783030586171</v>
      </c>
      <c r="E1634" t="s">
        <v>2289</v>
      </c>
      <c r="F1634" t="s">
        <v>2290</v>
      </c>
      <c r="G1634" s="1">
        <v>44169</v>
      </c>
      <c r="H1634" s="1">
        <v>44210</v>
      </c>
      <c r="I1634" t="s">
        <v>189</v>
      </c>
      <c r="L1634" t="s">
        <v>4690</v>
      </c>
    </row>
    <row r="1635" spans="1:40" x14ac:dyDescent="0.35">
      <c r="A1635">
        <v>6420690</v>
      </c>
      <c r="B1635" t="s">
        <v>4691</v>
      </c>
      <c r="C1635" t="str">
        <f>"9789462654181"</f>
        <v>9789462654181</v>
      </c>
      <c r="D1635" t="str">
        <f>"9789462654198"</f>
        <v>9789462654198</v>
      </c>
      <c r="E1635" t="s">
        <v>4692</v>
      </c>
      <c r="F1635" t="s">
        <v>4692</v>
      </c>
      <c r="G1635" s="1">
        <v>44169</v>
      </c>
      <c r="H1635" s="1">
        <v>44210</v>
      </c>
      <c r="I1635" t="s">
        <v>189</v>
      </c>
      <c r="K1635" t="s">
        <v>4693</v>
      </c>
      <c r="L1635" t="s">
        <v>4694</v>
      </c>
    </row>
    <row r="1636" spans="1:40" x14ac:dyDescent="0.35">
      <c r="A1636">
        <v>6420694</v>
      </c>
      <c r="B1636" t="s">
        <v>4695</v>
      </c>
      <c r="C1636" t="str">
        <f>"9783030579265"</f>
        <v>9783030579265</v>
      </c>
      <c r="D1636" t="str">
        <f>"9783030579272"</f>
        <v>9783030579272</v>
      </c>
      <c r="E1636" t="s">
        <v>2289</v>
      </c>
      <c r="F1636" t="s">
        <v>2290</v>
      </c>
      <c r="G1636" s="1">
        <v>44169</v>
      </c>
      <c r="H1636" s="1">
        <v>44210</v>
      </c>
      <c r="I1636" t="s">
        <v>189</v>
      </c>
      <c r="K1636" t="s">
        <v>4696</v>
      </c>
      <c r="L1636" t="s">
        <v>4530</v>
      </c>
      <c r="M1636" t="s">
        <v>964</v>
      </c>
      <c r="N1636" t="s">
        <v>4697</v>
      </c>
      <c r="Q1636" t="s">
        <v>260</v>
      </c>
      <c r="R1636" t="s">
        <v>261</v>
      </c>
      <c r="S1636" t="s">
        <v>261</v>
      </c>
      <c r="T1636" t="s">
        <v>261</v>
      </c>
      <c r="U1636" t="s">
        <v>262</v>
      </c>
      <c r="V1636" t="s">
        <v>262</v>
      </c>
      <c r="W1636" t="s">
        <v>261</v>
      </c>
      <c r="X1636" t="s">
        <v>261</v>
      </c>
      <c r="Y1636" t="s">
        <v>261</v>
      </c>
      <c r="Z1636" t="s">
        <v>409</v>
      </c>
      <c r="AA1636" t="s">
        <v>409</v>
      </c>
      <c r="AB1636" t="s">
        <v>409</v>
      </c>
      <c r="AC1636" t="s">
        <v>409</v>
      </c>
      <c r="AD1636" t="s">
        <v>261</v>
      </c>
      <c r="AH1636" t="s">
        <v>262</v>
      </c>
      <c r="AI1636" t="s">
        <v>262</v>
      </c>
      <c r="AJ1636" t="s">
        <v>261</v>
      </c>
      <c r="AK1636" t="s">
        <v>261</v>
      </c>
      <c r="AM1636" t="s">
        <v>262</v>
      </c>
      <c r="AN1636" t="s">
        <v>4698</v>
      </c>
    </row>
    <row r="1637" spans="1:40" x14ac:dyDescent="0.35">
      <c r="A1637">
        <v>6420716</v>
      </c>
      <c r="B1637" t="s">
        <v>4699</v>
      </c>
      <c r="C1637" t="str">
        <f>"9789811597848"</f>
        <v>9789811597848</v>
      </c>
      <c r="D1637" t="str">
        <f>"9789811597855"</f>
        <v>9789811597855</v>
      </c>
      <c r="E1637" t="s">
        <v>3404</v>
      </c>
      <c r="F1637" t="s">
        <v>2290</v>
      </c>
      <c r="G1637" s="1">
        <v>44169</v>
      </c>
      <c r="H1637" s="1">
        <v>44210</v>
      </c>
      <c r="I1637" t="s">
        <v>189</v>
      </c>
      <c r="L1637" t="s">
        <v>4700</v>
      </c>
      <c r="M1637" t="s">
        <v>847</v>
      </c>
    </row>
    <row r="1638" spans="1:40" x14ac:dyDescent="0.35">
      <c r="A1638">
        <v>6421889</v>
      </c>
      <c r="B1638" t="s">
        <v>4701</v>
      </c>
      <c r="C1638" t="str">
        <f>"9783662621783"</f>
        <v>9783662621783</v>
      </c>
      <c r="D1638" t="str">
        <f>"9783662621790"</f>
        <v>9783662621790</v>
      </c>
      <c r="E1638" t="s">
        <v>4047</v>
      </c>
      <c r="F1638" t="s">
        <v>2290</v>
      </c>
      <c r="G1638" s="1">
        <v>44173</v>
      </c>
      <c r="H1638" s="1">
        <v>44210</v>
      </c>
      <c r="I1638" t="s">
        <v>189</v>
      </c>
      <c r="K1638" t="s">
        <v>4702</v>
      </c>
      <c r="L1638" t="s">
        <v>4703</v>
      </c>
    </row>
    <row r="1639" spans="1:40" x14ac:dyDescent="0.35">
      <c r="A1639">
        <v>6422500</v>
      </c>
      <c r="B1639" t="s">
        <v>4704</v>
      </c>
      <c r="C1639" t="str">
        <f>"9783319633053"</f>
        <v>9783319633053</v>
      </c>
      <c r="D1639" t="str">
        <f>"9783319633060"</f>
        <v>9783319633060</v>
      </c>
      <c r="E1639" t="s">
        <v>2289</v>
      </c>
      <c r="F1639" t="s">
        <v>2290</v>
      </c>
      <c r="G1639" s="1">
        <v>43234</v>
      </c>
      <c r="H1639" s="1">
        <v>44210</v>
      </c>
      <c r="I1639" t="s">
        <v>189</v>
      </c>
      <c r="K1639" t="s">
        <v>1208</v>
      </c>
      <c r="L1639" t="s">
        <v>4705</v>
      </c>
      <c r="M1639" t="s">
        <v>210</v>
      </c>
      <c r="N1639" t="s">
        <v>4706</v>
      </c>
      <c r="Q1639" t="s">
        <v>260</v>
      </c>
      <c r="R1639" t="s">
        <v>261</v>
      </c>
      <c r="S1639" t="s">
        <v>261</v>
      </c>
      <c r="T1639" t="s">
        <v>261</v>
      </c>
      <c r="U1639" t="s">
        <v>262</v>
      </c>
      <c r="V1639" t="s">
        <v>262</v>
      </c>
      <c r="W1639" t="s">
        <v>261</v>
      </c>
      <c r="X1639" t="s">
        <v>262</v>
      </c>
      <c r="Y1639" t="s">
        <v>261</v>
      </c>
      <c r="Z1639" t="s">
        <v>409</v>
      </c>
      <c r="AA1639" t="s">
        <v>409</v>
      </c>
      <c r="AB1639" t="s">
        <v>409</v>
      </c>
      <c r="AC1639" t="s">
        <v>409</v>
      </c>
      <c r="AD1639" t="s">
        <v>261</v>
      </c>
      <c r="AH1639" t="s">
        <v>262</v>
      </c>
      <c r="AI1639" t="s">
        <v>262</v>
      </c>
      <c r="AJ1639" t="s">
        <v>261</v>
      </c>
      <c r="AK1639" t="s">
        <v>261</v>
      </c>
      <c r="AM1639" t="s">
        <v>262</v>
      </c>
      <c r="AN1639" t="s">
        <v>4707</v>
      </c>
    </row>
    <row r="1640" spans="1:40" x14ac:dyDescent="0.35">
      <c r="A1640">
        <v>6422501</v>
      </c>
      <c r="B1640" t="s">
        <v>4708</v>
      </c>
      <c r="C1640" t="str">
        <f>"9789812872449"</f>
        <v>9789812872449</v>
      </c>
      <c r="D1640" t="str">
        <f>"9789812872456"</f>
        <v>9789812872456</v>
      </c>
      <c r="E1640" t="s">
        <v>3404</v>
      </c>
      <c r="F1640" t="s">
        <v>2290</v>
      </c>
      <c r="G1640" s="1">
        <v>41960</v>
      </c>
      <c r="H1640" s="1">
        <v>44210</v>
      </c>
      <c r="I1640" t="s">
        <v>189</v>
      </c>
      <c r="K1640" t="s">
        <v>4709</v>
      </c>
      <c r="L1640" t="s">
        <v>4710</v>
      </c>
    </row>
    <row r="1641" spans="1:40" x14ac:dyDescent="0.35">
      <c r="A1641">
        <v>6422502</v>
      </c>
      <c r="B1641" t="s">
        <v>4711</v>
      </c>
      <c r="C1641" t="str">
        <f>"9783319296548"</f>
        <v>9783319296548</v>
      </c>
      <c r="D1641" t="str">
        <f>"9783319296555"</f>
        <v>9783319296555</v>
      </c>
      <c r="E1641" t="s">
        <v>2289</v>
      </c>
      <c r="F1641" t="s">
        <v>2290</v>
      </c>
      <c r="G1641" s="1">
        <v>42473</v>
      </c>
      <c r="H1641" s="1">
        <v>44210</v>
      </c>
      <c r="I1641" t="s">
        <v>189</v>
      </c>
      <c r="K1641" t="s">
        <v>4712</v>
      </c>
      <c r="L1641" t="s">
        <v>4713</v>
      </c>
    </row>
    <row r="1642" spans="1:40" x14ac:dyDescent="0.35">
      <c r="A1642">
        <v>6422503</v>
      </c>
      <c r="B1642" t="s">
        <v>4714</v>
      </c>
      <c r="C1642" t="str">
        <f>"9781137476647"</f>
        <v>9781137476647</v>
      </c>
      <c r="D1642" t="str">
        <f>"9781137476661"</f>
        <v>9781137476661</v>
      </c>
      <c r="E1642" t="s">
        <v>4183</v>
      </c>
      <c r="F1642" t="s">
        <v>2663</v>
      </c>
      <c r="G1642" s="1">
        <v>41915</v>
      </c>
      <c r="H1642" s="1">
        <v>44210</v>
      </c>
      <c r="I1642" t="s">
        <v>189</v>
      </c>
      <c r="L1642" t="s">
        <v>4715</v>
      </c>
      <c r="M1642" t="s">
        <v>329</v>
      </c>
      <c r="N1642" t="s">
        <v>4236</v>
      </c>
      <c r="Q1642" t="s">
        <v>260</v>
      </c>
      <c r="R1642" t="s">
        <v>261</v>
      </c>
      <c r="S1642" t="s">
        <v>261</v>
      </c>
      <c r="T1642" t="s">
        <v>261</v>
      </c>
      <c r="U1642" t="s">
        <v>262</v>
      </c>
      <c r="V1642" t="s">
        <v>262</v>
      </c>
      <c r="W1642" t="s">
        <v>261</v>
      </c>
      <c r="X1642" t="s">
        <v>262</v>
      </c>
      <c r="Y1642" t="s">
        <v>261</v>
      </c>
      <c r="Z1642" t="s">
        <v>409</v>
      </c>
      <c r="AA1642" t="s">
        <v>409</v>
      </c>
      <c r="AB1642" t="s">
        <v>409</v>
      </c>
      <c r="AC1642" t="s">
        <v>409</v>
      </c>
      <c r="AD1642" t="s">
        <v>261</v>
      </c>
      <c r="AH1642" t="s">
        <v>262</v>
      </c>
      <c r="AI1642" t="s">
        <v>262</v>
      </c>
      <c r="AJ1642" t="s">
        <v>261</v>
      </c>
      <c r="AK1642" t="s">
        <v>261</v>
      </c>
      <c r="AM1642" t="s">
        <v>262</v>
      </c>
      <c r="AN1642" t="s">
        <v>4716</v>
      </c>
    </row>
    <row r="1643" spans="1:40" x14ac:dyDescent="0.35">
      <c r="A1643">
        <v>6422506</v>
      </c>
      <c r="B1643" t="s">
        <v>4717</v>
      </c>
      <c r="C1643" t="str">
        <f>"9783319397436"</f>
        <v>9783319397436</v>
      </c>
      <c r="D1643" t="str">
        <f>"9783319397450"</f>
        <v>9783319397450</v>
      </c>
      <c r="E1643" t="s">
        <v>2289</v>
      </c>
      <c r="F1643" t="s">
        <v>2290</v>
      </c>
      <c r="G1643" s="1">
        <v>42633</v>
      </c>
      <c r="H1643" s="1">
        <v>44210</v>
      </c>
      <c r="I1643" t="s">
        <v>189</v>
      </c>
      <c r="K1643" t="s">
        <v>4718</v>
      </c>
      <c r="L1643" t="s">
        <v>4719</v>
      </c>
    </row>
    <row r="1644" spans="1:40" x14ac:dyDescent="0.35">
      <c r="A1644">
        <v>6422507</v>
      </c>
      <c r="B1644" t="s">
        <v>4720</v>
      </c>
      <c r="C1644" t="str">
        <f>"9784431543930"</f>
        <v>9784431543930</v>
      </c>
      <c r="D1644" t="str">
        <f>"9784431543947"</f>
        <v>9784431543947</v>
      </c>
      <c r="E1644" t="s">
        <v>4001</v>
      </c>
      <c r="F1644" t="s">
        <v>2290</v>
      </c>
      <c r="G1644" s="1">
        <v>41375</v>
      </c>
      <c r="H1644" s="1">
        <v>44210</v>
      </c>
      <c r="I1644" t="s">
        <v>189</v>
      </c>
      <c r="K1644" t="s">
        <v>4721</v>
      </c>
      <c r="L1644" t="s">
        <v>4722</v>
      </c>
    </row>
    <row r="1645" spans="1:40" x14ac:dyDescent="0.35">
      <c r="A1645">
        <v>6422508</v>
      </c>
      <c r="B1645" t="s">
        <v>4723</v>
      </c>
      <c r="C1645" t="str">
        <f>"9789811060106"</f>
        <v>9789811060106</v>
      </c>
      <c r="D1645" t="str">
        <f>"9789811060113"</f>
        <v>9789811060113</v>
      </c>
      <c r="E1645" t="s">
        <v>3404</v>
      </c>
      <c r="F1645" t="s">
        <v>2290</v>
      </c>
      <c r="G1645" s="1">
        <v>43045</v>
      </c>
      <c r="H1645" s="1">
        <v>44210</v>
      </c>
      <c r="I1645" t="s">
        <v>189</v>
      </c>
      <c r="L1645" t="s">
        <v>4724</v>
      </c>
    </row>
    <row r="1646" spans="1:40" x14ac:dyDescent="0.35">
      <c r="A1646">
        <v>6422509</v>
      </c>
      <c r="B1646" t="s">
        <v>4725</v>
      </c>
      <c r="C1646" t="str">
        <f>"9783319425887"</f>
        <v>9783319425887</v>
      </c>
      <c r="D1646" t="str">
        <f>"9783319425894"</f>
        <v>9783319425894</v>
      </c>
      <c r="E1646" t="s">
        <v>2289</v>
      </c>
      <c r="F1646" t="s">
        <v>2290</v>
      </c>
      <c r="G1646" s="1">
        <v>42597</v>
      </c>
      <c r="H1646" s="1">
        <v>44210</v>
      </c>
      <c r="I1646" t="s">
        <v>189</v>
      </c>
      <c r="K1646" t="s">
        <v>4712</v>
      </c>
      <c r="L1646" t="s">
        <v>4726</v>
      </c>
    </row>
    <row r="1647" spans="1:40" x14ac:dyDescent="0.35">
      <c r="A1647">
        <v>6422510</v>
      </c>
      <c r="B1647" t="s">
        <v>4727</v>
      </c>
      <c r="C1647" t="str">
        <f>"9783030111489"</f>
        <v>9783030111489</v>
      </c>
      <c r="D1647" t="str">
        <f>"9783030111496"</f>
        <v>9783030111496</v>
      </c>
      <c r="E1647" t="s">
        <v>2289</v>
      </c>
      <c r="F1647" t="s">
        <v>2290</v>
      </c>
      <c r="G1647" s="1">
        <v>43530</v>
      </c>
      <c r="H1647" s="1">
        <v>44210</v>
      </c>
      <c r="I1647" t="s">
        <v>189</v>
      </c>
      <c r="K1647" t="s">
        <v>4728</v>
      </c>
      <c r="L1647" t="s">
        <v>67</v>
      </c>
    </row>
    <row r="1648" spans="1:40" x14ac:dyDescent="0.35">
      <c r="A1648">
        <v>6422511</v>
      </c>
      <c r="B1648" t="s">
        <v>4729</v>
      </c>
      <c r="C1648" t="str">
        <f>"9783319429687"</f>
        <v>9783319429687</v>
      </c>
      <c r="D1648" t="str">
        <f>"9783319429700"</f>
        <v>9783319429700</v>
      </c>
      <c r="E1648" t="s">
        <v>2289</v>
      </c>
      <c r="F1648" t="s">
        <v>2290</v>
      </c>
      <c r="G1648" s="1">
        <v>42719</v>
      </c>
      <c r="H1648" s="1">
        <v>44210</v>
      </c>
      <c r="I1648" t="s">
        <v>189</v>
      </c>
      <c r="K1648" t="s">
        <v>4227</v>
      </c>
      <c r="L1648" t="s">
        <v>4730</v>
      </c>
    </row>
    <row r="1649" spans="1:40" x14ac:dyDescent="0.35">
      <c r="A1649">
        <v>6422512</v>
      </c>
      <c r="B1649" t="s">
        <v>4731</v>
      </c>
      <c r="C1649" t="str">
        <f>"9783319620176"</f>
        <v>9783319620176</v>
      </c>
      <c r="D1649" t="str">
        <f>"9783319620183"</f>
        <v>9783319620183</v>
      </c>
      <c r="E1649" t="s">
        <v>2289</v>
      </c>
      <c r="F1649" t="s">
        <v>2663</v>
      </c>
      <c r="G1649" s="1">
        <v>43084</v>
      </c>
      <c r="H1649" s="1">
        <v>44210</v>
      </c>
      <c r="I1649" t="s">
        <v>189</v>
      </c>
      <c r="K1649" t="s">
        <v>4732</v>
      </c>
      <c r="L1649" t="s">
        <v>4733</v>
      </c>
      <c r="M1649" t="s">
        <v>329</v>
      </c>
      <c r="N1649" t="s">
        <v>4734</v>
      </c>
      <c r="O1649" s="2">
        <v>364660941109033</v>
      </c>
      <c r="Q1649" t="s">
        <v>260</v>
      </c>
      <c r="R1649" t="s">
        <v>261</v>
      </c>
      <c r="S1649" t="s">
        <v>261</v>
      </c>
      <c r="T1649" t="s">
        <v>261</v>
      </c>
      <c r="U1649" t="s">
        <v>262</v>
      </c>
      <c r="V1649" t="s">
        <v>262</v>
      </c>
      <c r="W1649" t="s">
        <v>261</v>
      </c>
      <c r="X1649" t="s">
        <v>262</v>
      </c>
      <c r="Y1649" t="s">
        <v>261</v>
      </c>
      <c r="Z1649" t="s">
        <v>409</v>
      </c>
      <c r="AA1649" t="s">
        <v>409</v>
      </c>
      <c r="AB1649" t="s">
        <v>409</v>
      </c>
      <c r="AC1649" t="s">
        <v>409</v>
      </c>
      <c r="AD1649" t="s">
        <v>261</v>
      </c>
      <c r="AH1649" t="s">
        <v>262</v>
      </c>
      <c r="AI1649" t="s">
        <v>262</v>
      </c>
      <c r="AJ1649" t="s">
        <v>261</v>
      </c>
      <c r="AK1649" t="s">
        <v>261</v>
      </c>
      <c r="AM1649" t="s">
        <v>262</v>
      </c>
      <c r="AN1649" t="s">
        <v>4735</v>
      </c>
    </row>
    <row r="1650" spans="1:40" x14ac:dyDescent="0.35">
      <c r="A1650">
        <v>6422513</v>
      </c>
      <c r="B1650" t="s">
        <v>4736</v>
      </c>
      <c r="C1650" t="str">
        <f>"9781430263555"</f>
        <v>9781430263555</v>
      </c>
      <c r="D1650" t="str">
        <f>"9781430263562"</f>
        <v>9781430263562</v>
      </c>
      <c r="E1650" t="s">
        <v>4514</v>
      </c>
      <c r="F1650" t="s">
        <v>4514</v>
      </c>
      <c r="G1650" s="1">
        <v>41666</v>
      </c>
      <c r="H1650" s="1">
        <v>44210</v>
      </c>
      <c r="I1650" t="s">
        <v>189</v>
      </c>
      <c r="L1650" t="s">
        <v>4737</v>
      </c>
    </row>
    <row r="1651" spans="1:40" x14ac:dyDescent="0.35">
      <c r="A1651">
        <v>6422514</v>
      </c>
      <c r="B1651" t="s">
        <v>4738</v>
      </c>
      <c r="C1651" t="str">
        <f>"9781484201015"</f>
        <v>9781484201015</v>
      </c>
      <c r="D1651" t="str">
        <f>"9781484201008"</f>
        <v>9781484201008</v>
      </c>
      <c r="E1651" t="s">
        <v>4514</v>
      </c>
      <c r="F1651" t="s">
        <v>4514</v>
      </c>
      <c r="G1651" s="1">
        <v>41878</v>
      </c>
      <c r="H1651" s="1">
        <v>44210</v>
      </c>
      <c r="I1651" t="s">
        <v>189</v>
      </c>
      <c r="L1651" t="s">
        <v>4739</v>
      </c>
    </row>
    <row r="1652" spans="1:40" x14ac:dyDescent="0.35">
      <c r="A1652">
        <v>6422515</v>
      </c>
      <c r="B1652" t="s">
        <v>4740</v>
      </c>
      <c r="C1652" t="str">
        <f>"9783319316215"</f>
        <v>9783319316215</v>
      </c>
      <c r="D1652" t="str">
        <f>"9783319316222"</f>
        <v>9783319316222</v>
      </c>
      <c r="E1652" t="s">
        <v>2289</v>
      </c>
      <c r="F1652" t="s">
        <v>2290</v>
      </c>
      <c r="G1652" s="1">
        <v>42572</v>
      </c>
      <c r="H1652" s="1">
        <v>44210</v>
      </c>
      <c r="I1652" t="s">
        <v>189</v>
      </c>
      <c r="K1652" t="s">
        <v>4712</v>
      </c>
      <c r="L1652" t="s">
        <v>4741</v>
      </c>
    </row>
    <row r="1653" spans="1:40" x14ac:dyDescent="0.35">
      <c r="A1653">
        <v>6422516</v>
      </c>
      <c r="B1653" t="s">
        <v>4742</v>
      </c>
      <c r="C1653" t="str">
        <f>"9783319951287"</f>
        <v>9783319951287</v>
      </c>
      <c r="D1653" t="str">
        <f>"9783319951294"</f>
        <v>9783319951294</v>
      </c>
      <c r="E1653" t="s">
        <v>2289</v>
      </c>
      <c r="F1653" t="s">
        <v>2290</v>
      </c>
      <c r="G1653" s="1">
        <v>43383</v>
      </c>
      <c r="H1653" s="1">
        <v>44210</v>
      </c>
      <c r="I1653" t="s">
        <v>189</v>
      </c>
      <c r="K1653" t="s">
        <v>4011</v>
      </c>
      <c r="L1653" t="s">
        <v>66</v>
      </c>
    </row>
    <row r="1654" spans="1:40" x14ac:dyDescent="0.35">
      <c r="A1654">
        <v>6422517</v>
      </c>
      <c r="B1654" t="s">
        <v>4743</v>
      </c>
      <c r="C1654" t="str">
        <f>"9783658043230"</f>
        <v>9783658043230</v>
      </c>
      <c r="D1654" t="str">
        <f>"9783658043247"</f>
        <v>9783658043247</v>
      </c>
      <c r="E1654" t="s">
        <v>3972</v>
      </c>
      <c r="F1654" t="s">
        <v>3998</v>
      </c>
      <c r="G1654" s="1">
        <v>41796</v>
      </c>
      <c r="H1654" s="1">
        <v>44210</v>
      </c>
      <c r="I1654" t="s">
        <v>189</v>
      </c>
      <c r="L1654" t="s">
        <v>4744</v>
      </c>
    </row>
    <row r="1655" spans="1:40" x14ac:dyDescent="0.35">
      <c r="A1655">
        <v>6422518</v>
      </c>
      <c r="B1655" t="s">
        <v>4745</v>
      </c>
      <c r="C1655" t="str">
        <f>"9783658262051"</f>
        <v>9783658262051</v>
      </c>
      <c r="D1655" t="str">
        <f>"9783658262068"</f>
        <v>9783658262068</v>
      </c>
      <c r="E1655" t="s">
        <v>4746</v>
      </c>
      <c r="F1655" t="s">
        <v>4746</v>
      </c>
      <c r="G1655" s="1">
        <v>43593</v>
      </c>
      <c r="H1655" s="1">
        <v>44210</v>
      </c>
      <c r="I1655" t="s">
        <v>189</v>
      </c>
      <c r="L1655" t="s">
        <v>4747</v>
      </c>
      <c r="M1655" t="s">
        <v>323</v>
      </c>
      <c r="N1655" t="s">
        <v>4748</v>
      </c>
      <c r="Q1655" t="s">
        <v>408</v>
      </c>
      <c r="R1655" t="s">
        <v>261</v>
      </c>
      <c r="S1655" t="s">
        <v>261</v>
      </c>
      <c r="T1655" t="s">
        <v>261</v>
      </c>
      <c r="U1655" t="s">
        <v>262</v>
      </c>
      <c r="V1655" t="s">
        <v>262</v>
      </c>
      <c r="W1655" t="s">
        <v>261</v>
      </c>
      <c r="X1655" t="s">
        <v>262</v>
      </c>
      <c r="Y1655" t="s">
        <v>261</v>
      </c>
      <c r="Z1655" t="s">
        <v>409</v>
      </c>
      <c r="AA1655" t="s">
        <v>409</v>
      </c>
      <c r="AB1655" t="s">
        <v>409</v>
      </c>
      <c r="AC1655" t="s">
        <v>409</v>
      </c>
      <c r="AD1655" t="s">
        <v>261</v>
      </c>
      <c r="AH1655" t="s">
        <v>262</v>
      </c>
      <c r="AI1655" t="s">
        <v>262</v>
      </c>
      <c r="AJ1655" t="s">
        <v>261</v>
      </c>
      <c r="AK1655" t="s">
        <v>261</v>
      </c>
      <c r="AM1655" t="s">
        <v>262</v>
      </c>
      <c r="AN1655" t="s">
        <v>4749</v>
      </c>
    </row>
    <row r="1656" spans="1:40" x14ac:dyDescent="0.35">
      <c r="A1656">
        <v>6422519</v>
      </c>
      <c r="B1656" t="s">
        <v>4750</v>
      </c>
      <c r="C1656" t="str">
        <f>"9783662594650"</f>
        <v>9783662594650</v>
      </c>
      <c r="D1656" t="str">
        <f>"9783662594667"</f>
        <v>9783662594667</v>
      </c>
      <c r="E1656" t="s">
        <v>4047</v>
      </c>
      <c r="F1656" t="s">
        <v>2290</v>
      </c>
      <c r="G1656" s="1">
        <v>43770</v>
      </c>
      <c r="H1656" s="1">
        <v>44210</v>
      </c>
      <c r="I1656" t="s">
        <v>189</v>
      </c>
      <c r="L1656" t="s">
        <v>4751</v>
      </c>
    </row>
    <row r="1657" spans="1:40" x14ac:dyDescent="0.35">
      <c r="A1657">
        <v>6422520</v>
      </c>
      <c r="B1657" t="s">
        <v>4752</v>
      </c>
      <c r="C1657" t="str">
        <f>"9783319160054"</f>
        <v>9783319160054</v>
      </c>
      <c r="D1657" t="str">
        <f>"9783319160061"</f>
        <v>9783319160061</v>
      </c>
      <c r="E1657" t="s">
        <v>2289</v>
      </c>
      <c r="F1657" t="s">
        <v>2290</v>
      </c>
      <c r="G1657" s="1">
        <v>42114</v>
      </c>
      <c r="H1657" s="1">
        <v>44210</v>
      </c>
      <c r="I1657" t="s">
        <v>189</v>
      </c>
      <c r="K1657" t="s">
        <v>4718</v>
      </c>
      <c r="L1657" t="s">
        <v>4753</v>
      </c>
      <c r="M1657" t="s">
        <v>1995</v>
      </c>
    </row>
    <row r="1658" spans="1:40" x14ac:dyDescent="0.35">
      <c r="A1658">
        <v>6422521</v>
      </c>
      <c r="B1658" t="s">
        <v>4754</v>
      </c>
      <c r="C1658" t="str">
        <f>"9783319595184"</f>
        <v>9783319595184</v>
      </c>
      <c r="D1658" t="str">
        <f>"9783319595191"</f>
        <v>9783319595191</v>
      </c>
      <c r="E1658" t="s">
        <v>2289</v>
      </c>
      <c r="F1658" t="s">
        <v>2663</v>
      </c>
      <c r="G1658" s="1">
        <v>42944</v>
      </c>
      <c r="H1658" s="1">
        <v>44210</v>
      </c>
      <c r="I1658" t="s">
        <v>189</v>
      </c>
      <c r="K1658" t="s">
        <v>4732</v>
      </c>
      <c r="L1658" t="s">
        <v>1403</v>
      </c>
    </row>
    <row r="1659" spans="1:40" x14ac:dyDescent="0.35">
      <c r="A1659">
        <v>6422522</v>
      </c>
      <c r="B1659" t="s">
        <v>4755</v>
      </c>
      <c r="C1659" t="str">
        <f>"9783642280115"</f>
        <v>9783642280115</v>
      </c>
      <c r="D1659" t="str">
        <f>"9783642280122"</f>
        <v>9783642280122</v>
      </c>
      <c r="E1659" t="s">
        <v>4047</v>
      </c>
      <c r="F1659" t="s">
        <v>2290</v>
      </c>
      <c r="G1659" s="1">
        <v>41535</v>
      </c>
      <c r="H1659" s="1">
        <v>44210</v>
      </c>
      <c r="I1659" t="s">
        <v>189</v>
      </c>
      <c r="K1659" t="s">
        <v>4756</v>
      </c>
      <c r="L1659" t="s">
        <v>4757</v>
      </c>
    </row>
    <row r="1660" spans="1:40" x14ac:dyDescent="0.35">
      <c r="A1660">
        <v>6422523</v>
      </c>
      <c r="B1660" t="s">
        <v>4758</v>
      </c>
      <c r="C1660" t="str">
        <f>"9784431558477"</f>
        <v>9784431558477</v>
      </c>
      <c r="D1660" t="str">
        <f>"9784431558484"</f>
        <v>9784431558484</v>
      </c>
      <c r="E1660" t="s">
        <v>4001</v>
      </c>
      <c r="F1660" t="s">
        <v>2290</v>
      </c>
      <c r="G1660" s="1">
        <v>42388</v>
      </c>
      <c r="H1660" s="1">
        <v>44210</v>
      </c>
      <c r="I1660" t="s">
        <v>189</v>
      </c>
      <c r="L1660" t="s">
        <v>4759</v>
      </c>
      <c r="M1660" t="s">
        <v>944</v>
      </c>
    </row>
    <row r="1661" spans="1:40" x14ac:dyDescent="0.35">
      <c r="A1661">
        <v>6422524</v>
      </c>
      <c r="B1661" t="s">
        <v>4760</v>
      </c>
      <c r="C1661" t="str">
        <f>"9783319123035"</f>
        <v>9783319123035</v>
      </c>
      <c r="D1661" t="str">
        <f>"9783319123042"</f>
        <v>9783319123042</v>
      </c>
      <c r="E1661" t="s">
        <v>2289</v>
      </c>
      <c r="F1661" t="s">
        <v>2290</v>
      </c>
      <c r="G1661" s="1">
        <v>41976</v>
      </c>
      <c r="H1661" s="1">
        <v>44210</v>
      </c>
      <c r="I1661" t="s">
        <v>189</v>
      </c>
      <c r="K1661" t="s">
        <v>4761</v>
      </c>
      <c r="L1661" t="s">
        <v>4762</v>
      </c>
      <c r="M1661" t="s">
        <v>847</v>
      </c>
    </row>
    <row r="1662" spans="1:40" x14ac:dyDescent="0.35">
      <c r="A1662">
        <v>6422525</v>
      </c>
      <c r="B1662" t="s">
        <v>4763</v>
      </c>
      <c r="C1662" t="str">
        <f>"9781430261452"</f>
        <v>9781430261452</v>
      </c>
      <c r="D1662" t="str">
        <f>"9781430261469"</f>
        <v>9781430261469</v>
      </c>
      <c r="E1662" t="s">
        <v>4514</v>
      </c>
      <c r="F1662" t="s">
        <v>4514</v>
      </c>
      <c r="G1662" s="1">
        <v>41729</v>
      </c>
      <c r="H1662" s="1">
        <v>44210</v>
      </c>
      <c r="I1662" t="s">
        <v>189</v>
      </c>
      <c r="L1662" t="s">
        <v>4764</v>
      </c>
    </row>
    <row r="1663" spans="1:40" x14ac:dyDescent="0.35">
      <c r="A1663">
        <v>6422526</v>
      </c>
      <c r="B1663" t="s">
        <v>4765</v>
      </c>
      <c r="C1663" t="str">
        <f>"9783662557068"</f>
        <v>9783662557068</v>
      </c>
      <c r="D1663" t="str">
        <f>"9783662557075"</f>
        <v>9783662557075</v>
      </c>
      <c r="E1663" t="s">
        <v>4047</v>
      </c>
      <c r="F1663" t="s">
        <v>4766</v>
      </c>
      <c r="G1663" s="1">
        <v>43227</v>
      </c>
      <c r="H1663" s="1">
        <v>44210</v>
      </c>
      <c r="I1663" t="s">
        <v>189</v>
      </c>
      <c r="L1663" t="s">
        <v>4767</v>
      </c>
    </row>
    <row r="1664" spans="1:40" x14ac:dyDescent="0.35">
      <c r="A1664">
        <v>6422527</v>
      </c>
      <c r="B1664" t="s">
        <v>4768</v>
      </c>
      <c r="C1664" t="str">
        <f>"9783658144135"</f>
        <v>9783658144135</v>
      </c>
      <c r="D1664" t="str">
        <f>"9783658144142"</f>
        <v>9783658144142</v>
      </c>
      <c r="E1664" t="s">
        <v>3972</v>
      </c>
      <c r="F1664" t="s">
        <v>3998</v>
      </c>
      <c r="G1664" s="1">
        <v>42690</v>
      </c>
      <c r="H1664" s="1">
        <v>44210</v>
      </c>
      <c r="I1664" t="s">
        <v>189</v>
      </c>
      <c r="L1664" t="s">
        <v>4769</v>
      </c>
      <c r="M1664" t="s">
        <v>329</v>
      </c>
      <c r="N1664" t="s">
        <v>4064</v>
      </c>
      <c r="Q1664" t="s">
        <v>408</v>
      </c>
      <c r="R1664" t="s">
        <v>261</v>
      </c>
      <c r="S1664" t="s">
        <v>261</v>
      </c>
      <c r="T1664" t="s">
        <v>261</v>
      </c>
      <c r="U1664" t="s">
        <v>262</v>
      </c>
      <c r="V1664" t="s">
        <v>262</v>
      </c>
      <c r="W1664" t="s">
        <v>261</v>
      </c>
      <c r="X1664" t="s">
        <v>262</v>
      </c>
      <c r="Y1664" t="s">
        <v>261</v>
      </c>
      <c r="Z1664" t="s">
        <v>409</v>
      </c>
      <c r="AA1664" t="s">
        <v>409</v>
      </c>
      <c r="AB1664" t="s">
        <v>409</v>
      </c>
      <c r="AC1664" t="s">
        <v>409</v>
      </c>
      <c r="AD1664" t="s">
        <v>261</v>
      </c>
      <c r="AH1664" t="s">
        <v>262</v>
      </c>
      <c r="AI1664" t="s">
        <v>262</v>
      </c>
      <c r="AJ1664" t="s">
        <v>261</v>
      </c>
      <c r="AK1664" t="s">
        <v>261</v>
      </c>
      <c r="AM1664" t="s">
        <v>262</v>
      </c>
      <c r="AN1664" t="s">
        <v>4770</v>
      </c>
    </row>
    <row r="1665" spans="1:40" x14ac:dyDescent="0.35">
      <c r="A1665">
        <v>6422528</v>
      </c>
      <c r="B1665" t="s">
        <v>4771</v>
      </c>
      <c r="C1665" t="str">
        <f>"9783662557044"</f>
        <v>9783662557044</v>
      </c>
      <c r="D1665" t="str">
        <f>"9783662557051"</f>
        <v>9783662557051</v>
      </c>
      <c r="E1665" t="s">
        <v>4047</v>
      </c>
      <c r="F1665" t="s">
        <v>4766</v>
      </c>
      <c r="G1665" s="1">
        <v>43216</v>
      </c>
      <c r="H1665" s="1">
        <v>44210</v>
      </c>
      <c r="I1665" t="s">
        <v>189</v>
      </c>
      <c r="L1665" t="s">
        <v>4767</v>
      </c>
    </row>
    <row r="1666" spans="1:40" x14ac:dyDescent="0.35">
      <c r="A1666">
        <v>6422529</v>
      </c>
      <c r="B1666" t="s">
        <v>4772</v>
      </c>
      <c r="C1666" t="str">
        <f>"9783319635903"</f>
        <v>9783319635903</v>
      </c>
      <c r="D1666" t="str">
        <f>"9783319635910"</f>
        <v>9783319635910</v>
      </c>
      <c r="E1666" t="s">
        <v>2289</v>
      </c>
      <c r="F1666" t="s">
        <v>2663</v>
      </c>
      <c r="G1666" s="1">
        <v>43264</v>
      </c>
      <c r="H1666" s="1">
        <v>44210</v>
      </c>
      <c r="I1666" t="s">
        <v>189</v>
      </c>
      <c r="K1666" t="s">
        <v>4773</v>
      </c>
      <c r="L1666" t="s">
        <v>4774</v>
      </c>
      <c r="M1666" t="s">
        <v>210</v>
      </c>
    </row>
    <row r="1667" spans="1:40" x14ac:dyDescent="0.35">
      <c r="A1667">
        <v>6422530</v>
      </c>
      <c r="B1667" t="s">
        <v>4775</v>
      </c>
      <c r="C1667" t="str">
        <f>""</f>
        <v/>
      </c>
      <c r="D1667" t="str">
        <f>"9788132220145"</f>
        <v>9788132220145</v>
      </c>
      <c r="E1667" t="s">
        <v>4776</v>
      </c>
      <c r="F1667" t="s">
        <v>2290</v>
      </c>
      <c r="G1667" s="1">
        <v>41976</v>
      </c>
      <c r="H1667" s="1">
        <v>44210</v>
      </c>
      <c r="I1667" t="s">
        <v>189</v>
      </c>
      <c r="K1667" t="s">
        <v>4777</v>
      </c>
      <c r="L1667" t="s">
        <v>4778</v>
      </c>
    </row>
    <row r="1668" spans="1:40" x14ac:dyDescent="0.35">
      <c r="A1668">
        <v>6422531</v>
      </c>
      <c r="B1668" t="s">
        <v>4779</v>
      </c>
      <c r="C1668" t="str">
        <f>"9789400775954"</f>
        <v>9789400775954</v>
      </c>
      <c r="D1668" t="str">
        <f>"9789400775961"</f>
        <v>9789400775961</v>
      </c>
      <c r="E1668" t="s">
        <v>4164</v>
      </c>
      <c r="F1668" t="s">
        <v>2290</v>
      </c>
      <c r="G1668" s="1">
        <v>41617</v>
      </c>
      <c r="H1668" s="1">
        <v>44210</v>
      </c>
      <c r="I1668" t="s">
        <v>189</v>
      </c>
      <c r="L1668" t="s">
        <v>4780</v>
      </c>
    </row>
    <row r="1669" spans="1:40" x14ac:dyDescent="0.35">
      <c r="A1669">
        <v>6422532</v>
      </c>
      <c r="B1669" t="s">
        <v>4781</v>
      </c>
      <c r="C1669" t="str">
        <f>"9784431548645"</f>
        <v>9784431548645</v>
      </c>
      <c r="D1669" t="str">
        <f>"9784431548652"</f>
        <v>9784431548652</v>
      </c>
      <c r="E1669" t="s">
        <v>4001</v>
      </c>
      <c r="F1669" t="s">
        <v>2290</v>
      </c>
      <c r="G1669" s="1">
        <v>42033</v>
      </c>
      <c r="H1669" s="1">
        <v>44210</v>
      </c>
      <c r="I1669" t="s">
        <v>189</v>
      </c>
      <c r="L1669" t="s">
        <v>4782</v>
      </c>
    </row>
    <row r="1670" spans="1:40" x14ac:dyDescent="0.35">
      <c r="A1670">
        <v>6422533</v>
      </c>
      <c r="B1670" t="s">
        <v>4783</v>
      </c>
      <c r="C1670" t="str">
        <f>"9783319459752"</f>
        <v>9783319459752</v>
      </c>
      <c r="D1670" t="str">
        <f>"9783319459776"</f>
        <v>9783319459776</v>
      </c>
      <c r="E1670" t="s">
        <v>2289</v>
      </c>
      <c r="F1670" t="s">
        <v>2290</v>
      </c>
      <c r="G1670" s="1">
        <v>43005</v>
      </c>
      <c r="H1670" s="1">
        <v>44210</v>
      </c>
      <c r="I1670" t="s">
        <v>189</v>
      </c>
      <c r="K1670" t="s">
        <v>4784</v>
      </c>
      <c r="L1670" t="s">
        <v>4785</v>
      </c>
    </row>
    <row r="1671" spans="1:40" x14ac:dyDescent="0.35">
      <c r="A1671">
        <v>6422534</v>
      </c>
      <c r="B1671" t="s">
        <v>4786</v>
      </c>
      <c r="C1671" t="str">
        <f>"9783030499693"</f>
        <v>9783030499693</v>
      </c>
      <c r="D1671" t="str">
        <f>"9783030499709"</f>
        <v>9783030499709</v>
      </c>
      <c r="E1671" t="s">
        <v>2289</v>
      </c>
      <c r="F1671" t="s">
        <v>2290</v>
      </c>
      <c r="G1671" s="1">
        <v>44175</v>
      </c>
      <c r="H1671" s="1">
        <v>44210</v>
      </c>
      <c r="I1671" t="s">
        <v>189</v>
      </c>
      <c r="K1671" t="s">
        <v>4787</v>
      </c>
      <c r="L1671" t="s">
        <v>4788</v>
      </c>
    </row>
    <row r="1672" spans="1:40" x14ac:dyDescent="0.35">
      <c r="A1672">
        <v>6422535</v>
      </c>
      <c r="B1672" t="s">
        <v>4789</v>
      </c>
      <c r="C1672" t="str">
        <f>"9783319137544"</f>
        <v>9783319137544</v>
      </c>
      <c r="D1672" t="str">
        <f>"9783319137551"</f>
        <v>9783319137551</v>
      </c>
      <c r="E1672" t="s">
        <v>2289</v>
      </c>
      <c r="F1672" t="s">
        <v>2290</v>
      </c>
      <c r="G1672" s="1">
        <v>42132</v>
      </c>
      <c r="H1672" s="1">
        <v>44210</v>
      </c>
      <c r="I1672" t="s">
        <v>189</v>
      </c>
      <c r="L1672" t="s">
        <v>4790</v>
      </c>
    </row>
    <row r="1673" spans="1:40" x14ac:dyDescent="0.35">
      <c r="A1673">
        <v>6422536</v>
      </c>
      <c r="B1673" t="s">
        <v>4791</v>
      </c>
      <c r="C1673" t="str">
        <f>"9783319286235"</f>
        <v>9783319286235</v>
      </c>
      <c r="D1673" t="str">
        <f>"9783319286242"</f>
        <v>9783319286242</v>
      </c>
      <c r="E1673" t="s">
        <v>2289</v>
      </c>
      <c r="F1673" t="s">
        <v>2290</v>
      </c>
      <c r="G1673" s="1">
        <v>42450</v>
      </c>
      <c r="H1673" s="1">
        <v>44210</v>
      </c>
      <c r="I1673" t="s">
        <v>189</v>
      </c>
      <c r="L1673" t="s">
        <v>4792</v>
      </c>
    </row>
    <row r="1674" spans="1:40" x14ac:dyDescent="0.35">
      <c r="A1674">
        <v>6422537</v>
      </c>
      <c r="B1674" t="s">
        <v>4793</v>
      </c>
      <c r="C1674" t="str">
        <f>"9789811312137"</f>
        <v>9789811312137</v>
      </c>
      <c r="D1674" t="str">
        <f>"9789811312144"</f>
        <v>9789811312144</v>
      </c>
      <c r="E1674" t="s">
        <v>3404</v>
      </c>
      <c r="F1674" t="s">
        <v>2290</v>
      </c>
      <c r="G1674" s="1">
        <v>43399</v>
      </c>
      <c r="H1674" s="1">
        <v>44210</v>
      </c>
      <c r="I1674" t="s">
        <v>189</v>
      </c>
      <c r="L1674" t="s">
        <v>4794</v>
      </c>
    </row>
    <row r="1675" spans="1:40" x14ac:dyDescent="0.35">
      <c r="A1675">
        <v>6422538</v>
      </c>
      <c r="B1675" t="s">
        <v>4795</v>
      </c>
      <c r="C1675" t="str">
        <f>"9783319038193"</f>
        <v>9783319038193</v>
      </c>
      <c r="D1675" t="str">
        <f>"9783319038209"</f>
        <v>9783319038209</v>
      </c>
      <c r="E1675" t="s">
        <v>2289</v>
      </c>
      <c r="F1675" t="s">
        <v>2290</v>
      </c>
      <c r="G1675" s="1">
        <v>42212</v>
      </c>
      <c r="H1675" s="1">
        <v>44210</v>
      </c>
      <c r="I1675" t="s">
        <v>189</v>
      </c>
      <c r="K1675" t="s">
        <v>4796</v>
      </c>
      <c r="L1675" t="s">
        <v>4797</v>
      </c>
      <c r="M1675" t="s">
        <v>316</v>
      </c>
      <c r="N1675" t="s">
        <v>4798</v>
      </c>
      <c r="Q1675" t="s">
        <v>260</v>
      </c>
      <c r="R1675" t="s">
        <v>261</v>
      </c>
      <c r="S1675" t="s">
        <v>261</v>
      </c>
      <c r="T1675" t="s">
        <v>261</v>
      </c>
      <c r="U1675" t="s">
        <v>262</v>
      </c>
      <c r="V1675" t="s">
        <v>262</v>
      </c>
      <c r="W1675" t="s">
        <v>261</v>
      </c>
      <c r="X1675" t="s">
        <v>262</v>
      </c>
      <c r="Y1675" t="s">
        <v>261</v>
      </c>
      <c r="Z1675" t="s">
        <v>409</v>
      </c>
      <c r="AA1675" t="s">
        <v>409</v>
      </c>
      <c r="AB1675" t="s">
        <v>409</v>
      </c>
      <c r="AC1675" t="s">
        <v>409</v>
      </c>
      <c r="AD1675" t="s">
        <v>261</v>
      </c>
      <c r="AH1675" t="s">
        <v>262</v>
      </c>
      <c r="AI1675" t="s">
        <v>262</v>
      </c>
      <c r="AJ1675" t="s">
        <v>261</v>
      </c>
      <c r="AK1675" t="s">
        <v>261</v>
      </c>
      <c r="AM1675" t="s">
        <v>262</v>
      </c>
      <c r="AN1675" t="s">
        <v>4799</v>
      </c>
    </row>
    <row r="1676" spans="1:40" x14ac:dyDescent="0.35">
      <c r="A1676">
        <v>6422539</v>
      </c>
      <c r="B1676" t="s">
        <v>4800</v>
      </c>
      <c r="C1676" t="str">
        <f>"9783319511573"</f>
        <v>9783319511573</v>
      </c>
      <c r="D1676" t="str">
        <f>"9783319511597"</f>
        <v>9783319511597</v>
      </c>
      <c r="E1676" t="s">
        <v>2289</v>
      </c>
      <c r="F1676" t="s">
        <v>2290</v>
      </c>
      <c r="G1676" s="1">
        <v>42867</v>
      </c>
      <c r="H1676" s="1">
        <v>44210</v>
      </c>
      <c r="I1676" t="s">
        <v>189</v>
      </c>
      <c r="L1676" t="s">
        <v>4801</v>
      </c>
    </row>
    <row r="1677" spans="1:40" x14ac:dyDescent="0.35">
      <c r="A1677">
        <v>6422540</v>
      </c>
      <c r="B1677" t="s">
        <v>4802</v>
      </c>
      <c r="C1677" t="str">
        <f>"9784431555575"</f>
        <v>9784431555575</v>
      </c>
      <c r="D1677" t="str">
        <f>"9784431555582"</f>
        <v>9784431555582</v>
      </c>
      <c r="E1677" t="s">
        <v>4001</v>
      </c>
      <c r="F1677" t="s">
        <v>2290</v>
      </c>
      <c r="G1677" s="1">
        <v>42241</v>
      </c>
      <c r="H1677" s="1">
        <v>44210</v>
      </c>
      <c r="I1677" t="s">
        <v>189</v>
      </c>
      <c r="L1677" t="s">
        <v>4803</v>
      </c>
    </row>
    <row r="1678" spans="1:40" x14ac:dyDescent="0.35">
      <c r="A1678">
        <v>6422541</v>
      </c>
      <c r="B1678" t="s">
        <v>4804</v>
      </c>
      <c r="C1678" t="str">
        <f>"9783642280085"</f>
        <v>9783642280085</v>
      </c>
      <c r="D1678" t="str">
        <f>"9783642280092"</f>
        <v>9783642280092</v>
      </c>
      <c r="E1678" t="s">
        <v>4047</v>
      </c>
      <c r="F1678" t="s">
        <v>2290</v>
      </c>
      <c r="G1678" s="1">
        <v>41167</v>
      </c>
      <c r="H1678" s="1">
        <v>44210</v>
      </c>
      <c r="I1678" t="s">
        <v>189</v>
      </c>
      <c r="L1678" t="s">
        <v>4805</v>
      </c>
      <c r="M1678" t="s">
        <v>282</v>
      </c>
    </row>
    <row r="1679" spans="1:40" x14ac:dyDescent="0.35">
      <c r="A1679">
        <v>6422542</v>
      </c>
      <c r="B1679" t="s">
        <v>4806</v>
      </c>
      <c r="C1679" t="str">
        <f>"9781430263821"</f>
        <v>9781430263821</v>
      </c>
      <c r="D1679" t="str">
        <f>"9781430263838"</f>
        <v>9781430263838</v>
      </c>
      <c r="E1679" t="s">
        <v>4514</v>
      </c>
      <c r="F1679" t="s">
        <v>4514</v>
      </c>
      <c r="G1679" s="1">
        <v>41881</v>
      </c>
      <c r="H1679" s="1">
        <v>44210</v>
      </c>
      <c r="I1679" t="s">
        <v>189</v>
      </c>
      <c r="L1679" t="s">
        <v>4807</v>
      </c>
    </row>
    <row r="1680" spans="1:40" x14ac:dyDescent="0.35">
      <c r="A1680">
        <v>6422543</v>
      </c>
      <c r="B1680" t="s">
        <v>4808</v>
      </c>
      <c r="C1680" t="str">
        <f>"9783658093761"</f>
        <v>9783658093761</v>
      </c>
      <c r="D1680" t="str">
        <f>"9783658093778"</f>
        <v>9783658093778</v>
      </c>
      <c r="E1680" t="s">
        <v>3972</v>
      </c>
      <c r="F1680" t="s">
        <v>3972</v>
      </c>
      <c r="G1680" s="1">
        <v>42706</v>
      </c>
      <c r="H1680" s="1">
        <v>44210</v>
      </c>
      <c r="I1680" t="s">
        <v>189</v>
      </c>
      <c r="J1680">
        <v>2</v>
      </c>
      <c r="L1680" t="s">
        <v>4809</v>
      </c>
      <c r="M1680" t="s">
        <v>249</v>
      </c>
      <c r="N1680" t="s">
        <v>4810</v>
      </c>
      <c r="Q1680" t="s">
        <v>408</v>
      </c>
      <c r="R1680" t="s">
        <v>261</v>
      </c>
      <c r="S1680" t="s">
        <v>261</v>
      </c>
      <c r="T1680" t="s">
        <v>261</v>
      </c>
      <c r="U1680" t="s">
        <v>262</v>
      </c>
      <c r="V1680" t="s">
        <v>262</v>
      </c>
      <c r="W1680" t="s">
        <v>261</v>
      </c>
      <c r="X1680" t="s">
        <v>262</v>
      </c>
      <c r="Y1680" t="s">
        <v>261</v>
      </c>
      <c r="Z1680" t="s">
        <v>409</v>
      </c>
      <c r="AA1680" t="s">
        <v>409</v>
      </c>
      <c r="AB1680" t="s">
        <v>409</v>
      </c>
      <c r="AC1680" t="s">
        <v>409</v>
      </c>
      <c r="AD1680" t="s">
        <v>261</v>
      </c>
      <c r="AH1680" t="s">
        <v>262</v>
      </c>
      <c r="AI1680" t="s">
        <v>262</v>
      </c>
      <c r="AJ1680" t="s">
        <v>261</v>
      </c>
      <c r="AK1680" t="s">
        <v>261</v>
      </c>
      <c r="AM1680" t="s">
        <v>262</v>
      </c>
      <c r="AN1680" t="s">
        <v>4811</v>
      </c>
    </row>
    <row r="1681" spans="1:40" x14ac:dyDescent="0.35">
      <c r="A1681">
        <v>6422546</v>
      </c>
      <c r="B1681" t="s">
        <v>4812</v>
      </c>
      <c r="C1681" t="str">
        <f>"9783319442716"</f>
        <v>9783319442716</v>
      </c>
      <c r="D1681" t="str">
        <f>"9783319442723"</f>
        <v>9783319442723</v>
      </c>
      <c r="E1681" t="s">
        <v>2289</v>
      </c>
      <c r="F1681" t="s">
        <v>2290</v>
      </c>
      <c r="G1681" s="1">
        <v>42632</v>
      </c>
      <c r="H1681" s="1">
        <v>44210</v>
      </c>
      <c r="I1681" t="s">
        <v>189</v>
      </c>
      <c r="K1681" t="s">
        <v>4712</v>
      </c>
      <c r="L1681" t="s">
        <v>4813</v>
      </c>
    </row>
    <row r="1682" spans="1:40" x14ac:dyDescent="0.35">
      <c r="A1682">
        <v>6422548</v>
      </c>
      <c r="B1682" t="s">
        <v>4814</v>
      </c>
      <c r="C1682" t="str">
        <f>"9783319045993"</f>
        <v>9783319045993</v>
      </c>
      <c r="D1682" t="str">
        <f>"9783319046006"</f>
        <v>9783319046006</v>
      </c>
      <c r="E1682" t="s">
        <v>2289</v>
      </c>
      <c r="F1682" t="s">
        <v>2290</v>
      </c>
      <c r="G1682" s="1">
        <v>42633</v>
      </c>
      <c r="H1682" s="1">
        <v>44210</v>
      </c>
      <c r="I1682" t="s">
        <v>189</v>
      </c>
      <c r="L1682" t="s">
        <v>4815</v>
      </c>
    </row>
    <row r="1683" spans="1:40" x14ac:dyDescent="0.35">
      <c r="A1683">
        <v>6422549</v>
      </c>
      <c r="B1683" t="s">
        <v>4816</v>
      </c>
      <c r="C1683" t="str">
        <f>"9783319909530"</f>
        <v>9783319909530</v>
      </c>
      <c r="D1683" t="str">
        <f>"9783319909554"</f>
        <v>9783319909554</v>
      </c>
      <c r="E1683" t="s">
        <v>2289</v>
      </c>
      <c r="F1683" t="s">
        <v>2290</v>
      </c>
      <c r="G1683" s="1">
        <v>43367</v>
      </c>
      <c r="H1683" s="1">
        <v>44210</v>
      </c>
      <c r="I1683" t="s">
        <v>189</v>
      </c>
      <c r="L1683" t="s">
        <v>4817</v>
      </c>
    </row>
    <row r="1684" spans="1:40" x14ac:dyDescent="0.35">
      <c r="A1684">
        <v>6422550</v>
      </c>
      <c r="B1684" t="s">
        <v>4818</v>
      </c>
      <c r="C1684" t="str">
        <f>"9789811040702"</f>
        <v>9789811040702</v>
      </c>
      <c r="D1684" t="str">
        <f>"9789811040719"</f>
        <v>9789811040719</v>
      </c>
      <c r="E1684" t="s">
        <v>3404</v>
      </c>
      <c r="F1684" t="s">
        <v>2663</v>
      </c>
      <c r="G1684" s="1">
        <v>42909</v>
      </c>
      <c r="H1684" s="1">
        <v>44210</v>
      </c>
      <c r="I1684" t="s">
        <v>189</v>
      </c>
      <c r="K1684" t="s">
        <v>4819</v>
      </c>
      <c r="L1684" t="s">
        <v>4820</v>
      </c>
      <c r="M1684" t="s">
        <v>389</v>
      </c>
    </row>
    <row r="1685" spans="1:40" x14ac:dyDescent="0.35">
      <c r="A1685">
        <v>6422551</v>
      </c>
      <c r="B1685" t="s">
        <v>4821</v>
      </c>
      <c r="C1685" t="str">
        <f>"9783030526887"</f>
        <v>9783030526887</v>
      </c>
      <c r="D1685" t="str">
        <f>"9783030526894"</f>
        <v>9783030526894</v>
      </c>
      <c r="E1685" t="s">
        <v>2289</v>
      </c>
      <c r="F1685" t="s">
        <v>2290</v>
      </c>
      <c r="G1685" s="1">
        <v>44175</v>
      </c>
      <c r="H1685" s="1">
        <v>44210</v>
      </c>
      <c r="I1685" t="s">
        <v>189</v>
      </c>
      <c r="K1685" t="s">
        <v>1208</v>
      </c>
      <c r="L1685" t="s">
        <v>4822</v>
      </c>
      <c r="M1685" t="s">
        <v>210</v>
      </c>
      <c r="N1685" t="s">
        <v>4706</v>
      </c>
      <c r="Q1685" t="s">
        <v>260</v>
      </c>
      <c r="R1685" t="s">
        <v>261</v>
      </c>
      <c r="S1685" t="s">
        <v>261</v>
      </c>
      <c r="T1685" t="s">
        <v>261</v>
      </c>
      <c r="U1685" t="s">
        <v>262</v>
      </c>
      <c r="V1685" t="s">
        <v>262</v>
      </c>
      <c r="W1685" t="s">
        <v>261</v>
      </c>
      <c r="X1685" t="s">
        <v>261</v>
      </c>
      <c r="Y1685" t="s">
        <v>261</v>
      </c>
      <c r="Z1685" t="s">
        <v>409</v>
      </c>
      <c r="AA1685" t="s">
        <v>409</v>
      </c>
      <c r="AB1685" t="s">
        <v>409</v>
      </c>
      <c r="AC1685" t="s">
        <v>409</v>
      </c>
      <c r="AD1685" t="s">
        <v>261</v>
      </c>
      <c r="AH1685" t="s">
        <v>262</v>
      </c>
      <c r="AI1685" t="s">
        <v>262</v>
      </c>
      <c r="AJ1685" t="s">
        <v>261</v>
      </c>
      <c r="AK1685" t="s">
        <v>261</v>
      </c>
      <c r="AM1685" t="s">
        <v>262</v>
      </c>
      <c r="AN1685" t="s">
        <v>4823</v>
      </c>
    </row>
    <row r="1686" spans="1:40" x14ac:dyDescent="0.35">
      <c r="A1686">
        <v>6422552</v>
      </c>
      <c r="B1686" t="s">
        <v>4824</v>
      </c>
      <c r="C1686" t="str">
        <f>"9783030548940"</f>
        <v>9783030548940</v>
      </c>
      <c r="D1686" t="str">
        <f>"9783030548957"</f>
        <v>9783030548957</v>
      </c>
      <c r="E1686" t="s">
        <v>2289</v>
      </c>
      <c r="F1686" t="s">
        <v>2290</v>
      </c>
      <c r="G1686" s="1">
        <v>44175</v>
      </c>
      <c r="H1686" s="1">
        <v>44210</v>
      </c>
      <c r="I1686" t="s">
        <v>189</v>
      </c>
      <c r="L1686" t="s">
        <v>4825</v>
      </c>
    </row>
    <row r="1687" spans="1:40" x14ac:dyDescent="0.35">
      <c r="A1687">
        <v>6422553</v>
      </c>
      <c r="B1687" t="s">
        <v>4826</v>
      </c>
      <c r="C1687" t="str">
        <f>"9781430266372"</f>
        <v>9781430266372</v>
      </c>
      <c r="D1687" t="str">
        <f>"9781430266389"</f>
        <v>9781430266389</v>
      </c>
      <c r="E1687" t="s">
        <v>4514</v>
      </c>
      <c r="F1687" t="s">
        <v>4514</v>
      </c>
      <c r="G1687" s="1">
        <v>42091</v>
      </c>
      <c r="H1687" s="1">
        <v>44210</v>
      </c>
      <c r="I1687" t="s">
        <v>189</v>
      </c>
      <c r="L1687" t="s">
        <v>4827</v>
      </c>
    </row>
    <row r="1688" spans="1:40" x14ac:dyDescent="0.35">
      <c r="A1688">
        <v>6422554</v>
      </c>
      <c r="B1688" t="s">
        <v>4828</v>
      </c>
      <c r="C1688" t="str">
        <f>"9783642546778"</f>
        <v>9783642546778</v>
      </c>
      <c r="D1688" t="str">
        <f>"9783642546785"</f>
        <v>9783642546785</v>
      </c>
      <c r="E1688" t="s">
        <v>4047</v>
      </c>
      <c r="F1688" t="s">
        <v>2290</v>
      </c>
      <c r="G1688" s="1">
        <v>41844</v>
      </c>
      <c r="H1688" s="1">
        <v>44210</v>
      </c>
      <c r="I1688" t="s">
        <v>189</v>
      </c>
      <c r="K1688" t="s">
        <v>4829</v>
      </c>
      <c r="L1688" t="s">
        <v>4830</v>
      </c>
    </row>
    <row r="1689" spans="1:40" x14ac:dyDescent="0.35">
      <c r="A1689">
        <v>6422555</v>
      </c>
      <c r="B1689" t="s">
        <v>4831</v>
      </c>
      <c r="C1689" t="str">
        <f>"9783319510422"</f>
        <v>9783319510422</v>
      </c>
      <c r="D1689" t="str">
        <f>"9783319510439"</f>
        <v>9783319510439</v>
      </c>
      <c r="E1689" t="s">
        <v>2289</v>
      </c>
      <c r="F1689" t="s">
        <v>2290</v>
      </c>
      <c r="G1689" s="1">
        <v>42783</v>
      </c>
      <c r="H1689" s="1">
        <v>44210</v>
      </c>
      <c r="I1689" t="s">
        <v>189</v>
      </c>
      <c r="K1689" t="s">
        <v>4832</v>
      </c>
      <c r="L1689" t="s">
        <v>4833</v>
      </c>
    </row>
    <row r="1690" spans="1:40" x14ac:dyDescent="0.35">
      <c r="A1690">
        <v>6422556</v>
      </c>
      <c r="B1690" t="s">
        <v>4834</v>
      </c>
      <c r="C1690" t="str">
        <f>"9783662488454"</f>
        <v>9783662488454</v>
      </c>
      <c r="D1690" t="str">
        <f>"9783662488478"</f>
        <v>9783662488478</v>
      </c>
      <c r="E1690" t="s">
        <v>4047</v>
      </c>
      <c r="F1690" t="s">
        <v>2290</v>
      </c>
      <c r="G1690" s="1">
        <v>42521</v>
      </c>
      <c r="H1690" s="1">
        <v>44210</v>
      </c>
      <c r="I1690" t="s">
        <v>189</v>
      </c>
      <c r="L1690" t="s">
        <v>4835</v>
      </c>
    </row>
    <row r="1691" spans="1:40" x14ac:dyDescent="0.35">
      <c r="A1691">
        <v>6422558</v>
      </c>
      <c r="B1691" t="s">
        <v>4836</v>
      </c>
      <c r="C1691" t="str">
        <f>"9783319281100"</f>
        <v>9783319281100</v>
      </c>
      <c r="D1691" t="str">
        <f>"9783319281124"</f>
        <v>9783319281124</v>
      </c>
      <c r="E1691" t="s">
        <v>2289</v>
      </c>
      <c r="F1691" t="s">
        <v>2290</v>
      </c>
      <c r="G1691" s="1">
        <v>42620</v>
      </c>
      <c r="H1691" s="1">
        <v>44210</v>
      </c>
      <c r="I1691" t="s">
        <v>189</v>
      </c>
      <c r="K1691" t="s">
        <v>4837</v>
      </c>
      <c r="L1691" t="s">
        <v>4838</v>
      </c>
    </row>
    <row r="1692" spans="1:40" x14ac:dyDescent="0.35">
      <c r="A1692">
        <v>6422559</v>
      </c>
      <c r="B1692" t="s">
        <v>4839</v>
      </c>
      <c r="C1692" t="str">
        <f>"9783642380815"</f>
        <v>9783642380815</v>
      </c>
      <c r="D1692" t="str">
        <f>"9783642380822"</f>
        <v>9783642380822</v>
      </c>
      <c r="E1692" t="s">
        <v>4047</v>
      </c>
      <c r="F1692" t="s">
        <v>2290</v>
      </c>
      <c r="G1692" s="1">
        <v>41383</v>
      </c>
      <c r="H1692" s="1">
        <v>44210</v>
      </c>
      <c r="I1692" t="s">
        <v>189</v>
      </c>
      <c r="K1692" t="s">
        <v>4008</v>
      </c>
      <c r="L1692" t="s">
        <v>76</v>
      </c>
    </row>
    <row r="1693" spans="1:40" x14ac:dyDescent="0.35">
      <c r="A1693">
        <v>6422560</v>
      </c>
      <c r="B1693" t="s">
        <v>4840</v>
      </c>
      <c r="C1693" t="str">
        <f>"9781430267126"</f>
        <v>9781430267126</v>
      </c>
      <c r="D1693" t="str">
        <f>"9781430267133"</f>
        <v>9781430267133</v>
      </c>
      <c r="E1693" t="s">
        <v>4514</v>
      </c>
      <c r="F1693" t="s">
        <v>4514</v>
      </c>
      <c r="G1693" s="1">
        <v>41948</v>
      </c>
      <c r="H1693" s="1">
        <v>44210</v>
      </c>
      <c r="I1693" t="s">
        <v>189</v>
      </c>
      <c r="L1693" t="s">
        <v>4841</v>
      </c>
      <c r="M1693" t="s">
        <v>582</v>
      </c>
    </row>
    <row r="1694" spans="1:40" x14ac:dyDescent="0.35">
      <c r="A1694">
        <v>6422561</v>
      </c>
      <c r="B1694" t="s">
        <v>4842</v>
      </c>
      <c r="C1694" t="str">
        <f>"9783319333489"</f>
        <v>9783319333489</v>
      </c>
      <c r="D1694" t="str">
        <f>"9783319333496"</f>
        <v>9783319333496</v>
      </c>
      <c r="E1694" t="s">
        <v>2289</v>
      </c>
      <c r="F1694" t="s">
        <v>2290</v>
      </c>
      <c r="G1694" s="1">
        <v>42705</v>
      </c>
      <c r="H1694" s="1">
        <v>44210</v>
      </c>
      <c r="I1694" t="s">
        <v>189</v>
      </c>
      <c r="K1694" t="s">
        <v>4011</v>
      </c>
      <c r="L1694" t="s">
        <v>4843</v>
      </c>
    </row>
    <row r="1695" spans="1:40" x14ac:dyDescent="0.35">
      <c r="A1695">
        <v>6422562</v>
      </c>
      <c r="B1695" t="s">
        <v>4844</v>
      </c>
      <c r="C1695" t="str">
        <f>"9783662559178"</f>
        <v>9783662559178</v>
      </c>
      <c r="D1695" t="str">
        <f>"9783662559185"</f>
        <v>9783662559185</v>
      </c>
      <c r="E1695" t="s">
        <v>4047</v>
      </c>
      <c r="F1695" t="s">
        <v>2290</v>
      </c>
      <c r="G1695" s="1">
        <v>43049</v>
      </c>
      <c r="H1695" s="1">
        <v>44210</v>
      </c>
      <c r="I1695" t="s">
        <v>189</v>
      </c>
      <c r="L1695" t="s">
        <v>4845</v>
      </c>
    </row>
    <row r="1696" spans="1:40" x14ac:dyDescent="0.35">
      <c r="A1696">
        <v>6422563</v>
      </c>
      <c r="B1696" t="s">
        <v>4846</v>
      </c>
      <c r="C1696" t="str">
        <f>"9783319329741"</f>
        <v>9783319329741</v>
      </c>
      <c r="D1696" t="str">
        <f>"9783319329758"</f>
        <v>9783319329758</v>
      </c>
      <c r="E1696" t="s">
        <v>2289</v>
      </c>
      <c r="F1696" t="s">
        <v>2290</v>
      </c>
      <c r="G1696" s="1">
        <v>42543</v>
      </c>
      <c r="H1696" s="1">
        <v>44210</v>
      </c>
      <c r="I1696" t="s">
        <v>189</v>
      </c>
      <c r="K1696" t="s">
        <v>4712</v>
      </c>
      <c r="L1696" t="s">
        <v>4847</v>
      </c>
    </row>
    <row r="1697" spans="1:40" x14ac:dyDescent="0.35">
      <c r="A1697">
        <v>6422564</v>
      </c>
      <c r="B1697" t="s">
        <v>4848</v>
      </c>
      <c r="C1697" t="str">
        <f>"9783319512730"</f>
        <v>9783319512730</v>
      </c>
      <c r="D1697" t="str">
        <f>"9783319512747"</f>
        <v>9783319512747</v>
      </c>
      <c r="E1697" t="s">
        <v>2289</v>
      </c>
      <c r="F1697" t="s">
        <v>2290</v>
      </c>
      <c r="G1697" s="1">
        <v>42832</v>
      </c>
      <c r="H1697" s="1">
        <v>44210</v>
      </c>
      <c r="I1697" t="s">
        <v>189</v>
      </c>
      <c r="L1697" t="s">
        <v>4849</v>
      </c>
      <c r="M1697" t="s">
        <v>316</v>
      </c>
      <c r="N1697" t="s">
        <v>4850</v>
      </c>
      <c r="O1697" t="s">
        <v>4851</v>
      </c>
      <c r="Q1697" t="s">
        <v>260</v>
      </c>
      <c r="R1697" t="s">
        <v>261</v>
      </c>
      <c r="S1697" t="s">
        <v>261</v>
      </c>
      <c r="T1697" t="s">
        <v>261</v>
      </c>
      <c r="U1697" t="s">
        <v>262</v>
      </c>
      <c r="V1697" t="s">
        <v>262</v>
      </c>
      <c r="W1697" t="s">
        <v>261</v>
      </c>
      <c r="X1697" t="s">
        <v>262</v>
      </c>
      <c r="Y1697" t="s">
        <v>261</v>
      </c>
      <c r="Z1697" t="s">
        <v>409</v>
      </c>
      <c r="AA1697" t="s">
        <v>409</v>
      </c>
      <c r="AB1697" t="s">
        <v>409</v>
      </c>
      <c r="AC1697" t="s">
        <v>409</v>
      </c>
      <c r="AD1697" t="s">
        <v>261</v>
      </c>
      <c r="AH1697" t="s">
        <v>262</v>
      </c>
      <c r="AI1697" t="s">
        <v>262</v>
      </c>
      <c r="AJ1697" t="s">
        <v>261</v>
      </c>
      <c r="AK1697" t="s">
        <v>261</v>
      </c>
      <c r="AM1697" t="s">
        <v>262</v>
      </c>
      <c r="AN1697" t="s">
        <v>4852</v>
      </c>
    </row>
    <row r="1698" spans="1:40" x14ac:dyDescent="0.35">
      <c r="A1698">
        <v>6422565</v>
      </c>
      <c r="B1698" t="s">
        <v>4853</v>
      </c>
      <c r="C1698" t="str">
        <f>"9783319204833"</f>
        <v>9783319204833</v>
      </c>
      <c r="D1698" t="str">
        <f>"9783319204840"</f>
        <v>9783319204840</v>
      </c>
      <c r="E1698" t="s">
        <v>2289</v>
      </c>
      <c r="F1698" t="s">
        <v>2290</v>
      </c>
      <c r="G1698" s="1">
        <v>42236</v>
      </c>
      <c r="H1698" s="1">
        <v>44210</v>
      </c>
      <c r="I1698" t="s">
        <v>189</v>
      </c>
      <c r="K1698" t="s">
        <v>4227</v>
      </c>
      <c r="L1698" t="s">
        <v>4854</v>
      </c>
    </row>
    <row r="1699" spans="1:40" x14ac:dyDescent="0.35">
      <c r="A1699">
        <v>6422566</v>
      </c>
      <c r="B1699" t="s">
        <v>4855</v>
      </c>
      <c r="C1699" t="str">
        <f>"9783319460307"</f>
        <v>9783319460307</v>
      </c>
      <c r="D1699" t="str">
        <f>"9783319460314"</f>
        <v>9783319460314</v>
      </c>
      <c r="E1699" t="s">
        <v>2289</v>
      </c>
      <c r="F1699" t="s">
        <v>2290</v>
      </c>
      <c r="G1699" s="1">
        <v>42737</v>
      </c>
      <c r="H1699" s="1">
        <v>44210</v>
      </c>
      <c r="I1699" t="s">
        <v>189</v>
      </c>
      <c r="K1699" t="s">
        <v>4011</v>
      </c>
      <c r="L1699" t="s">
        <v>4856</v>
      </c>
    </row>
    <row r="1700" spans="1:40" x14ac:dyDescent="0.35">
      <c r="A1700">
        <v>6422567</v>
      </c>
      <c r="B1700" t="s">
        <v>4857</v>
      </c>
      <c r="C1700" t="str">
        <f>"9783319334455"</f>
        <v>9783319334455</v>
      </c>
      <c r="D1700" t="str">
        <f>"9783319334462"</f>
        <v>9783319334462</v>
      </c>
      <c r="E1700" t="s">
        <v>2289</v>
      </c>
      <c r="F1700" t="s">
        <v>2290</v>
      </c>
      <c r="G1700" s="1">
        <v>42710</v>
      </c>
      <c r="H1700" s="1">
        <v>44210</v>
      </c>
      <c r="I1700" t="s">
        <v>189</v>
      </c>
      <c r="K1700" t="s">
        <v>4249</v>
      </c>
      <c r="L1700" t="s">
        <v>4250</v>
      </c>
    </row>
    <row r="1701" spans="1:40" x14ac:dyDescent="0.35">
      <c r="A1701">
        <v>6422568</v>
      </c>
      <c r="B1701" t="s">
        <v>4858</v>
      </c>
      <c r="C1701" t="str">
        <f>"9783319750187"</f>
        <v>9783319750187</v>
      </c>
      <c r="D1701" t="str">
        <f>"9783319750194"</f>
        <v>9783319750194</v>
      </c>
      <c r="E1701" t="s">
        <v>2289</v>
      </c>
      <c r="F1701" t="s">
        <v>2290</v>
      </c>
      <c r="G1701" s="1">
        <v>43194</v>
      </c>
      <c r="H1701" s="1">
        <v>44210</v>
      </c>
      <c r="I1701" t="s">
        <v>189</v>
      </c>
      <c r="K1701" t="s">
        <v>4728</v>
      </c>
      <c r="L1701" t="s">
        <v>67</v>
      </c>
    </row>
    <row r="1702" spans="1:40" x14ac:dyDescent="0.35">
      <c r="A1702">
        <v>6422569</v>
      </c>
      <c r="B1702" t="s">
        <v>4859</v>
      </c>
      <c r="C1702" t="str">
        <f>"9784431556749"</f>
        <v>9784431556749</v>
      </c>
      <c r="D1702" t="str">
        <f>"9784431556756"</f>
        <v>9784431556756</v>
      </c>
      <c r="E1702" t="s">
        <v>4001</v>
      </c>
      <c r="F1702" t="s">
        <v>2290</v>
      </c>
      <c r="G1702" s="1">
        <v>42272</v>
      </c>
      <c r="H1702" s="1">
        <v>44210</v>
      </c>
      <c r="I1702" t="s">
        <v>189</v>
      </c>
      <c r="L1702" t="s">
        <v>4860</v>
      </c>
    </row>
    <row r="1703" spans="1:40" x14ac:dyDescent="0.35">
      <c r="A1703">
        <v>6422570</v>
      </c>
      <c r="B1703" t="s">
        <v>4861</v>
      </c>
      <c r="C1703" t="str">
        <f>"9783319713649"</f>
        <v>9783319713649</v>
      </c>
      <c r="D1703" t="str">
        <f>"9783319713656"</f>
        <v>9783319713656</v>
      </c>
      <c r="E1703" t="s">
        <v>2289</v>
      </c>
      <c r="F1703" t="s">
        <v>2290</v>
      </c>
      <c r="G1703" s="1">
        <v>43396</v>
      </c>
      <c r="H1703" s="1">
        <v>44210</v>
      </c>
      <c r="I1703" t="s">
        <v>189</v>
      </c>
      <c r="J1703">
        <v>2</v>
      </c>
      <c r="L1703" t="s">
        <v>4862</v>
      </c>
    </row>
    <row r="1704" spans="1:40" x14ac:dyDescent="0.35">
      <c r="A1704">
        <v>6422571</v>
      </c>
      <c r="B1704" t="s">
        <v>4863</v>
      </c>
      <c r="C1704" t="str">
        <f>"9783319445878"</f>
        <v>9783319445878</v>
      </c>
      <c r="D1704" t="str">
        <f>"9783319445885"</f>
        <v>9783319445885</v>
      </c>
      <c r="E1704" t="s">
        <v>2289</v>
      </c>
      <c r="F1704" t="s">
        <v>2290</v>
      </c>
      <c r="G1704" s="1">
        <v>42753</v>
      </c>
      <c r="H1704" s="1">
        <v>44210</v>
      </c>
      <c r="I1704" t="s">
        <v>189</v>
      </c>
      <c r="K1704" t="s">
        <v>4864</v>
      </c>
      <c r="L1704" t="s">
        <v>68</v>
      </c>
    </row>
    <row r="1705" spans="1:40" x14ac:dyDescent="0.35">
      <c r="A1705">
        <v>6422572</v>
      </c>
      <c r="B1705" t="s">
        <v>4865</v>
      </c>
      <c r="C1705" t="str">
        <f>"9783030613143"</f>
        <v>9783030613143</v>
      </c>
      <c r="D1705" t="str">
        <f>"9783030613150"</f>
        <v>9783030613150</v>
      </c>
      <c r="E1705" t="s">
        <v>2289</v>
      </c>
      <c r="F1705" t="s">
        <v>2663</v>
      </c>
      <c r="G1705" s="1">
        <v>44173</v>
      </c>
      <c r="H1705" s="1">
        <v>44210</v>
      </c>
      <c r="I1705" t="s">
        <v>189</v>
      </c>
      <c r="L1705" t="s">
        <v>4866</v>
      </c>
    </row>
    <row r="1706" spans="1:40" x14ac:dyDescent="0.35">
      <c r="A1706">
        <v>6422573</v>
      </c>
      <c r="B1706" t="s">
        <v>4867</v>
      </c>
      <c r="C1706" t="str">
        <f>"9783319311128"</f>
        <v>9783319311128</v>
      </c>
      <c r="D1706" t="str">
        <f>"9783319311135"</f>
        <v>9783319311135</v>
      </c>
      <c r="E1706" t="s">
        <v>2289</v>
      </c>
      <c r="F1706" t="s">
        <v>2663</v>
      </c>
      <c r="G1706" s="1">
        <v>42608</v>
      </c>
      <c r="H1706" s="1">
        <v>44210</v>
      </c>
      <c r="I1706" t="s">
        <v>189</v>
      </c>
      <c r="L1706" t="s">
        <v>4868</v>
      </c>
      <c r="M1706" t="s">
        <v>239</v>
      </c>
    </row>
    <row r="1707" spans="1:40" x14ac:dyDescent="0.35">
      <c r="A1707">
        <v>6422574</v>
      </c>
      <c r="B1707" t="s">
        <v>4869</v>
      </c>
      <c r="C1707" t="str">
        <f>"9783658272579"</f>
        <v>9783658272579</v>
      </c>
      <c r="D1707" t="str">
        <f>"9783658272586"</f>
        <v>9783658272586</v>
      </c>
      <c r="E1707" t="s">
        <v>3972</v>
      </c>
      <c r="F1707" t="s">
        <v>3972</v>
      </c>
      <c r="G1707" s="1">
        <v>43721</v>
      </c>
      <c r="H1707" s="1">
        <v>44210</v>
      </c>
      <c r="I1707" t="s">
        <v>189</v>
      </c>
      <c r="L1707" t="s">
        <v>71</v>
      </c>
    </row>
    <row r="1708" spans="1:40" x14ac:dyDescent="0.35">
      <c r="A1708">
        <v>6422575</v>
      </c>
      <c r="B1708" t="s">
        <v>4870</v>
      </c>
      <c r="C1708" t="str">
        <f>"9783642341373"</f>
        <v>9783642341373</v>
      </c>
      <c r="D1708" t="str">
        <f>"9783642341380"</f>
        <v>9783642341380</v>
      </c>
      <c r="E1708" t="s">
        <v>4047</v>
      </c>
      <c r="F1708" t="s">
        <v>2290</v>
      </c>
      <c r="G1708" s="1">
        <v>41374</v>
      </c>
      <c r="H1708" s="1">
        <v>44210</v>
      </c>
      <c r="I1708" t="s">
        <v>189</v>
      </c>
      <c r="K1708" t="s">
        <v>4871</v>
      </c>
      <c r="L1708" t="s">
        <v>4872</v>
      </c>
    </row>
    <row r="1709" spans="1:40" x14ac:dyDescent="0.35">
      <c r="A1709">
        <v>6422576</v>
      </c>
      <c r="B1709" t="s">
        <v>4873</v>
      </c>
      <c r="C1709" t="str">
        <f>"9783658208004"</f>
        <v>9783658208004</v>
      </c>
      <c r="D1709" t="str">
        <f>"9783658208011"</f>
        <v>9783658208011</v>
      </c>
      <c r="E1709" t="s">
        <v>3972</v>
      </c>
      <c r="F1709" t="s">
        <v>3998</v>
      </c>
      <c r="G1709" s="1">
        <v>43244</v>
      </c>
      <c r="H1709" s="1">
        <v>44210</v>
      </c>
      <c r="I1709" t="s">
        <v>189</v>
      </c>
      <c r="K1709" t="s">
        <v>4874</v>
      </c>
      <c r="L1709" t="s">
        <v>4875</v>
      </c>
    </row>
    <row r="1710" spans="1:40" x14ac:dyDescent="0.35">
      <c r="A1710">
        <v>6422578</v>
      </c>
      <c r="B1710" t="s">
        <v>4876</v>
      </c>
      <c r="C1710" t="str">
        <f>"9783319730189"</f>
        <v>9783319730189</v>
      </c>
      <c r="D1710" t="str">
        <f>"9783319730196"</f>
        <v>9783319730196</v>
      </c>
      <c r="E1710" t="s">
        <v>2289</v>
      </c>
      <c r="F1710" t="s">
        <v>2290</v>
      </c>
      <c r="G1710" s="1">
        <v>43201</v>
      </c>
      <c r="H1710" s="1">
        <v>44210</v>
      </c>
      <c r="I1710" t="s">
        <v>189</v>
      </c>
      <c r="L1710" t="s">
        <v>4877</v>
      </c>
    </row>
    <row r="1711" spans="1:40" x14ac:dyDescent="0.35">
      <c r="A1711">
        <v>6422579</v>
      </c>
      <c r="B1711" t="s">
        <v>4878</v>
      </c>
      <c r="C1711" t="str">
        <f>"9783319086040"</f>
        <v>9783319086040</v>
      </c>
      <c r="D1711" t="str">
        <f>"9783319086057"</f>
        <v>9783319086057</v>
      </c>
      <c r="E1711" t="s">
        <v>2289</v>
      </c>
      <c r="F1711" t="s">
        <v>2290</v>
      </c>
      <c r="G1711" s="1">
        <v>41991</v>
      </c>
      <c r="H1711" s="1">
        <v>44210</v>
      </c>
      <c r="I1711" t="s">
        <v>189</v>
      </c>
      <c r="K1711" t="s">
        <v>4879</v>
      </c>
      <c r="L1711" t="s">
        <v>4880</v>
      </c>
    </row>
    <row r="1712" spans="1:40" x14ac:dyDescent="0.35">
      <c r="A1712">
        <v>6422580</v>
      </c>
      <c r="B1712" t="s">
        <v>4881</v>
      </c>
      <c r="C1712" t="str">
        <f>"9783319191317"</f>
        <v>9783319191317</v>
      </c>
      <c r="D1712" t="str">
        <f>"9783319191324"</f>
        <v>9783319191324</v>
      </c>
      <c r="E1712" t="s">
        <v>2289</v>
      </c>
      <c r="F1712" t="s">
        <v>2290</v>
      </c>
      <c r="G1712" s="1">
        <v>42215</v>
      </c>
      <c r="H1712" s="1">
        <v>44210</v>
      </c>
      <c r="I1712" t="s">
        <v>189</v>
      </c>
      <c r="K1712" t="s">
        <v>4882</v>
      </c>
      <c r="L1712" t="s">
        <v>4883</v>
      </c>
    </row>
    <row r="1713" spans="1:40" x14ac:dyDescent="0.35">
      <c r="A1713">
        <v>6422581</v>
      </c>
      <c r="B1713" t="s">
        <v>4884</v>
      </c>
      <c r="C1713" t="str">
        <f>"9783319961897"</f>
        <v>9783319961897</v>
      </c>
      <c r="D1713" t="str">
        <f>"9783319961903"</f>
        <v>9783319961903</v>
      </c>
      <c r="E1713" t="s">
        <v>2289</v>
      </c>
      <c r="F1713" t="s">
        <v>2290</v>
      </c>
      <c r="G1713" s="1">
        <v>43455</v>
      </c>
      <c r="H1713" s="1">
        <v>44210</v>
      </c>
      <c r="I1713" t="s">
        <v>189</v>
      </c>
      <c r="L1713" t="s">
        <v>4885</v>
      </c>
    </row>
    <row r="1714" spans="1:40" x14ac:dyDescent="0.35">
      <c r="A1714">
        <v>6422582</v>
      </c>
      <c r="B1714" t="s">
        <v>4886</v>
      </c>
      <c r="C1714" t="str">
        <f>"9783319724065"</f>
        <v>9783319724065</v>
      </c>
      <c r="D1714" t="str">
        <f>"9783319724089"</f>
        <v>9783319724089</v>
      </c>
      <c r="E1714" t="s">
        <v>2289</v>
      </c>
      <c r="F1714" t="s">
        <v>2290</v>
      </c>
      <c r="G1714" s="1">
        <v>43160</v>
      </c>
      <c r="H1714" s="1">
        <v>44210</v>
      </c>
      <c r="I1714" t="s">
        <v>189</v>
      </c>
      <c r="K1714" t="s">
        <v>4887</v>
      </c>
      <c r="L1714" t="s">
        <v>4888</v>
      </c>
    </row>
    <row r="1715" spans="1:40" x14ac:dyDescent="0.35">
      <c r="A1715">
        <v>6422583</v>
      </c>
      <c r="B1715" t="s">
        <v>4889</v>
      </c>
      <c r="C1715" t="str">
        <f>"9783319424132"</f>
        <v>9783319424132</v>
      </c>
      <c r="D1715" t="str">
        <f>"9783319424149"</f>
        <v>9783319424149</v>
      </c>
      <c r="E1715" t="s">
        <v>2289</v>
      </c>
      <c r="F1715" t="s">
        <v>2290</v>
      </c>
      <c r="G1715" s="1">
        <v>42621</v>
      </c>
      <c r="H1715" s="1">
        <v>44210</v>
      </c>
      <c r="I1715" t="s">
        <v>189</v>
      </c>
      <c r="K1715" t="s">
        <v>4712</v>
      </c>
      <c r="L1715" t="s">
        <v>4890</v>
      </c>
    </row>
    <row r="1716" spans="1:40" x14ac:dyDescent="0.35">
      <c r="A1716">
        <v>6422584</v>
      </c>
      <c r="B1716" t="s">
        <v>4891</v>
      </c>
      <c r="C1716" t="str">
        <f>"9783319625966"</f>
        <v>9783319625966</v>
      </c>
      <c r="D1716" t="str">
        <f>"9783319625973"</f>
        <v>9783319625973</v>
      </c>
      <c r="E1716" t="s">
        <v>2289</v>
      </c>
      <c r="F1716" t="s">
        <v>2290</v>
      </c>
      <c r="G1716" s="1">
        <v>43041</v>
      </c>
      <c r="H1716" s="1">
        <v>44210</v>
      </c>
      <c r="I1716" t="s">
        <v>189</v>
      </c>
      <c r="K1716" t="s">
        <v>3386</v>
      </c>
      <c r="L1716" t="s">
        <v>3387</v>
      </c>
      <c r="M1716" t="s">
        <v>1318</v>
      </c>
      <c r="N1716" t="s">
        <v>4892</v>
      </c>
      <c r="Q1716" t="s">
        <v>260</v>
      </c>
      <c r="R1716" t="s">
        <v>261</v>
      </c>
      <c r="S1716" t="s">
        <v>261</v>
      </c>
      <c r="T1716" t="s">
        <v>261</v>
      </c>
      <c r="U1716" t="s">
        <v>262</v>
      </c>
      <c r="V1716" t="s">
        <v>262</v>
      </c>
      <c r="W1716" t="s">
        <v>261</v>
      </c>
      <c r="X1716" t="s">
        <v>262</v>
      </c>
      <c r="Y1716" t="s">
        <v>261</v>
      </c>
      <c r="Z1716" t="s">
        <v>409</v>
      </c>
      <c r="AA1716" t="s">
        <v>409</v>
      </c>
      <c r="AB1716" t="s">
        <v>409</v>
      </c>
      <c r="AC1716" t="s">
        <v>409</v>
      </c>
      <c r="AD1716" t="s">
        <v>261</v>
      </c>
      <c r="AH1716" t="s">
        <v>262</v>
      </c>
      <c r="AI1716" t="s">
        <v>262</v>
      </c>
      <c r="AJ1716" t="s">
        <v>261</v>
      </c>
      <c r="AK1716" t="s">
        <v>261</v>
      </c>
      <c r="AM1716" t="s">
        <v>262</v>
      </c>
      <c r="AN1716" t="s">
        <v>4893</v>
      </c>
    </row>
    <row r="1717" spans="1:40" x14ac:dyDescent="0.35">
      <c r="A1717">
        <v>6422585</v>
      </c>
      <c r="B1717" t="s">
        <v>4894</v>
      </c>
      <c r="C1717" t="str">
        <f>"9783319684178"</f>
        <v>9783319684178</v>
      </c>
      <c r="D1717" t="str">
        <f>"9783319684185"</f>
        <v>9783319684185</v>
      </c>
      <c r="E1717" t="s">
        <v>2289</v>
      </c>
      <c r="F1717" t="s">
        <v>2663</v>
      </c>
      <c r="G1717" s="1">
        <v>43126</v>
      </c>
      <c r="H1717" s="1">
        <v>44210</v>
      </c>
      <c r="I1717" t="s">
        <v>189</v>
      </c>
      <c r="L1717" t="s">
        <v>4895</v>
      </c>
      <c r="M1717" t="s">
        <v>964</v>
      </c>
    </row>
    <row r="1718" spans="1:40" x14ac:dyDescent="0.35">
      <c r="A1718">
        <v>6422586</v>
      </c>
      <c r="B1718" t="s">
        <v>4896</v>
      </c>
      <c r="C1718" t="str">
        <f>"9783319077697"</f>
        <v>9783319077697</v>
      </c>
      <c r="D1718" t="str">
        <f>"9783319077703"</f>
        <v>9783319077703</v>
      </c>
      <c r="E1718" t="s">
        <v>2289</v>
      </c>
      <c r="F1718" t="s">
        <v>2290</v>
      </c>
      <c r="G1718" s="1">
        <v>41862</v>
      </c>
      <c r="H1718" s="1">
        <v>44210</v>
      </c>
      <c r="I1718" t="s">
        <v>189</v>
      </c>
      <c r="L1718" t="s">
        <v>4897</v>
      </c>
    </row>
    <row r="1719" spans="1:40" x14ac:dyDescent="0.35">
      <c r="A1719">
        <v>6422587</v>
      </c>
      <c r="B1719" t="s">
        <v>4898</v>
      </c>
      <c r="C1719" t="str">
        <f>"9783319632933"</f>
        <v>9783319632933</v>
      </c>
      <c r="D1719" t="str">
        <f>"9783319632957"</f>
        <v>9783319632957</v>
      </c>
      <c r="E1719" t="s">
        <v>2289</v>
      </c>
      <c r="F1719" t="s">
        <v>2290</v>
      </c>
      <c r="G1719" s="1">
        <v>43055</v>
      </c>
      <c r="H1719" s="1">
        <v>44210</v>
      </c>
      <c r="I1719" t="s">
        <v>189</v>
      </c>
      <c r="K1719" t="s">
        <v>4227</v>
      </c>
      <c r="L1719" t="s">
        <v>4899</v>
      </c>
    </row>
    <row r="1720" spans="1:40" x14ac:dyDescent="0.35">
      <c r="A1720">
        <v>6422588</v>
      </c>
      <c r="B1720" t="s">
        <v>4900</v>
      </c>
      <c r="C1720" t="str">
        <f>"9783319595061"</f>
        <v>9783319595061</v>
      </c>
      <c r="D1720" t="str">
        <f>"9783319595078"</f>
        <v>9783319595078</v>
      </c>
      <c r="E1720" t="s">
        <v>2289</v>
      </c>
      <c r="F1720" t="s">
        <v>2663</v>
      </c>
      <c r="G1720" s="1">
        <v>42992</v>
      </c>
      <c r="H1720" s="1">
        <v>44210</v>
      </c>
      <c r="I1720" t="s">
        <v>189</v>
      </c>
      <c r="L1720" t="s">
        <v>4901</v>
      </c>
      <c r="M1720" t="s">
        <v>210</v>
      </c>
    </row>
    <row r="1721" spans="1:40" x14ac:dyDescent="0.35">
      <c r="A1721">
        <v>6422589</v>
      </c>
      <c r="B1721" t="s">
        <v>4902</v>
      </c>
      <c r="C1721" t="str">
        <f>"9783658195052"</f>
        <v>9783658195052</v>
      </c>
      <c r="D1721" t="str">
        <f>"9783658195069"</f>
        <v>9783658195069</v>
      </c>
      <c r="E1721" t="s">
        <v>3972</v>
      </c>
      <c r="F1721" t="s">
        <v>2290</v>
      </c>
      <c r="G1721" s="1">
        <v>43041</v>
      </c>
      <c r="H1721" s="1">
        <v>44210</v>
      </c>
      <c r="I1721" t="s">
        <v>189</v>
      </c>
      <c r="K1721" t="s">
        <v>4903</v>
      </c>
      <c r="L1721" t="s">
        <v>4904</v>
      </c>
    </row>
    <row r="1722" spans="1:40" x14ac:dyDescent="0.35">
      <c r="A1722">
        <v>6422590</v>
      </c>
      <c r="B1722" t="s">
        <v>4905</v>
      </c>
      <c r="C1722" t="str">
        <f>"9784431556503"</f>
        <v>9784431556503</v>
      </c>
      <c r="D1722" t="str">
        <f>"9784431556510"</f>
        <v>9784431556510</v>
      </c>
      <c r="E1722" t="s">
        <v>4001</v>
      </c>
      <c r="F1722" t="s">
        <v>2290</v>
      </c>
      <c r="G1722" s="1">
        <v>42305</v>
      </c>
      <c r="H1722" s="1">
        <v>44210</v>
      </c>
      <c r="I1722" t="s">
        <v>189</v>
      </c>
      <c r="L1722" t="s">
        <v>4906</v>
      </c>
    </row>
    <row r="1723" spans="1:40" x14ac:dyDescent="0.35">
      <c r="A1723">
        <v>6422591</v>
      </c>
      <c r="B1723" t="s">
        <v>4907</v>
      </c>
      <c r="C1723" t="str">
        <f>"9783319739892"</f>
        <v>9783319739892</v>
      </c>
      <c r="D1723" t="str">
        <f>"9783319739908"</f>
        <v>9783319739908</v>
      </c>
      <c r="E1723" t="s">
        <v>2289</v>
      </c>
      <c r="F1723" t="s">
        <v>2290</v>
      </c>
      <c r="G1723" s="1">
        <v>43182</v>
      </c>
      <c r="H1723" s="1">
        <v>44210</v>
      </c>
      <c r="I1723" t="s">
        <v>189</v>
      </c>
      <c r="L1723" t="s">
        <v>4908</v>
      </c>
      <c r="M1723" t="s">
        <v>379</v>
      </c>
      <c r="N1723" t="s">
        <v>4909</v>
      </c>
      <c r="Q1723" t="s">
        <v>260</v>
      </c>
      <c r="R1723" t="s">
        <v>261</v>
      </c>
      <c r="S1723" t="s">
        <v>261</v>
      </c>
      <c r="T1723" t="s">
        <v>261</v>
      </c>
      <c r="U1723" t="s">
        <v>262</v>
      </c>
      <c r="V1723" t="s">
        <v>262</v>
      </c>
      <c r="W1723" t="s">
        <v>261</v>
      </c>
      <c r="X1723" t="s">
        <v>262</v>
      </c>
      <c r="Y1723" t="s">
        <v>261</v>
      </c>
      <c r="Z1723" t="s">
        <v>409</v>
      </c>
      <c r="AA1723" t="s">
        <v>409</v>
      </c>
      <c r="AB1723" t="s">
        <v>409</v>
      </c>
      <c r="AC1723" t="s">
        <v>409</v>
      </c>
      <c r="AD1723" t="s">
        <v>261</v>
      </c>
      <c r="AH1723" t="s">
        <v>262</v>
      </c>
      <c r="AI1723" t="s">
        <v>262</v>
      </c>
      <c r="AJ1723" t="s">
        <v>261</v>
      </c>
      <c r="AK1723" t="s">
        <v>261</v>
      </c>
      <c r="AM1723" t="s">
        <v>262</v>
      </c>
      <c r="AN1723" t="s">
        <v>4910</v>
      </c>
    </row>
    <row r="1724" spans="1:40" x14ac:dyDescent="0.35">
      <c r="A1724">
        <v>6422592</v>
      </c>
      <c r="B1724" t="s">
        <v>4911</v>
      </c>
      <c r="C1724" t="str">
        <f>"9789400759367"</f>
        <v>9789400759367</v>
      </c>
      <c r="D1724" t="str">
        <f>"9789400759374"</f>
        <v>9789400759374</v>
      </c>
      <c r="E1724" t="s">
        <v>4164</v>
      </c>
      <c r="F1724" t="s">
        <v>2290</v>
      </c>
      <c r="G1724" s="1">
        <v>41250</v>
      </c>
      <c r="H1724" s="1">
        <v>44210</v>
      </c>
      <c r="I1724" t="s">
        <v>189</v>
      </c>
      <c r="K1724" t="s">
        <v>4912</v>
      </c>
      <c r="L1724" t="s">
        <v>4913</v>
      </c>
    </row>
    <row r="1725" spans="1:40" x14ac:dyDescent="0.35">
      <c r="A1725">
        <v>6422593</v>
      </c>
      <c r="B1725" t="s">
        <v>4914</v>
      </c>
      <c r="C1725" t="str">
        <f>"9781484218419"</f>
        <v>9781484218419</v>
      </c>
      <c r="D1725" t="str">
        <f>"9781484218426"</f>
        <v>9781484218426</v>
      </c>
      <c r="E1725" t="s">
        <v>4514</v>
      </c>
      <c r="F1725" t="s">
        <v>4514</v>
      </c>
      <c r="G1725" s="1">
        <v>42685</v>
      </c>
      <c r="H1725" s="1">
        <v>44210</v>
      </c>
      <c r="I1725" t="s">
        <v>189</v>
      </c>
      <c r="L1725" t="s">
        <v>4915</v>
      </c>
    </row>
    <row r="1726" spans="1:40" x14ac:dyDescent="0.35">
      <c r="A1726">
        <v>6422594</v>
      </c>
      <c r="B1726" t="s">
        <v>4916</v>
      </c>
      <c r="C1726" t="str">
        <f>"9783319137186"</f>
        <v>9783319137186</v>
      </c>
      <c r="D1726" t="str">
        <f>"9783319137193"</f>
        <v>9783319137193</v>
      </c>
      <c r="E1726" t="s">
        <v>2289</v>
      </c>
      <c r="F1726" t="s">
        <v>2290</v>
      </c>
      <c r="G1726" s="1">
        <v>42166</v>
      </c>
      <c r="H1726" s="1">
        <v>44210</v>
      </c>
      <c r="I1726" t="s">
        <v>189</v>
      </c>
      <c r="K1726" t="s">
        <v>1208</v>
      </c>
      <c r="L1726" t="s">
        <v>4917</v>
      </c>
    </row>
    <row r="1727" spans="1:40" x14ac:dyDescent="0.35">
      <c r="A1727">
        <v>6422597</v>
      </c>
      <c r="B1727" t="s">
        <v>4918</v>
      </c>
      <c r="C1727" t="str">
        <f>"9783319120898"</f>
        <v>9783319120898</v>
      </c>
      <c r="D1727" t="str">
        <f>"9783319120904"</f>
        <v>9783319120904</v>
      </c>
      <c r="E1727" t="s">
        <v>2289</v>
      </c>
      <c r="F1727" t="s">
        <v>2290</v>
      </c>
      <c r="G1727" s="1">
        <v>41991</v>
      </c>
      <c r="H1727" s="1">
        <v>44210</v>
      </c>
      <c r="I1727" t="s">
        <v>189</v>
      </c>
      <c r="L1727" t="s">
        <v>4919</v>
      </c>
    </row>
    <row r="1728" spans="1:40" x14ac:dyDescent="0.35">
      <c r="A1728">
        <v>6422598</v>
      </c>
      <c r="B1728" t="s">
        <v>4920</v>
      </c>
      <c r="C1728" t="str">
        <f>"9783319606200"</f>
        <v>9783319606200</v>
      </c>
      <c r="D1728" t="str">
        <f>"9783319606217"</f>
        <v>9783319606217</v>
      </c>
      <c r="E1728" t="s">
        <v>2289</v>
      </c>
      <c r="F1728" t="s">
        <v>2663</v>
      </c>
      <c r="G1728" s="1">
        <v>42986</v>
      </c>
      <c r="H1728" s="1">
        <v>44210</v>
      </c>
      <c r="I1728" t="s">
        <v>189</v>
      </c>
      <c r="K1728" t="s">
        <v>4921</v>
      </c>
      <c r="L1728" t="s">
        <v>4922</v>
      </c>
    </row>
    <row r="1729" spans="1:40" x14ac:dyDescent="0.35">
      <c r="A1729">
        <v>6422599</v>
      </c>
      <c r="B1729" t="s">
        <v>4923</v>
      </c>
      <c r="C1729" t="str">
        <f>"9783642303814"</f>
        <v>9783642303814</v>
      </c>
      <c r="D1729" t="str">
        <f>"9783642303821"</f>
        <v>9783642303821</v>
      </c>
      <c r="E1729" t="s">
        <v>4047</v>
      </c>
      <c r="F1729" t="s">
        <v>2290</v>
      </c>
      <c r="G1729" s="1">
        <v>41040</v>
      </c>
      <c r="H1729" s="1">
        <v>44210</v>
      </c>
      <c r="I1729" t="s">
        <v>189</v>
      </c>
      <c r="K1729" t="s">
        <v>4008</v>
      </c>
      <c r="L1729" t="s">
        <v>4924</v>
      </c>
    </row>
    <row r="1730" spans="1:40" x14ac:dyDescent="0.35">
      <c r="A1730">
        <v>6422600</v>
      </c>
      <c r="B1730" t="s">
        <v>4925</v>
      </c>
      <c r="C1730" t="str">
        <f>"9783319939339"</f>
        <v>9783319939339</v>
      </c>
      <c r="D1730" t="str">
        <f>"9783319939353"</f>
        <v>9783319939353</v>
      </c>
      <c r="E1730" t="s">
        <v>2289</v>
      </c>
      <c r="F1730" t="s">
        <v>2290</v>
      </c>
      <c r="G1730" s="1">
        <v>43389</v>
      </c>
      <c r="H1730" s="1">
        <v>44210</v>
      </c>
      <c r="I1730" t="s">
        <v>189</v>
      </c>
      <c r="K1730" t="s">
        <v>4071</v>
      </c>
      <c r="L1730" t="s">
        <v>4926</v>
      </c>
      <c r="M1730" t="s">
        <v>582</v>
      </c>
      <c r="N1730" t="s">
        <v>4927</v>
      </c>
      <c r="Q1730" t="s">
        <v>260</v>
      </c>
      <c r="R1730" t="s">
        <v>261</v>
      </c>
      <c r="S1730" t="s">
        <v>261</v>
      </c>
      <c r="T1730" t="s">
        <v>261</v>
      </c>
      <c r="U1730" t="s">
        <v>262</v>
      </c>
      <c r="V1730" t="s">
        <v>262</v>
      </c>
      <c r="W1730" t="s">
        <v>261</v>
      </c>
      <c r="X1730" t="s">
        <v>262</v>
      </c>
      <c r="Y1730" t="s">
        <v>261</v>
      </c>
      <c r="Z1730" t="s">
        <v>409</v>
      </c>
      <c r="AA1730" t="s">
        <v>409</v>
      </c>
      <c r="AB1730" t="s">
        <v>409</v>
      </c>
      <c r="AC1730" t="s">
        <v>409</v>
      </c>
      <c r="AD1730" t="s">
        <v>261</v>
      </c>
      <c r="AH1730" t="s">
        <v>262</v>
      </c>
      <c r="AI1730" t="s">
        <v>262</v>
      </c>
      <c r="AJ1730" t="s">
        <v>261</v>
      </c>
      <c r="AK1730" t="s">
        <v>261</v>
      </c>
      <c r="AM1730" t="s">
        <v>262</v>
      </c>
      <c r="AN1730" t="s">
        <v>4928</v>
      </c>
    </row>
    <row r="1731" spans="1:40" x14ac:dyDescent="0.35">
      <c r="A1731">
        <v>6422601</v>
      </c>
      <c r="B1731" t="s">
        <v>4929</v>
      </c>
      <c r="C1731" t="str">
        <f>"9783319446530"</f>
        <v>9783319446530</v>
      </c>
      <c r="D1731" t="str">
        <f>"9783319446547"</f>
        <v>9783319446547</v>
      </c>
      <c r="E1731" t="s">
        <v>2289</v>
      </c>
      <c r="F1731" t="s">
        <v>2290</v>
      </c>
      <c r="G1731" s="1">
        <v>42759</v>
      </c>
      <c r="H1731" s="1">
        <v>44210</v>
      </c>
      <c r="I1731" t="s">
        <v>189</v>
      </c>
      <c r="K1731" t="s">
        <v>4864</v>
      </c>
      <c r="L1731" t="s">
        <v>4930</v>
      </c>
    </row>
    <row r="1732" spans="1:40" x14ac:dyDescent="0.35">
      <c r="A1732">
        <v>6422602</v>
      </c>
      <c r="B1732" t="s">
        <v>4931</v>
      </c>
      <c r="C1732" t="str">
        <f>"9789811015595"</f>
        <v>9789811015595</v>
      </c>
      <c r="D1732" t="str">
        <f>"9789811015601"</f>
        <v>9789811015601</v>
      </c>
      <c r="E1732" t="s">
        <v>3404</v>
      </c>
      <c r="F1732" t="s">
        <v>2290</v>
      </c>
      <c r="G1732" s="1">
        <v>42714</v>
      </c>
      <c r="H1732" s="1">
        <v>44210</v>
      </c>
      <c r="I1732" t="s">
        <v>189</v>
      </c>
      <c r="L1732" t="s">
        <v>4932</v>
      </c>
    </row>
    <row r="1733" spans="1:40" x14ac:dyDescent="0.35">
      <c r="A1733">
        <v>6422603</v>
      </c>
      <c r="B1733" t="s">
        <v>4933</v>
      </c>
      <c r="C1733" t="str">
        <f>"9781137529619"</f>
        <v>9781137529619</v>
      </c>
      <c r="D1733" t="str">
        <f>"9781137529626"</f>
        <v>9781137529626</v>
      </c>
      <c r="E1733" t="s">
        <v>4183</v>
      </c>
      <c r="F1733" t="s">
        <v>2663</v>
      </c>
      <c r="G1733" s="1">
        <v>42228</v>
      </c>
      <c r="H1733" s="1">
        <v>44210</v>
      </c>
      <c r="I1733" t="s">
        <v>189</v>
      </c>
      <c r="K1733" t="s">
        <v>4168</v>
      </c>
      <c r="L1733" t="s">
        <v>4934</v>
      </c>
      <c r="M1733" t="s">
        <v>339</v>
      </c>
      <c r="N1733" t="s">
        <v>4935</v>
      </c>
      <c r="Q1733" t="s">
        <v>260</v>
      </c>
      <c r="R1733" t="s">
        <v>261</v>
      </c>
      <c r="S1733" t="s">
        <v>261</v>
      </c>
      <c r="T1733" t="s">
        <v>261</v>
      </c>
      <c r="U1733" t="s">
        <v>262</v>
      </c>
      <c r="V1733" t="s">
        <v>262</v>
      </c>
      <c r="W1733" t="s">
        <v>261</v>
      </c>
      <c r="X1733" t="s">
        <v>262</v>
      </c>
      <c r="Y1733" t="s">
        <v>261</v>
      </c>
      <c r="Z1733" t="s">
        <v>409</v>
      </c>
      <c r="AA1733" t="s">
        <v>409</v>
      </c>
      <c r="AB1733" t="s">
        <v>409</v>
      </c>
      <c r="AC1733" t="s">
        <v>409</v>
      </c>
      <c r="AD1733" t="s">
        <v>261</v>
      </c>
      <c r="AH1733" t="s">
        <v>262</v>
      </c>
      <c r="AI1733" t="s">
        <v>262</v>
      </c>
      <c r="AJ1733" t="s">
        <v>261</v>
      </c>
      <c r="AK1733" t="s">
        <v>261</v>
      </c>
      <c r="AM1733" t="s">
        <v>262</v>
      </c>
      <c r="AN1733" t="s">
        <v>4936</v>
      </c>
    </row>
    <row r="1734" spans="1:40" x14ac:dyDescent="0.35">
      <c r="A1734">
        <v>6422604</v>
      </c>
      <c r="B1734" t="s">
        <v>4937</v>
      </c>
      <c r="C1734" t="str">
        <f>"9783319187679"</f>
        <v>9783319187679</v>
      </c>
      <c r="D1734" t="str">
        <f>"9783319208770"</f>
        <v>9783319208770</v>
      </c>
      <c r="E1734" t="s">
        <v>2289</v>
      </c>
      <c r="F1734" t="s">
        <v>2290</v>
      </c>
      <c r="G1734" s="1">
        <v>42299</v>
      </c>
      <c r="H1734" s="1">
        <v>44210</v>
      </c>
      <c r="I1734" t="s">
        <v>189</v>
      </c>
      <c r="L1734" t="s">
        <v>4252</v>
      </c>
    </row>
    <row r="1735" spans="1:40" x14ac:dyDescent="0.35">
      <c r="A1735">
        <v>6422605</v>
      </c>
      <c r="B1735" t="s">
        <v>4938</v>
      </c>
      <c r="C1735" t="str">
        <f>"9783319129181"</f>
        <v>9783319129181</v>
      </c>
      <c r="D1735" t="str">
        <f>"9783319129198"</f>
        <v>9783319129198</v>
      </c>
      <c r="E1735" t="s">
        <v>2289</v>
      </c>
      <c r="F1735" t="s">
        <v>2290</v>
      </c>
      <c r="G1735" s="1">
        <v>42075</v>
      </c>
      <c r="H1735" s="1">
        <v>44210</v>
      </c>
      <c r="I1735" t="s">
        <v>189</v>
      </c>
      <c r="L1735" t="s">
        <v>4939</v>
      </c>
      <c r="M1735" t="s">
        <v>323</v>
      </c>
      <c r="N1735" t="s">
        <v>4748</v>
      </c>
      <c r="O1735" s="2">
        <v>37817942094</v>
      </c>
      <c r="Q1735" t="s">
        <v>260</v>
      </c>
      <c r="R1735" t="s">
        <v>261</v>
      </c>
      <c r="S1735" t="s">
        <v>261</v>
      </c>
      <c r="T1735" t="s">
        <v>261</v>
      </c>
      <c r="U1735" t="s">
        <v>262</v>
      </c>
      <c r="V1735" t="s">
        <v>262</v>
      </c>
      <c r="W1735" t="s">
        <v>261</v>
      </c>
      <c r="X1735" t="s">
        <v>262</v>
      </c>
      <c r="Y1735" t="s">
        <v>261</v>
      </c>
      <c r="Z1735" t="s">
        <v>409</v>
      </c>
      <c r="AA1735" t="s">
        <v>409</v>
      </c>
      <c r="AB1735" t="s">
        <v>409</v>
      </c>
      <c r="AC1735" t="s">
        <v>409</v>
      </c>
      <c r="AD1735" t="s">
        <v>261</v>
      </c>
      <c r="AH1735" t="s">
        <v>262</v>
      </c>
      <c r="AI1735" t="s">
        <v>262</v>
      </c>
      <c r="AJ1735" t="s">
        <v>261</v>
      </c>
      <c r="AK1735" t="s">
        <v>261</v>
      </c>
      <c r="AM1735" t="s">
        <v>262</v>
      </c>
      <c r="AN1735" t="s">
        <v>4940</v>
      </c>
    </row>
    <row r="1736" spans="1:40" x14ac:dyDescent="0.35">
      <c r="A1736">
        <v>6422606</v>
      </c>
      <c r="B1736" t="s">
        <v>4941</v>
      </c>
      <c r="C1736" t="str">
        <f>"9783642256424"</f>
        <v>9783642256424</v>
      </c>
      <c r="D1736" t="str">
        <f>"9783642256431"</f>
        <v>9783642256431</v>
      </c>
      <c r="E1736" t="s">
        <v>4047</v>
      </c>
      <c r="F1736" t="s">
        <v>2290</v>
      </c>
      <c r="G1736" s="1">
        <v>41647</v>
      </c>
      <c r="H1736" s="1">
        <v>44210</v>
      </c>
      <c r="I1736" t="s">
        <v>189</v>
      </c>
      <c r="K1736" t="s">
        <v>4942</v>
      </c>
      <c r="L1736" t="s">
        <v>4943</v>
      </c>
    </row>
    <row r="1737" spans="1:40" x14ac:dyDescent="0.35">
      <c r="A1737">
        <v>6422607</v>
      </c>
      <c r="B1737" t="s">
        <v>4944</v>
      </c>
      <c r="C1737" t="str">
        <f>"9781137487520"</f>
        <v>9781137487520</v>
      </c>
      <c r="D1737" t="str">
        <f>"9781137487537"</f>
        <v>9781137487537</v>
      </c>
      <c r="E1737" t="s">
        <v>4183</v>
      </c>
      <c r="F1737" t="s">
        <v>2663</v>
      </c>
      <c r="G1737" s="1">
        <v>42305</v>
      </c>
      <c r="H1737" s="1">
        <v>44210</v>
      </c>
      <c r="I1737" t="s">
        <v>189</v>
      </c>
      <c r="K1737" t="s">
        <v>4945</v>
      </c>
      <c r="L1737" t="s">
        <v>4946</v>
      </c>
      <c r="M1737" t="s">
        <v>219</v>
      </c>
    </row>
    <row r="1738" spans="1:40" x14ac:dyDescent="0.35">
      <c r="A1738">
        <v>6422608</v>
      </c>
      <c r="B1738" t="s">
        <v>4947</v>
      </c>
      <c r="C1738" t="str">
        <f>"9784431551102"</f>
        <v>9784431551102</v>
      </c>
      <c r="D1738" t="str">
        <f>"9784431551119"</f>
        <v>9784431551119</v>
      </c>
      <c r="E1738" t="s">
        <v>4001</v>
      </c>
      <c r="F1738" t="s">
        <v>2290</v>
      </c>
      <c r="G1738" s="1">
        <v>41962</v>
      </c>
      <c r="H1738" s="1">
        <v>44210</v>
      </c>
      <c r="I1738" t="s">
        <v>189</v>
      </c>
      <c r="L1738" t="s">
        <v>4948</v>
      </c>
      <c r="M1738" t="s">
        <v>535</v>
      </c>
    </row>
    <row r="1739" spans="1:40" x14ac:dyDescent="0.35">
      <c r="A1739">
        <v>6422610</v>
      </c>
      <c r="B1739" t="s">
        <v>4949</v>
      </c>
      <c r="C1739" t="str">
        <f>"9783642318290"</f>
        <v>9783642318290</v>
      </c>
      <c r="D1739" t="str">
        <f>"9783642318306"</f>
        <v>9783642318306</v>
      </c>
      <c r="E1739" t="s">
        <v>4047</v>
      </c>
      <c r="F1739" t="s">
        <v>2290</v>
      </c>
      <c r="G1739" s="1">
        <v>41095</v>
      </c>
      <c r="H1739" s="1">
        <v>44210</v>
      </c>
      <c r="I1739" t="s">
        <v>189</v>
      </c>
      <c r="K1739" t="s">
        <v>4008</v>
      </c>
      <c r="L1739" t="s">
        <v>4950</v>
      </c>
      <c r="M1739" t="s">
        <v>535</v>
      </c>
    </row>
    <row r="1740" spans="1:40" x14ac:dyDescent="0.35">
      <c r="A1740">
        <v>6422611</v>
      </c>
      <c r="B1740" t="s">
        <v>4951</v>
      </c>
      <c r="C1740" t="str">
        <f>"9783319927213"</f>
        <v>9783319927213</v>
      </c>
      <c r="D1740" t="str">
        <f>"9783319927220"</f>
        <v>9783319927220</v>
      </c>
      <c r="E1740" t="s">
        <v>2289</v>
      </c>
      <c r="F1740" t="s">
        <v>2290</v>
      </c>
      <c r="G1740" s="1">
        <v>43399</v>
      </c>
      <c r="H1740" s="1">
        <v>44210</v>
      </c>
      <c r="I1740" t="s">
        <v>189</v>
      </c>
      <c r="K1740" t="s">
        <v>4952</v>
      </c>
      <c r="L1740" t="s">
        <v>4953</v>
      </c>
    </row>
    <row r="1741" spans="1:40" x14ac:dyDescent="0.35">
      <c r="A1741">
        <v>6422612</v>
      </c>
      <c r="B1741" t="s">
        <v>4954</v>
      </c>
      <c r="C1741" t="str">
        <f>"9783319417745"</f>
        <v>9783319417745</v>
      </c>
      <c r="D1741" t="str">
        <f>"9783319417769"</f>
        <v>9783319417769</v>
      </c>
      <c r="E1741" t="s">
        <v>2289</v>
      </c>
      <c r="F1741" t="s">
        <v>2290</v>
      </c>
      <c r="G1741" s="1">
        <v>42685</v>
      </c>
      <c r="H1741" s="1">
        <v>44210</v>
      </c>
      <c r="I1741" t="s">
        <v>189</v>
      </c>
      <c r="K1741" t="s">
        <v>1208</v>
      </c>
      <c r="L1741" t="s">
        <v>4955</v>
      </c>
    </row>
    <row r="1742" spans="1:40" x14ac:dyDescent="0.35">
      <c r="A1742">
        <v>6422613</v>
      </c>
      <c r="B1742" t="s">
        <v>4956</v>
      </c>
      <c r="C1742" t="str">
        <f>"9789812872838"</f>
        <v>9789812872838</v>
      </c>
      <c r="D1742" t="str">
        <f>"9789812872845"</f>
        <v>9789812872845</v>
      </c>
      <c r="E1742" t="s">
        <v>3404</v>
      </c>
      <c r="F1742" t="s">
        <v>2290</v>
      </c>
      <c r="G1742" s="1">
        <v>42019</v>
      </c>
      <c r="H1742" s="1">
        <v>44210</v>
      </c>
      <c r="I1742" t="s">
        <v>189</v>
      </c>
      <c r="L1742" t="s">
        <v>4957</v>
      </c>
    </row>
    <row r="1743" spans="1:40" x14ac:dyDescent="0.35">
      <c r="A1743">
        <v>6422614</v>
      </c>
      <c r="B1743" t="s">
        <v>4958</v>
      </c>
      <c r="C1743" t="str">
        <f>"9783319200941"</f>
        <v>9783319200941</v>
      </c>
      <c r="D1743" t="str">
        <f>"9783319200958"</f>
        <v>9783319200958</v>
      </c>
      <c r="E1743" t="s">
        <v>2289</v>
      </c>
      <c r="F1743" t="s">
        <v>2290</v>
      </c>
      <c r="G1743" s="1">
        <v>42243</v>
      </c>
      <c r="H1743" s="1">
        <v>44210</v>
      </c>
      <c r="I1743" t="s">
        <v>189</v>
      </c>
      <c r="K1743" t="s">
        <v>1208</v>
      </c>
      <c r="L1743" t="s">
        <v>4959</v>
      </c>
    </row>
    <row r="1744" spans="1:40" x14ac:dyDescent="0.35">
      <c r="A1744">
        <v>6422616</v>
      </c>
      <c r="B1744" t="s">
        <v>4960</v>
      </c>
      <c r="C1744" t="str">
        <f>"9783319146928"</f>
        <v>9783319146928</v>
      </c>
      <c r="D1744" t="str">
        <f>"9783319146935"</f>
        <v>9783319146935</v>
      </c>
      <c r="E1744" t="s">
        <v>2289</v>
      </c>
      <c r="F1744" t="s">
        <v>2290</v>
      </c>
      <c r="G1744" s="1">
        <v>42041</v>
      </c>
      <c r="H1744" s="1">
        <v>44210</v>
      </c>
      <c r="I1744" t="s">
        <v>189</v>
      </c>
      <c r="L1744" t="s">
        <v>4961</v>
      </c>
    </row>
    <row r="1745" spans="1:40" x14ac:dyDescent="0.35">
      <c r="A1745">
        <v>6422617</v>
      </c>
      <c r="B1745" t="s">
        <v>4962</v>
      </c>
      <c r="C1745" t="str">
        <f>"9783662582244"</f>
        <v>9783662582244</v>
      </c>
      <c r="D1745" t="str">
        <f>"9783662582251"</f>
        <v>9783662582251</v>
      </c>
      <c r="E1745" t="s">
        <v>4047</v>
      </c>
      <c r="F1745" t="s">
        <v>2290</v>
      </c>
      <c r="G1745" s="1">
        <v>43550</v>
      </c>
      <c r="H1745" s="1">
        <v>44210</v>
      </c>
      <c r="I1745" t="s">
        <v>189</v>
      </c>
      <c r="L1745" t="s">
        <v>63</v>
      </c>
    </row>
    <row r="1746" spans="1:40" x14ac:dyDescent="0.35">
      <c r="A1746">
        <v>6422618</v>
      </c>
      <c r="B1746" t="s">
        <v>4963</v>
      </c>
      <c r="C1746" t="str">
        <f>"9783319390949"</f>
        <v>9783319390949</v>
      </c>
      <c r="D1746" t="str">
        <f>"9783319390956"</f>
        <v>9783319390956</v>
      </c>
      <c r="E1746" t="s">
        <v>2289</v>
      </c>
      <c r="F1746" t="s">
        <v>2290</v>
      </c>
      <c r="G1746" s="1">
        <v>42619</v>
      </c>
      <c r="H1746" s="1">
        <v>44210</v>
      </c>
      <c r="I1746" t="s">
        <v>189</v>
      </c>
      <c r="L1746" t="s">
        <v>4964</v>
      </c>
    </row>
    <row r="1747" spans="1:40" x14ac:dyDescent="0.35">
      <c r="A1747">
        <v>6422619</v>
      </c>
      <c r="B1747" t="s">
        <v>4965</v>
      </c>
      <c r="C1747" t="str">
        <f>"9781137448873"</f>
        <v>9781137448873</v>
      </c>
      <c r="D1747" t="str">
        <f>"9781137448880"</f>
        <v>9781137448880</v>
      </c>
      <c r="E1747" t="s">
        <v>4183</v>
      </c>
      <c r="F1747" t="s">
        <v>2663</v>
      </c>
      <c r="G1747" s="1">
        <v>42249</v>
      </c>
      <c r="H1747" s="1">
        <v>44210</v>
      </c>
      <c r="I1747" t="s">
        <v>189</v>
      </c>
      <c r="K1747" t="s">
        <v>4168</v>
      </c>
      <c r="L1747" t="s">
        <v>4966</v>
      </c>
      <c r="M1747" t="s">
        <v>535</v>
      </c>
    </row>
    <row r="1748" spans="1:40" x14ac:dyDescent="0.35">
      <c r="A1748">
        <v>6422620</v>
      </c>
      <c r="B1748" t="s">
        <v>4967</v>
      </c>
      <c r="C1748" t="str">
        <f>"9781137500267"</f>
        <v>9781137500267</v>
      </c>
      <c r="D1748" t="str">
        <f>"9781137500281"</f>
        <v>9781137500281</v>
      </c>
      <c r="E1748" t="s">
        <v>4183</v>
      </c>
      <c r="F1748" t="s">
        <v>2663</v>
      </c>
      <c r="G1748" s="1">
        <v>41967</v>
      </c>
      <c r="H1748" s="1">
        <v>44210</v>
      </c>
      <c r="I1748" t="s">
        <v>189</v>
      </c>
      <c r="L1748" t="s">
        <v>4968</v>
      </c>
    </row>
    <row r="1749" spans="1:40" x14ac:dyDescent="0.35">
      <c r="A1749">
        <v>6422621</v>
      </c>
      <c r="B1749" t="s">
        <v>4969</v>
      </c>
      <c r="C1749" t="str">
        <f>"9783662529041"</f>
        <v>9783662529041</v>
      </c>
      <c r="D1749" t="str">
        <f>"9783662532607"</f>
        <v>9783662532607</v>
      </c>
      <c r="E1749" t="s">
        <v>4047</v>
      </c>
      <c r="F1749" t="s">
        <v>2290</v>
      </c>
      <c r="G1749" s="1">
        <v>42625</v>
      </c>
      <c r="H1749" s="1">
        <v>44210</v>
      </c>
      <c r="I1749" t="s">
        <v>189</v>
      </c>
      <c r="L1749" t="s">
        <v>4845</v>
      </c>
    </row>
    <row r="1750" spans="1:40" x14ac:dyDescent="0.35">
      <c r="A1750">
        <v>6422622</v>
      </c>
      <c r="B1750" t="s">
        <v>4970</v>
      </c>
      <c r="C1750" t="str">
        <f>"9789811084874"</f>
        <v>9789811084874</v>
      </c>
      <c r="D1750" t="str">
        <f>"9789811084881"</f>
        <v>9789811084881</v>
      </c>
      <c r="E1750" t="s">
        <v>3404</v>
      </c>
      <c r="F1750" t="s">
        <v>2290</v>
      </c>
      <c r="G1750" s="1">
        <v>43203</v>
      </c>
      <c r="H1750" s="1">
        <v>44210</v>
      </c>
      <c r="I1750" t="s">
        <v>189</v>
      </c>
      <c r="L1750" t="s">
        <v>4971</v>
      </c>
    </row>
    <row r="1751" spans="1:40" x14ac:dyDescent="0.35">
      <c r="A1751">
        <v>6422625</v>
      </c>
      <c r="B1751" t="s">
        <v>4972</v>
      </c>
      <c r="C1751" t="str">
        <f>"9789811310010"</f>
        <v>9789811310010</v>
      </c>
      <c r="D1751" t="str">
        <f>"9789811310027"</f>
        <v>9789811310027</v>
      </c>
      <c r="E1751" t="s">
        <v>3404</v>
      </c>
      <c r="F1751" t="s">
        <v>2290</v>
      </c>
      <c r="G1751" s="1">
        <v>43383</v>
      </c>
      <c r="H1751" s="1">
        <v>44210</v>
      </c>
      <c r="I1751" t="s">
        <v>189</v>
      </c>
      <c r="L1751" t="s">
        <v>4973</v>
      </c>
    </row>
    <row r="1752" spans="1:40" x14ac:dyDescent="0.35">
      <c r="A1752">
        <v>6422626</v>
      </c>
      <c r="B1752" t="s">
        <v>4974</v>
      </c>
      <c r="C1752" t="str">
        <f>"9783319017532"</f>
        <v>9783319017532</v>
      </c>
      <c r="D1752" t="str">
        <f>"9783319017549"</f>
        <v>9783319017549</v>
      </c>
      <c r="E1752" t="s">
        <v>2289</v>
      </c>
      <c r="F1752" t="s">
        <v>2290</v>
      </c>
      <c r="G1752" s="1">
        <v>41732</v>
      </c>
      <c r="H1752" s="1">
        <v>44210</v>
      </c>
      <c r="I1752" t="s">
        <v>189</v>
      </c>
      <c r="K1752" t="s">
        <v>4975</v>
      </c>
      <c r="L1752" t="s">
        <v>4976</v>
      </c>
    </row>
    <row r="1753" spans="1:40" x14ac:dyDescent="0.35">
      <c r="A1753">
        <v>6422627</v>
      </c>
      <c r="B1753" t="s">
        <v>4977</v>
      </c>
      <c r="C1753" t="str">
        <f>"9783642548116"</f>
        <v>9783642548116</v>
      </c>
      <c r="D1753" t="str">
        <f>"9783642548123"</f>
        <v>9783642548123</v>
      </c>
      <c r="E1753" t="s">
        <v>4047</v>
      </c>
      <c r="F1753" t="s">
        <v>2290</v>
      </c>
      <c r="G1753" s="1">
        <v>41925</v>
      </c>
      <c r="H1753" s="1">
        <v>44210</v>
      </c>
      <c r="I1753" t="s">
        <v>189</v>
      </c>
      <c r="L1753" t="s">
        <v>4978</v>
      </c>
    </row>
    <row r="1754" spans="1:40" x14ac:dyDescent="0.35">
      <c r="A1754">
        <v>6422630</v>
      </c>
      <c r="B1754" t="s">
        <v>4979</v>
      </c>
      <c r="C1754" t="str">
        <f>"9783319137902"</f>
        <v>9783319137902</v>
      </c>
      <c r="D1754" t="str">
        <f>"9783319137919"</f>
        <v>9783319137919</v>
      </c>
      <c r="E1754" t="s">
        <v>2289</v>
      </c>
      <c r="F1754" t="s">
        <v>2290</v>
      </c>
      <c r="G1754" s="1">
        <v>42080</v>
      </c>
      <c r="H1754" s="1">
        <v>44210</v>
      </c>
      <c r="I1754" t="s">
        <v>189</v>
      </c>
      <c r="L1754" t="s">
        <v>4980</v>
      </c>
    </row>
    <row r="1755" spans="1:40" x14ac:dyDescent="0.35">
      <c r="A1755">
        <v>6422631</v>
      </c>
      <c r="B1755" t="s">
        <v>4981</v>
      </c>
      <c r="C1755" t="str">
        <f>"9783319162553"</f>
        <v>9783319162553</v>
      </c>
      <c r="D1755" t="str">
        <f>"9783319162560"</f>
        <v>9783319162560</v>
      </c>
      <c r="E1755" t="s">
        <v>2289</v>
      </c>
      <c r="F1755" t="s">
        <v>2290</v>
      </c>
      <c r="G1755" s="1">
        <v>42179</v>
      </c>
      <c r="H1755" s="1">
        <v>44210</v>
      </c>
      <c r="I1755" t="s">
        <v>189</v>
      </c>
      <c r="K1755" t="s">
        <v>1208</v>
      </c>
      <c r="L1755" t="s">
        <v>4982</v>
      </c>
    </row>
    <row r="1756" spans="1:40" x14ac:dyDescent="0.35">
      <c r="A1756">
        <v>6422632</v>
      </c>
      <c r="B1756" t="s">
        <v>4983</v>
      </c>
      <c r="C1756" t="str">
        <f>"9783319191676"</f>
        <v>9783319191676</v>
      </c>
      <c r="D1756" t="str">
        <f>"9783319191683"</f>
        <v>9783319191683</v>
      </c>
      <c r="E1756" t="s">
        <v>2289</v>
      </c>
      <c r="F1756" t="s">
        <v>2290</v>
      </c>
      <c r="G1756" s="1">
        <v>42339</v>
      </c>
      <c r="H1756" s="1">
        <v>44210</v>
      </c>
      <c r="I1756" t="s">
        <v>189</v>
      </c>
      <c r="L1756" t="s">
        <v>4984</v>
      </c>
    </row>
    <row r="1757" spans="1:40" x14ac:dyDescent="0.35">
      <c r="A1757">
        <v>6422633</v>
      </c>
      <c r="B1757" t="s">
        <v>4985</v>
      </c>
      <c r="C1757" t="str">
        <f>"9783319995953"</f>
        <v>9783319995953</v>
      </c>
      <c r="D1757" t="str">
        <f>"9783319995960"</f>
        <v>9783319995960</v>
      </c>
      <c r="E1757" t="s">
        <v>2289</v>
      </c>
      <c r="F1757" t="s">
        <v>2290</v>
      </c>
      <c r="G1757" s="1">
        <v>43377</v>
      </c>
      <c r="H1757" s="1">
        <v>44210</v>
      </c>
      <c r="I1757" t="s">
        <v>189</v>
      </c>
      <c r="K1757" t="s">
        <v>1208</v>
      </c>
      <c r="L1757" t="s">
        <v>4986</v>
      </c>
      <c r="M1757" t="s">
        <v>329</v>
      </c>
      <c r="N1757" t="s">
        <v>4064</v>
      </c>
      <c r="Q1757" t="s">
        <v>260</v>
      </c>
      <c r="R1757" t="s">
        <v>261</v>
      </c>
      <c r="S1757" t="s">
        <v>261</v>
      </c>
      <c r="T1757" t="s">
        <v>261</v>
      </c>
      <c r="U1757" t="s">
        <v>262</v>
      </c>
      <c r="V1757" t="s">
        <v>262</v>
      </c>
      <c r="W1757" t="s">
        <v>261</v>
      </c>
      <c r="X1757" t="s">
        <v>262</v>
      </c>
      <c r="Y1757" t="s">
        <v>261</v>
      </c>
      <c r="Z1757" t="s">
        <v>409</v>
      </c>
      <c r="AA1757" t="s">
        <v>409</v>
      </c>
      <c r="AB1757" t="s">
        <v>409</v>
      </c>
      <c r="AC1757" t="s">
        <v>409</v>
      </c>
      <c r="AD1757" t="s">
        <v>261</v>
      </c>
      <c r="AH1757" t="s">
        <v>262</v>
      </c>
      <c r="AI1757" t="s">
        <v>262</v>
      </c>
      <c r="AJ1757" t="s">
        <v>261</v>
      </c>
      <c r="AK1757" t="s">
        <v>261</v>
      </c>
      <c r="AM1757" t="s">
        <v>262</v>
      </c>
      <c r="AN1757" t="s">
        <v>4987</v>
      </c>
    </row>
    <row r="1758" spans="1:40" x14ac:dyDescent="0.35">
      <c r="A1758">
        <v>6422634</v>
      </c>
      <c r="B1758" t="s">
        <v>4988</v>
      </c>
      <c r="C1758" t="str">
        <f>"9789811076169"</f>
        <v>9789811076169</v>
      </c>
      <c r="D1758" t="str">
        <f>"9789811076176"</f>
        <v>9789811076176</v>
      </c>
      <c r="E1758" t="s">
        <v>3404</v>
      </c>
      <c r="F1758" t="s">
        <v>2290</v>
      </c>
      <c r="G1758" s="1">
        <v>43124</v>
      </c>
      <c r="H1758" s="1">
        <v>44210</v>
      </c>
      <c r="I1758" t="s">
        <v>189</v>
      </c>
      <c r="L1758" t="s">
        <v>4989</v>
      </c>
      <c r="M1758" t="s">
        <v>847</v>
      </c>
    </row>
    <row r="1759" spans="1:40" x14ac:dyDescent="0.35">
      <c r="A1759">
        <v>6422635</v>
      </c>
      <c r="B1759" t="s">
        <v>4990</v>
      </c>
      <c r="C1759" t="str">
        <f>"9783662514191"</f>
        <v>9783662514191</v>
      </c>
      <c r="D1759" t="str">
        <f>"9783662514207"</f>
        <v>9783662514207</v>
      </c>
      <c r="E1759" t="s">
        <v>4047</v>
      </c>
      <c r="F1759" t="s">
        <v>2290</v>
      </c>
      <c r="G1759" s="1">
        <v>42642</v>
      </c>
      <c r="H1759" s="1">
        <v>44210</v>
      </c>
      <c r="I1759" t="s">
        <v>189</v>
      </c>
      <c r="J1759">
        <v>6</v>
      </c>
      <c r="L1759" t="s">
        <v>4991</v>
      </c>
    </row>
    <row r="1760" spans="1:40" x14ac:dyDescent="0.35">
      <c r="A1760">
        <v>6422636</v>
      </c>
      <c r="B1760" t="s">
        <v>4992</v>
      </c>
      <c r="C1760" t="str">
        <f>"9783319169637"</f>
        <v>9783319169637</v>
      </c>
      <c r="D1760" t="str">
        <f>"9783319169644"</f>
        <v>9783319169644</v>
      </c>
      <c r="E1760" t="s">
        <v>2289</v>
      </c>
      <c r="F1760" t="s">
        <v>2290</v>
      </c>
      <c r="G1760" s="1">
        <v>42258</v>
      </c>
      <c r="H1760" s="1">
        <v>44210</v>
      </c>
      <c r="I1760" t="s">
        <v>189</v>
      </c>
      <c r="K1760" t="s">
        <v>4993</v>
      </c>
      <c r="L1760" t="s">
        <v>4994</v>
      </c>
      <c r="M1760" t="s">
        <v>847</v>
      </c>
    </row>
    <row r="1761" spans="1:40" x14ac:dyDescent="0.35">
      <c r="A1761">
        <v>6422637</v>
      </c>
      <c r="B1761" t="s">
        <v>4995</v>
      </c>
      <c r="C1761" t="str">
        <f>"9783319418131"</f>
        <v>9783319418131</v>
      </c>
      <c r="D1761" t="str">
        <f>"9783319418148"</f>
        <v>9783319418148</v>
      </c>
      <c r="E1761" t="s">
        <v>2289</v>
      </c>
      <c r="F1761" t="s">
        <v>2290</v>
      </c>
      <c r="G1761" s="1">
        <v>42570</v>
      </c>
      <c r="H1761" s="1">
        <v>44210</v>
      </c>
      <c r="I1761" t="s">
        <v>189</v>
      </c>
      <c r="K1761" t="s">
        <v>4712</v>
      </c>
      <c r="L1761" t="s">
        <v>4996</v>
      </c>
    </row>
    <row r="1762" spans="1:40" x14ac:dyDescent="0.35">
      <c r="A1762">
        <v>6422638</v>
      </c>
      <c r="B1762" t="s">
        <v>4997</v>
      </c>
      <c r="C1762" t="str">
        <f>"9783319281995"</f>
        <v>9783319281995</v>
      </c>
      <c r="D1762" t="str">
        <f>"9783319282015"</f>
        <v>9783319282015</v>
      </c>
      <c r="E1762" t="s">
        <v>2289</v>
      </c>
      <c r="F1762" t="s">
        <v>2290</v>
      </c>
      <c r="G1762" s="1">
        <v>42481</v>
      </c>
      <c r="H1762" s="1">
        <v>44210</v>
      </c>
      <c r="I1762" t="s">
        <v>189</v>
      </c>
      <c r="L1762" t="s">
        <v>4998</v>
      </c>
    </row>
    <row r="1763" spans="1:40" x14ac:dyDescent="0.35">
      <c r="A1763">
        <v>6422640</v>
      </c>
      <c r="B1763" t="s">
        <v>4999</v>
      </c>
      <c r="C1763" t="str">
        <f>"9783319422664"</f>
        <v>9783319422664</v>
      </c>
      <c r="D1763" t="str">
        <f>"9783319422671"</f>
        <v>9783319422671</v>
      </c>
      <c r="E1763" t="s">
        <v>2289</v>
      </c>
      <c r="F1763" t="s">
        <v>2290</v>
      </c>
      <c r="G1763" s="1">
        <v>42587</v>
      </c>
      <c r="H1763" s="1">
        <v>44210</v>
      </c>
      <c r="I1763" t="s">
        <v>189</v>
      </c>
      <c r="K1763" t="s">
        <v>4712</v>
      </c>
      <c r="L1763" t="s">
        <v>5000</v>
      </c>
    </row>
    <row r="1764" spans="1:40" x14ac:dyDescent="0.35">
      <c r="A1764">
        <v>6422641</v>
      </c>
      <c r="B1764" t="s">
        <v>5001</v>
      </c>
      <c r="C1764" t="str">
        <f>"9783319483627"</f>
        <v>9783319483627</v>
      </c>
      <c r="D1764" t="str">
        <f>"9783319483634"</f>
        <v>9783319483634</v>
      </c>
      <c r="E1764" t="s">
        <v>2289</v>
      </c>
      <c r="F1764" t="s">
        <v>2663</v>
      </c>
      <c r="G1764" s="1">
        <v>42835</v>
      </c>
      <c r="H1764" s="1">
        <v>44210</v>
      </c>
      <c r="I1764" t="s">
        <v>189</v>
      </c>
      <c r="L1764" t="s">
        <v>5002</v>
      </c>
    </row>
    <row r="1765" spans="1:40" x14ac:dyDescent="0.35">
      <c r="A1765">
        <v>6422644</v>
      </c>
      <c r="B1765" t="s">
        <v>5003</v>
      </c>
      <c r="C1765" t="str">
        <f>"9783319134369"</f>
        <v>9783319134369</v>
      </c>
      <c r="D1765" t="str">
        <f>"9783319134376"</f>
        <v>9783319134376</v>
      </c>
      <c r="E1765" t="s">
        <v>2289</v>
      </c>
      <c r="F1765" t="s">
        <v>2290</v>
      </c>
      <c r="G1765" s="1">
        <v>42129</v>
      </c>
      <c r="H1765" s="1">
        <v>44210</v>
      </c>
      <c r="I1765" t="s">
        <v>189</v>
      </c>
      <c r="K1765" t="s">
        <v>5004</v>
      </c>
      <c r="L1765" t="s">
        <v>5005</v>
      </c>
    </row>
    <row r="1766" spans="1:40" x14ac:dyDescent="0.35">
      <c r="A1766">
        <v>6422645</v>
      </c>
      <c r="B1766" t="s">
        <v>5006</v>
      </c>
      <c r="C1766" t="str">
        <f>"9783658280079"</f>
        <v>9783658280079</v>
      </c>
      <c r="D1766" t="str">
        <f>"9783658280086"</f>
        <v>9783658280086</v>
      </c>
      <c r="E1766" t="s">
        <v>3972</v>
      </c>
      <c r="F1766" t="s">
        <v>3998</v>
      </c>
      <c r="G1766" s="1">
        <v>43801</v>
      </c>
      <c r="H1766" s="1">
        <v>44210</v>
      </c>
      <c r="I1766" t="s">
        <v>189</v>
      </c>
      <c r="L1766" t="s">
        <v>5007</v>
      </c>
    </row>
    <row r="1767" spans="1:40" x14ac:dyDescent="0.35">
      <c r="A1767">
        <v>6422647</v>
      </c>
      <c r="B1767" t="s">
        <v>5008</v>
      </c>
      <c r="C1767" t="str">
        <f>"9789811065583"</f>
        <v>9789811065583</v>
      </c>
      <c r="D1767" t="str">
        <f>"9789811065590"</f>
        <v>9789811065590</v>
      </c>
      <c r="E1767" t="s">
        <v>3404</v>
      </c>
      <c r="F1767" t="s">
        <v>2290</v>
      </c>
      <c r="G1767" s="1">
        <v>43067</v>
      </c>
      <c r="H1767" s="1">
        <v>44210</v>
      </c>
      <c r="I1767" t="s">
        <v>189</v>
      </c>
      <c r="K1767" t="s">
        <v>4912</v>
      </c>
      <c r="L1767" t="s">
        <v>4913</v>
      </c>
    </row>
    <row r="1768" spans="1:40" x14ac:dyDescent="0.35">
      <c r="A1768">
        <v>6422648</v>
      </c>
      <c r="B1768" t="s">
        <v>5009</v>
      </c>
      <c r="C1768" t="str">
        <f>"9781137377012"</f>
        <v>9781137377012</v>
      </c>
      <c r="D1768" t="str">
        <f>"9781137377029"</f>
        <v>9781137377029</v>
      </c>
      <c r="E1768" t="s">
        <v>4183</v>
      </c>
      <c r="F1768" t="s">
        <v>2663</v>
      </c>
      <c r="G1768" s="1">
        <v>41589</v>
      </c>
      <c r="H1768" s="1">
        <v>44210</v>
      </c>
      <c r="I1768" t="s">
        <v>189</v>
      </c>
      <c r="K1768" t="s">
        <v>5010</v>
      </c>
      <c r="L1768" t="s">
        <v>5011</v>
      </c>
    </row>
    <row r="1769" spans="1:40" x14ac:dyDescent="0.35">
      <c r="A1769">
        <v>6422649</v>
      </c>
      <c r="B1769" t="s">
        <v>5012</v>
      </c>
      <c r="C1769" t="str">
        <f>"9783319741406"</f>
        <v>9783319741406</v>
      </c>
      <c r="D1769" t="str">
        <f>"9783319741413"</f>
        <v>9783319741413</v>
      </c>
      <c r="E1769" t="s">
        <v>2289</v>
      </c>
      <c r="F1769" t="s">
        <v>2290</v>
      </c>
      <c r="G1769" s="1">
        <v>43122</v>
      </c>
      <c r="H1769" s="1">
        <v>44210</v>
      </c>
      <c r="I1769" t="s">
        <v>189</v>
      </c>
      <c r="K1769" t="s">
        <v>4674</v>
      </c>
      <c r="L1769" t="s">
        <v>5013</v>
      </c>
      <c r="M1769" t="s">
        <v>807</v>
      </c>
      <c r="N1769" t="s">
        <v>5014</v>
      </c>
      <c r="Q1769" t="s">
        <v>260</v>
      </c>
      <c r="R1769" t="s">
        <v>261</v>
      </c>
      <c r="S1769" t="s">
        <v>261</v>
      </c>
      <c r="T1769" t="s">
        <v>261</v>
      </c>
      <c r="U1769" t="s">
        <v>262</v>
      </c>
      <c r="V1769" t="s">
        <v>262</v>
      </c>
      <c r="W1769" t="s">
        <v>261</v>
      </c>
      <c r="X1769" t="s">
        <v>262</v>
      </c>
      <c r="Y1769" t="s">
        <v>261</v>
      </c>
      <c r="Z1769" t="s">
        <v>409</v>
      </c>
      <c r="AA1769" t="s">
        <v>409</v>
      </c>
      <c r="AB1769" t="s">
        <v>409</v>
      </c>
      <c r="AC1769" t="s">
        <v>409</v>
      </c>
      <c r="AD1769" t="s">
        <v>261</v>
      </c>
      <c r="AH1769" t="s">
        <v>262</v>
      </c>
      <c r="AI1769" t="s">
        <v>262</v>
      </c>
      <c r="AJ1769" t="s">
        <v>261</v>
      </c>
      <c r="AK1769" t="s">
        <v>261</v>
      </c>
      <c r="AM1769" t="s">
        <v>262</v>
      </c>
      <c r="AN1769" t="s">
        <v>5015</v>
      </c>
    </row>
    <row r="1770" spans="1:40" x14ac:dyDescent="0.35">
      <c r="A1770">
        <v>6422650</v>
      </c>
      <c r="B1770" t="s">
        <v>5016</v>
      </c>
      <c r="C1770" t="str">
        <f>"9784431548034"</f>
        <v>9784431548034</v>
      </c>
      <c r="D1770" t="str">
        <f>"9784431548041"</f>
        <v>9784431548041</v>
      </c>
      <c r="E1770" t="s">
        <v>4001</v>
      </c>
      <c r="F1770" t="s">
        <v>2290</v>
      </c>
      <c r="G1770" s="1">
        <v>41725</v>
      </c>
      <c r="H1770" s="1">
        <v>44210</v>
      </c>
      <c r="I1770" t="s">
        <v>189</v>
      </c>
      <c r="L1770" t="s">
        <v>5017</v>
      </c>
    </row>
    <row r="1771" spans="1:40" x14ac:dyDescent="0.35">
      <c r="A1771">
        <v>6422651</v>
      </c>
      <c r="B1771" t="s">
        <v>5018</v>
      </c>
      <c r="C1771" t="str">
        <f>"9783319723556"</f>
        <v>9783319723556</v>
      </c>
      <c r="D1771" t="str">
        <f>"9783319723563"</f>
        <v>9783319723563</v>
      </c>
      <c r="E1771" t="s">
        <v>2289</v>
      </c>
      <c r="F1771" t="s">
        <v>2290</v>
      </c>
      <c r="G1771" s="1">
        <v>43153</v>
      </c>
      <c r="H1771" s="1">
        <v>44210</v>
      </c>
      <c r="I1771" t="s">
        <v>189</v>
      </c>
      <c r="L1771" t="s">
        <v>5019</v>
      </c>
    </row>
    <row r="1772" spans="1:40" x14ac:dyDescent="0.35">
      <c r="A1772">
        <v>6422652</v>
      </c>
      <c r="B1772" t="s">
        <v>5020</v>
      </c>
      <c r="C1772" t="str">
        <f>"9783658275938"</f>
        <v>9783658275938</v>
      </c>
      <c r="D1772" t="str">
        <f>"9783658275945"</f>
        <v>9783658275945</v>
      </c>
      <c r="E1772" t="s">
        <v>3972</v>
      </c>
      <c r="F1772" t="s">
        <v>3998</v>
      </c>
      <c r="G1772" s="1">
        <v>43866</v>
      </c>
      <c r="H1772" s="1">
        <v>44210</v>
      </c>
      <c r="I1772" t="s">
        <v>189</v>
      </c>
      <c r="K1772" t="s">
        <v>5021</v>
      </c>
      <c r="L1772" t="s">
        <v>5022</v>
      </c>
      <c r="M1772" t="s">
        <v>389</v>
      </c>
      <c r="N1772" t="s">
        <v>5023</v>
      </c>
      <c r="Q1772" t="s">
        <v>408</v>
      </c>
      <c r="R1772" t="s">
        <v>261</v>
      </c>
      <c r="S1772" t="s">
        <v>261</v>
      </c>
      <c r="T1772" t="s">
        <v>261</v>
      </c>
      <c r="U1772" t="s">
        <v>262</v>
      </c>
      <c r="V1772" t="s">
        <v>262</v>
      </c>
      <c r="W1772" t="s">
        <v>261</v>
      </c>
      <c r="X1772" t="s">
        <v>262</v>
      </c>
      <c r="Y1772" t="s">
        <v>261</v>
      </c>
      <c r="Z1772" t="s">
        <v>409</v>
      </c>
      <c r="AA1772" t="s">
        <v>409</v>
      </c>
      <c r="AB1772" t="s">
        <v>409</v>
      </c>
      <c r="AC1772" t="s">
        <v>409</v>
      </c>
      <c r="AD1772" t="s">
        <v>261</v>
      </c>
      <c r="AH1772" t="s">
        <v>262</v>
      </c>
      <c r="AI1772" t="s">
        <v>262</v>
      </c>
      <c r="AJ1772" t="s">
        <v>261</v>
      </c>
      <c r="AK1772" t="s">
        <v>261</v>
      </c>
      <c r="AM1772" t="s">
        <v>262</v>
      </c>
      <c r="AN1772" t="s">
        <v>5024</v>
      </c>
    </row>
    <row r="1773" spans="1:40" x14ac:dyDescent="0.35">
      <c r="A1773">
        <v>6422654</v>
      </c>
      <c r="B1773" t="s">
        <v>5025</v>
      </c>
      <c r="C1773" t="str">
        <f>"9784431546276"</f>
        <v>9784431546276</v>
      </c>
      <c r="D1773" t="str">
        <f>"9784431546283"</f>
        <v>9784431546283</v>
      </c>
      <c r="E1773" t="s">
        <v>4001</v>
      </c>
      <c r="F1773" t="s">
        <v>2290</v>
      </c>
      <c r="G1773" s="1">
        <v>42556</v>
      </c>
      <c r="H1773" s="1">
        <v>44210</v>
      </c>
      <c r="I1773" t="s">
        <v>189</v>
      </c>
      <c r="L1773" t="s">
        <v>5026</v>
      </c>
    </row>
    <row r="1774" spans="1:40" x14ac:dyDescent="0.35">
      <c r="A1774">
        <v>6422656</v>
      </c>
      <c r="B1774" t="s">
        <v>5027</v>
      </c>
      <c r="C1774" t="str">
        <f>"9783319452630"</f>
        <v>9783319452630</v>
      </c>
      <c r="D1774" t="str">
        <f>"9783319452647"</f>
        <v>9783319452647</v>
      </c>
      <c r="E1774" t="s">
        <v>2289</v>
      </c>
      <c r="F1774" t="s">
        <v>2663</v>
      </c>
      <c r="G1774" s="1">
        <v>42650</v>
      </c>
      <c r="H1774" s="1">
        <v>44210</v>
      </c>
      <c r="I1774" t="s">
        <v>189</v>
      </c>
      <c r="L1774" t="s">
        <v>5028</v>
      </c>
    </row>
    <row r="1775" spans="1:40" x14ac:dyDescent="0.35">
      <c r="A1775">
        <v>6422657</v>
      </c>
      <c r="B1775" t="s">
        <v>5029</v>
      </c>
      <c r="C1775" t="str">
        <f>"9783319912226"</f>
        <v>9783319912226</v>
      </c>
      <c r="D1775" t="str">
        <f>"9783319912233"</f>
        <v>9783319912233</v>
      </c>
      <c r="E1775" t="s">
        <v>2289</v>
      </c>
      <c r="F1775" t="s">
        <v>2290</v>
      </c>
      <c r="G1775" s="1">
        <v>43384</v>
      </c>
      <c r="H1775" s="1">
        <v>44210</v>
      </c>
      <c r="I1775" t="s">
        <v>189</v>
      </c>
      <c r="L1775" t="s">
        <v>5030</v>
      </c>
    </row>
    <row r="1776" spans="1:40" x14ac:dyDescent="0.35">
      <c r="A1776">
        <v>6422658</v>
      </c>
      <c r="B1776" t="s">
        <v>5031</v>
      </c>
      <c r="C1776" t="str">
        <f>"9783658215293"</f>
        <v>9783658215293</v>
      </c>
      <c r="D1776" t="str">
        <f>"9783658215309"</f>
        <v>9783658215309</v>
      </c>
      <c r="E1776" t="s">
        <v>3972</v>
      </c>
      <c r="F1776" t="s">
        <v>3998</v>
      </c>
      <c r="G1776" s="1">
        <v>43199</v>
      </c>
      <c r="H1776" s="1">
        <v>44210</v>
      </c>
      <c r="I1776" t="s">
        <v>189</v>
      </c>
      <c r="L1776" t="s">
        <v>5032</v>
      </c>
    </row>
    <row r="1777" spans="1:40" x14ac:dyDescent="0.35">
      <c r="A1777">
        <v>6422659</v>
      </c>
      <c r="B1777" t="s">
        <v>5033</v>
      </c>
      <c r="C1777" t="str">
        <f>"9783658133467"</f>
        <v>9783658133467</v>
      </c>
      <c r="D1777" t="str">
        <f>"9783658133474"</f>
        <v>9783658133474</v>
      </c>
      <c r="E1777" t="s">
        <v>3972</v>
      </c>
      <c r="F1777" t="s">
        <v>3998</v>
      </c>
      <c r="G1777" s="1">
        <v>42590</v>
      </c>
      <c r="H1777" s="1">
        <v>44210</v>
      </c>
      <c r="I1777" t="s">
        <v>189</v>
      </c>
      <c r="L1777" t="s">
        <v>5034</v>
      </c>
      <c r="M1777" t="s">
        <v>329</v>
      </c>
      <c r="N1777" t="s">
        <v>4064</v>
      </c>
      <c r="Q1777" t="s">
        <v>408</v>
      </c>
      <c r="R1777" t="s">
        <v>261</v>
      </c>
      <c r="S1777" t="s">
        <v>261</v>
      </c>
      <c r="T1777" t="s">
        <v>261</v>
      </c>
      <c r="U1777" t="s">
        <v>262</v>
      </c>
      <c r="V1777" t="s">
        <v>262</v>
      </c>
      <c r="W1777" t="s">
        <v>261</v>
      </c>
      <c r="X1777" t="s">
        <v>262</v>
      </c>
      <c r="Y1777" t="s">
        <v>261</v>
      </c>
      <c r="Z1777" t="s">
        <v>409</v>
      </c>
      <c r="AA1777" t="s">
        <v>409</v>
      </c>
      <c r="AB1777" t="s">
        <v>409</v>
      </c>
      <c r="AC1777" t="s">
        <v>409</v>
      </c>
      <c r="AD1777" t="s">
        <v>261</v>
      </c>
      <c r="AH1777" t="s">
        <v>262</v>
      </c>
      <c r="AI1777" t="s">
        <v>262</v>
      </c>
      <c r="AJ1777" t="s">
        <v>261</v>
      </c>
      <c r="AK1777" t="s">
        <v>261</v>
      </c>
      <c r="AM1777" t="s">
        <v>262</v>
      </c>
      <c r="AN1777" t="s">
        <v>5035</v>
      </c>
    </row>
    <row r="1778" spans="1:40" x14ac:dyDescent="0.35">
      <c r="A1778">
        <v>6422660</v>
      </c>
      <c r="B1778" t="s">
        <v>5036</v>
      </c>
      <c r="C1778" t="str">
        <f>"9783319464985"</f>
        <v>9783319464985</v>
      </c>
      <c r="D1778" t="str">
        <f>"9783319464992"</f>
        <v>9783319464992</v>
      </c>
      <c r="E1778" t="s">
        <v>2289</v>
      </c>
      <c r="F1778" t="s">
        <v>2663</v>
      </c>
      <c r="G1778" s="1">
        <v>42835</v>
      </c>
      <c r="H1778" s="1">
        <v>44210</v>
      </c>
      <c r="I1778" t="s">
        <v>189</v>
      </c>
      <c r="L1778" t="s">
        <v>81</v>
      </c>
      <c r="M1778" t="s">
        <v>329</v>
      </c>
      <c r="N1778" t="s">
        <v>4236</v>
      </c>
      <c r="Q1778" t="s">
        <v>260</v>
      </c>
      <c r="R1778" t="s">
        <v>261</v>
      </c>
      <c r="S1778" t="s">
        <v>261</v>
      </c>
      <c r="T1778" t="s">
        <v>261</v>
      </c>
      <c r="U1778" t="s">
        <v>262</v>
      </c>
      <c r="V1778" t="s">
        <v>262</v>
      </c>
      <c r="W1778" t="s">
        <v>261</v>
      </c>
      <c r="X1778" t="s">
        <v>262</v>
      </c>
      <c r="Y1778" t="s">
        <v>261</v>
      </c>
      <c r="Z1778" t="s">
        <v>409</v>
      </c>
      <c r="AA1778" t="s">
        <v>409</v>
      </c>
      <c r="AB1778" t="s">
        <v>409</v>
      </c>
      <c r="AC1778" t="s">
        <v>409</v>
      </c>
      <c r="AD1778" t="s">
        <v>261</v>
      </c>
      <c r="AH1778" t="s">
        <v>262</v>
      </c>
      <c r="AI1778" t="s">
        <v>262</v>
      </c>
      <c r="AJ1778" t="s">
        <v>261</v>
      </c>
      <c r="AK1778" t="s">
        <v>261</v>
      </c>
      <c r="AM1778" t="s">
        <v>262</v>
      </c>
      <c r="AN1778" t="s">
        <v>5037</v>
      </c>
    </row>
    <row r="1779" spans="1:40" x14ac:dyDescent="0.35">
      <c r="A1779">
        <v>6422661</v>
      </c>
      <c r="B1779" t="s">
        <v>5038</v>
      </c>
      <c r="C1779" t="str">
        <f>"9789811071188"</f>
        <v>9789811071188</v>
      </c>
      <c r="D1779" t="str">
        <f>"9789811071195"</f>
        <v>9789811071195</v>
      </c>
      <c r="E1779" t="s">
        <v>3404</v>
      </c>
      <c r="F1779" t="s">
        <v>2663</v>
      </c>
      <c r="G1779" s="1">
        <v>43131</v>
      </c>
      <c r="H1779" s="1">
        <v>44210</v>
      </c>
      <c r="I1779" t="s">
        <v>189</v>
      </c>
      <c r="L1779" t="s">
        <v>5039</v>
      </c>
    </row>
    <row r="1780" spans="1:40" x14ac:dyDescent="0.35">
      <c r="A1780">
        <v>6422662</v>
      </c>
      <c r="B1780" t="s">
        <v>5040</v>
      </c>
      <c r="C1780" t="str">
        <f>"9783642212765"</f>
        <v>9783642212765</v>
      </c>
      <c r="D1780" t="str">
        <f>"9783642212772"</f>
        <v>9783642212772</v>
      </c>
      <c r="E1780" t="s">
        <v>4047</v>
      </c>
      <c r="F1780" t="s">
        <v>2290</v>
      </c>
      <c r="G1780" s="1">
        <v>40807</v>
      </c>
      <c r="H1780" s="1">
        <v>44210</v>
      </c>
      <c r="I1780" t="s">
        <v>189</v>
      </c>
      <c r="L1780" t="s">
        <v>5041</v>
      </c>
      <c r="M1780" t="s">
        <v>249</v>
      </c>
    </row>
    <row r="1781" spans="1:40" x14ac:dyDescent="0.35">
      <c r="A1781">
        <v>6422663</v>
      </c>
      <c r="B1781" t="s">
        <v>5042</v>
      </c>
      <c r="C1781" t="str">
        <f>"9784431543275"</f>
        <v>9784431543275</v>
      </c>
      <c r="D1781" t="str">
        <f>"9784431543282"</f>
        <v>9784431543282</v>
      </c>
      <c r="E1781" t="s">
        <v>4001</v>
      </c>
      <c r="F1781" t="s">
        <v>2290</v>
      </c>
      <c r="G1781" s="1">
        <v>41361</v>
      </c>
      <c r="H1781" s="1">
        <v>44210</v>
      </c>
      <c r="I1781" t="s">
        <v>189</v>
      </c>
      <c r="L1781" t="s">
        <v>5043</v>
      </c>
    </row>
    <row r="1782" spans="1:40" x14ac:dyDescent="0.35">
      <c r="A1782">
        <v>6422664</v>
      </c>
      <c r="B1782" t="s">
        <v>5044</v>
      </c>
      <c r="C1782" t="str">
        <f>"9783319398884"</f>
        <v>9783319398884</v>
      </c>
      <c r="D1782" t="str">
        <f>"9783319398891"</f>
        <v>9783319398891</v>
      </c>
      <c r="E1782" t="s">
        <v>2289</v>
      </c>
      <c r="F1782" t="s">
        <v>2290</v>
      </c>
      <c r="G1782" s="1">
        <v>42878</v>
      </c>
      <c r="H1782" s="1">
        <v>44210</v>
      </c>
      <c r="I1782" t="s">
        <v>189</v>
      </c>
      <c r="K1782" t="s">
        <v>5045</v>
      </c>
      <c r="L1782" t="s">
        <v>5046</v>
      </c>
    </row>
    <row r="1783" spans="1:40" x14ac:dyDescent="0.35">
      <c r="A1783">
        <v>6422665</v>
      </c>
      <c r="B1783" t="s">
        <v>5047</v>
      </c>
      <c r="C1783" t="str">
        <f>"9783319953922"</f>
        <v>9783319953922</v>
      </c>
      <c r="D1783" t="str">
        <f>"9783319953939"</f>
        <v>9783319953939</v>
      </c>
      <c r="E1783" t="s">
        <v>2289</v>
      </c>
      <c r="F1783" t="s">
        <v>2290</v>
      </c>
      <c r="G1783" s="1">
        <v>43349</v>
      </c>
      <c r="H1783" s="1">
        <v>44210</v>
      </c>
      <c r="I1783" t="s">
        <v>189</v>
      </c>
      <c r="L1783" t="s">
        <v>79</v>
      </c>
    </row>
    <row r="1784" spans="1:40" x14ac:dyDescent="0.35">
      <c r="A1784">
        <v>6422666</v>
      </c>
      <c r="B1784" t="s">
        <v>5048</v>
      </c>
      <c r="C1784" t="str">
        <f>"9783658100933"</f>
        <v>9783658100933</v>
      </c>
      <c r="D1784" t="str">
        <f>"9783658100940"</f>
        <v>9783658100940</v>
      </c>
      <c r="E1784" t="s">
        <v>3972</v>
      </c>
      <c r="F1784" t="s">
        <v>3998</v>
      </c>
      <c r="G1784" s="1">
        <v>42227</v>
      </c>
      <c r="H1784" s="1">
        <v>44210</v>
      </c>
      <c r="I1784" t="s">
        <v>189</v>
      </c>
      <c r="L1784" t="s">
        <v>5049</v>
      </c>
    </row>
    <row r="1785" spans="1:40" x14ac:dyDescent="0.35">
      <c r="A1785">
        <v>6422667</v>
      </c>
      <c r="B1785" t="s">
        <v>5050</v>
      </c>
      <c r="C1785" t="str">
        <f>"9783319215501"</f>
        <v>9783319215501</v>
      </c>
      <c r="D1785" t="str">
        <f>"9783319215518"</f>
        <v>9783319215518</v>
      </c>
      <c r="E1785" t="s">
        <v>2289</v>
      </c>
      <c r="F1785" t="s">
        <v>2290</v>
      </c>
      <c r="G1785" s="1">
        <v>42472</v>
      </c>
      <c r="H1785" s="1">
        <v>44210</v>
      </c>
      <c r="I1785" t="s">
        <v>189</v>
      </c>
      <c r="K1785" t="s">
        <v>5051</v>
      </c>
      <c r="L1785" t="s">
        <v>5052</v>
      </c>
    </row>
    <row r="1786" spans="1:40" x14ac:dyDescent="0.35">
      <c r="A1786">
        <v>6422668</v>
      </c>
      <c r="B1786" t="s">
        <v>5053</v>
      </c>
      <c r="C1786" t="str">
        <f>"9783319746951"</f>
        <v>9783319746951</v>
      </c>
      <c r="D1786" t="str">
        <f>"9783319746968"</f>
        <v>9783319746968</v>
      </c>
      <c r="E1786" t="s">
        <v>2289</v>
      </c>
      <c r="F1786" t="s">
        <v>2290</v>
      </c>
      <c r="G1786" s="1">
        <v>43217</v>
      </c>
      <c r="H1786" s="1">
        <v>44210</v>
      </c>
      <c r="I1786" t="s">
        <v>189</v>
      </c>
      <c r="K1786" t="s">
        <v>1208</v>
      </c>
      <c r="L1786" t="s">
        <v>5054</v>
      </c>
    </row>
    <row r="1787" spans="1:40" x14ac:dyDescent="0.35">
      <c r="A1787">
        <v>6422669</v>
      </c>
      <c r="B1787" t="s">
        <v>5055</v>
      </c>
      <c r="C1787" t="str">
        <f>"9781430261360"</f>
        <v>9781430261360</v>
      </c>
      <c r="D1787" t="str">
        <f>"9781430261377"</f>
        <v>9781430261377</v>
      </c>
      <c r="E1787" t="s">
        <v>4514</v>
      </c>
      <c r="F1787" t="s">
        <v>4514</v>
      </c>
      <c r="G1787" s="1">
        <v>41425</v>
      </c>
      <c r="H1787" s="1">
        <v>44210</v>
      </c>
      <c r="I1787" t="s">
        <v>189</v>
      </c>
      <c r="J1787">
        <v>3</v>
      </c>
      <c r="L1787" t="s">
        <v>5056</v>
      </c>
    </row>
    <row r="1788" spans="1:40" x14ac:dyDescent="0.35">
      <c r="A1788">
        <v>6422670</v>
      </c>
      <c r="B1788" t="s">
        <v>5057</v>
      </c>
      <c r="C1788" t="str">
        <f>"9783319270050"</f>
        <v>9783319270050</v>
      </c>
      <c r="D1788" t="str">
        <f>"9783319270067"</f>
        <v>9783319270067</v>
      </c>
      <c r="E1788" t="s">
        <v>2289</v>
      </c>
      <c r="F1788" t="s">
        <v>2290</v>
      </c>
      <c r="G1788" s="1">
        <v>42461</v>
      </c>
      <c r="H1788" s="1">
        <v>44210</v>
      </c>
      <c r="I1788" t="s">
        <v>189</v>
      </c>
      <c r="K1788" t="s">
        <v>5058</v>
      </c>
      <c r="L1788" t="s">
        <v>5059</v>
      </c>
    </row>
    <row r="1789" spans="1:40" x14ac:dyDescent="0.35">
      <c r="A1789">
        <v>6422671</v>
      </c>
      <c r="B1789" t="s">
        <v>5060</v>
      </c>
      <c r="C1789" t="str">
        <f>"9783319444291"</f>
        <v>9783319444291</v>
      </c>
      <c r="D1789" t="str">
        <f>"9783319444314"</f>
        <v>9783319444314</v>
      </c>
      <c r="E1789" t="s">
        <v>2289</v>
      </c>
      <c r="F1789" t="s">
        <v>2290</v>
      </c>
      <c r="G1789" s="1">
        <v>42797</v>
      </c>
      <c r="H1789" s="1">
        <v>44210</v>
      </c>
      <c r="I1789" t="s">
        <v>189</v>
      </c>
      <c r="J1789">
        <v>3</v>
      </c>
      <c r="K1789" t="s">
        <v>5061</v>
      </c>
      <c r="L1789" t="s">
        <v>5062</v>
      </c>
    </row>
    <row r="1790" spans="1:40" x14ac:dyDescent="0.35">
      <c r="A1790">
        <v>6422672</v>
      </c>
      <c r="B1790" t="s">
        <v>5063</v>
      </c>
      <c r="C1790" t="str">
        <f>"9780230103900"</f>
        <v>9780230103900</v>
      </c>
      <c r="D1790" t="str">
        <f>"9780230109773"</f>
        <v>9780230109773</v>
      </c>
      <c r="E1790" t="s">
        <v>2662</v>
      </c>
      <c r="F1790" t="s">
        <v>2663</v>
      </c>
      <c r="G1790" s="1">
        <v>40408</v>
      </c>
      <c r="H1790" s="1">
        <v>44210</v>
      </c>
      <c r="I1790" t="s">
        <v>189</v>
      </c>
      <c r="L1790" t="s">
        <v>5064</v>
      </c>
      <c r="M1790" t="s">
        <v>219</v>
      </c>
      <c r="N1790" t="s">
        <v>5065</v>
      </c>
      <c r="Q1790" t="s">
        <v>260</v>
      </c>
      <c r="R1790" t="s">
        <v>261</v>
      </c>
      <c r="S1790" t="s">
        <v>261</v>
      </c>
      <c r="T1790" t="s">
        <v>261</v>
      </c>
      <c r="U1790" t="s">
        <v>262</v>
      </c>
      <c r="V1790" t="s">
        <v>262</v>
      </c>
      <c r="W1790" t="s">
        <v>261</v>
      </c>
      <c r="X1790" t="s">
        <v>262</v>
      </c>
      <c r="Y1790" t="s">
        <v>261</v>
      </c>
      <c r="Z1790" t="s">
        <v>409</v>
      </c>
      <c r="AA1790" t="s">
        <v>409</v>
      </c>
      <c r="AB1790" t="s">
        <v>409</v>
      </c>
      <c r="AC1790" t="s">
        <v>409</v>
      </c>
      <c r="AD1790" t="s">
        <v>261</v>
      </c>
      <c r="AH1790" t="s">
        <v>262</v>
      </c>
      <c r="AI1790" t="s">
        <v>262</v>
      </c>
      <c r="AJ1790" t="s">
        <v>261</v>
      </c>
      <c r="AK1790" t="s">
        <v>261</v>
      </c>
      <c r="AM1790" t="s">
        <v>262</v>
      </c>
      <c r="AN1790" t="s">
        <v>5066</v>
      </c>
    </row>
    <row r="1791" spans="1:40" x14ac:dyDescent="0.35">
      <c r="A1791">
        <v>6422673</v>
      </c>
      <c r="B1791" t="s">
        <v>5067</v>
      </c>
      <c r="C1791" t="str">
        <f>"9783319708140"</f>
        <v>9783319708140</v>
      </c>
      <c r="D1791" t="str">
        <f>"9783319708157"</f>
        <v>9783319708157</v>
      </c>
      <c r="E1791" t="s">
        <v>2289</v>
      </c>
      <c r="F1791" t="s">
        <v>2290</v>
      </c>
      <c r="G1791" s="1">
        <v>43153</v>
      </c>
      <c r="H1791" s="1">
        <v>44210</v>
      </c>
      <c r="I1791" t="s">
        <v>189</v>
      </c>
      <c r="K1791" t="s">
        <v>4303</v>
      </c>
      <c r="L1791" t="s">
        <v>5068</v>
      </c>
      <c r="M1791" t="s">
        <v>944</v>
      </c>
    </row>
    <row r="1792" spans="1:40" x14ac:dyDescent="0.35">
      <c r="A1792">
        <v>6422674</v>
      </c>
      <c r="B1792" t="s">
        <v>5069</v>
      </c>
      <c r="C1792" t="str">
        <f>"9781484200711"</f>
        <v>9781484200711</v>
      </c>
      <c r="D1792" t="str">
        <f>"9781484200704"</f>
        <v>9781484200704</v>
      </c>
      <c r="E1792" t="s">
        <v>4514</v>
      </c>
      <c r="F1792" t="s">
        <v>4514</v>
      </c>
      <c r="G1792" s="1">
        <v>42031</v>
      </c>
      <c r="H1792" s="1">
        <v>44210</v>
      </c>
      <c r="I1792" t="s">
        <v>189</v>
      </c>
      <c r="L1792" t="s">
        <v>5070</v>
      </c>
    </row>
    <row r="1793" spans="1:40" x14ac:dyDescent="0.35">
      <c r="A1793">
        <v>6422675</v>
      </c>
      <c r="B1793" t="s">
        <v>5071</v>
      </c>
      <c r="C1793" t="str">
        <f>"9783662589342"</f>
        <v>9783662589342</v>
      </c>
      <c r="D1793" t="str">
        <f>"9783662589359"</f>
        <v>9783662589359</v>
      </c>
      <c r="E1793" t="s">
        <v>4047</v>
      </c>
      <c r="F1793" t="s">
        <v>2290</v>
      </c>
      <c r="G1793" s="1">
        <v>43682</v>
      </c>
      <c r="H1793" s="1">
        <v>44210</v>
      </c>
      <c r="I1793" t="s">
        <v>189</v>
      </c>
      <c r="L1793" t="s">
        <v>4080</v>
      </c>
    </row>
    <row r="1794" spans="1:40" x14ac:dyDescent="0.35">
      <c r="A1794">
        <v>6422676</v>
      </c>
      <c r="B1794" t="s">
        <v>5072</v>
      </c>
      <c r="C1794" t="str">
        <f>"9783658126438"</f>
        <v>9783658126438</v>
      </c>
      <c r="D1794" t="str">
        <f>"9783658126445"</f>
        <v>9783658126445</v>
      </c>
      <c r="E1794" t="s">
        <v>3972</v>
      </c>
      <c r="F1794" t="s">
        <v>3998</v>
      </c>
      <c r="G1794" s="1">
        <v>42691</v>
      </c>
      <c r="H1794" s="1">
        <v>44210</v>
      </c>
      <c r="I1794" t="s">
        <v>189</v>
      </c>
      <c r="K1794" t="s">
        <v>5073</v>
      </c>
      <c r="L1794" t="s">
        <v>78</v>
      </c>
    </row>
    <row r="1795" spans="1:40" x14ac:dyDescent="0.35">
      <c r="A1795">
        <v>6422677</v>
      </c>
      <c r="B1795" t="s">
        <v>5074</v>
      </c>
      <c r="C1795" t="str">
        <f>"9789811061288"</f>
        <v>9789811061288</v>
      </c>
      <c r="D1795" t="str">
        <f>"9789811061295"</f>
        <v>9789811061295</v>
      </c>
      <c r="E1795" t="s">
        <v>3404</v>
      </c>
      <c r="F1795" t="s">
        <v>2290</v>
      </c>
      <c r="G1795" s="1">
        <v>43025</v>
      </c>
      <c r="H1795" s="1">
        <v>44210</v>
      </c>
      <c r="I1795" t="s">
        <v>189</v>
      </c>
      <c r="L1795" t="s">
        <v>5075</v>
      </c>
      <c r="M1795" t="s">
        <v>316</v>
      </c>
      <c r="N1795" t="s">
        <v>5076</v>
      </c>
      <c r="Q1795" t="s">
        <v>260</v>
      </c>
      <c r="R1795" t="s">
        <v>261</v>
      </c>
      <c r="S1795" t="s">
        <v>261</v>
      </c>
      <c r="T1795" t="s">
        <v>261</v>
      </c>
      <c r="U1795" t="s">
        <v>262</v>
      </c>
      <c r="V1795" t="s">
        <v>262</v>
      </c>
      <c r="W1795" t="s">
        <v>261</v>
      </c>
      <c r="X1795" t="s">
        <v>262</v>
      </c>
      <c r="Y1795" t="s">
        <v>261</v>
      </c>
      <c r="Z1795" t="s">
        <v>409</v>
      </c>
      <c r="AA1795" t="s">
        <v>409</v>
      </c>
      <c r="AB1795" t="s">
        <v>409</v>
      </c>
      <c r="AC1795" t="s">
        <v>409</v>
      </c>
      <c r="AD1795" t="s">
        <v>261</v>
      </c>
      <c r="AH1795" t="s">
        <v>262</v>
      </c>
      <c r="AI1795" t="s">
        <v>262</v>
      </c>
      <c r="AJ1795" t="s">
        <v>261</v>
      </c>
      <c r="AK1795" t="s">
        <v>261</v>
      </c>
      <c r="AM1795" t="s">
        <v>262</v>
      </c>
      <c r="AN1795" t="s">
        <v>5077</v>
      </c>
    </row>
    <row r="1796" spans="1:40" x14ac:dyDescent="0.35">
      <c r="A1796">
        <v>6422678</v>
      </c>
      <c r="B1796" t="s">
        <v>5078</v>
      </c>
      <c r="C1796" t="str">
        <f>"9783319611938"</f>
        <v>9783319611938</v>
      </c>
      <c r="D1796" t="str">
        <f>"9783319611945"</f>
        <v>9783319611945</v>
      </c>
      <c r="E1796" t="s">
        <v>2289</v>
      </c>
      <c r="F1796" t="s">
        <v>2290</v>
      </c>
      <c r="G1796" s="1">
        <v>43038</v>
      </c>
      <c r="H1796" s="1">
        <v>44210</v>
      </c>
      <c r="I1796" t="s">
        <v>189</v>
      </c>
      <c r="K1796" t="s">
        <v>5079</v>
      </c>
      <c r="L1796" t="s">
        <v>5080</v>
      </c>
    </row>
    <row r="1797" spans="1:40" x14ac:dyDescent="0.35">
      <c r="A1797">
        <v>6422679</v>
      </c>
      <c r="B1797" t="s">
        <v>5081</v>
      </c>
      <c r="C1797" t="str">
        <f>"9783319446653"</f>
        <v>9783319446653</v>
      </c>
      <c r="D1797" t="str">
        <f>"9783319446677"</f>
        <v>9783319446677</v>
      </c>
      <c r="E1797" t="s">
        <v>2289</v>
      </c>
      <c r="F1797" t="s">
        <v>2290</v>
      </c>
      <c r="G1797" s="1">
        <v>42753</v>
      </c>
      <c r="H1797" s="1">
        <v>44210</v>
      </c>
      <c r="I1797" t="s">
        <v>189</v>
      </c>
      <c r="K1797" t="s">
        <v>4787</v>
      </c>
      <c r="L1797" t="s">
        <v>5082</v>
      </c>
    </row>
    <row r="1798" spans="1:40" x14ac:dyDescent="0.35">
      <c r="A1798">
        <v>6422680</v>
      </c>
      <c r="B1798" t="s">
        <v>5083</v>
      </c>
      <c r="C1798" t="str">
        <f>"9783319537504"</f>
        <v>9783319537504</v>
      </c>
      <c r="D1798" t="str">
        <f>"9783319560915"</f>
        <v>9783319560915</v>
      </c>
      <c r="E1798" t="s">
        <v>2289</v>
      </c>
      <c r="F1798" t="s">
        <v>2290</v>
      </c>
      <c r="G1798" s="1">
        <v>42998</v>
      </c>
      <c r="H1798" s="1">
        <v>44210</v>
      </c>
      <c r="I1798" t="s">
        <v>189</v>
      </c>
      <c r="K1798" t="s">
        <v>5084</v>
      </c>
      <c r="L1798" t="s">
        <v>5085</v>
      </c>
    </row>
    <row r="1799" spans="1:40" x14ac:dyDescent="0.35">
      <c r="A1799">
        <v>6422681</v>
      </c>
      <c r="B1799" t="s">
        <v>5086</v>
      </c>
      <c r="C1799" t="str">
        <f>"9783319590950"</f>
        <v>9783319590950</v>
      </c>
      <c r="D1799" t="str">
        <f>"9783319590967"</f>
        <v>9783319590967</v>
      </c>
      <c r="E1799" t="s">
        <v>2289</v>
      </c>
      <c r="F1799" t="s">
        <v>2290</v>
      </c>
      <c r="G1799" s="1">
        <v>42934</v>
      </c>
      <c r="H1799" s="1">
        <v>44210</v>
      </c>
      <c r="I1799" t="s">
        <v>189</v>
      </c>
      <c r="K1799" t="s">
        <v>5087</v>
      </c>
      <c r="L1799" t="s">
        <v>3068</v>
      </c>
    </row>
    <row r="1800" spans="1:40" x14ac:dyDescent="0.35">
      <c r="A1800">
        <v>6422682</v>
      </c>
      <c r="B1800" t="s">
        <v>5088</v>
      </c>
      <c r="C1800" t="str">
        <f>"9783658213435"</f>
        <v>9783658213435</v>
      </c>
      <c r="D1800" t="str">
        <f>"9783658213442"</f>
        <v>9783658213442</v>
      </c>
      <c r="E1800" t="s">
        <v>3972</v>
      </c>
      <c r="F1800" t="s">
        <v>3972</v>
      </c>
      <c r="G1800" s="1">
        <v>43227</v>
      </c>
      <c r="H1800" s="1">
        <v>44210</v>
      </c>
      <c r="I1800" t="s">
        <v>189</v>
      </c>
      <c r="L1800" t="s">
        <v>5089</v>
      </c>
      <c r="M1800" t="s">
        <v>249</v>
      </c>
      <c r="N1800" t="s">
        <v>5090</v>
      </c>
      <c r="Q1800" t="s">
        <v>408</v>
      </c>
      <c r="R1800" t="s">
        <v>261</v>
      </c>
      <c r="S1800" t="s">
        <v>261</v>
      </c>
      <c r="T1800" t="s">
        <v>261</v>
      </c>
      <c r="U1800" t="s">
        <v>262</v>
      </c>
      <c r="V1800" t="s">
        <v>262</v>
      </c>
      <c r="W1800" t="s">
        <v>261</v>
      </c>
      <c r="X1800" t="s">
        <v>262</v>
      </c>
      <c r="Y1800" t="s">
        <v>261</v>
      </c>
      <c r="Z1800" t="s">
        <v>409</v>
      </c>
      <c r="AA1800" t="s">
        <v>409</v>
      </c>
      <c r="AB1800" t="s">
        <v>409</v>
      </c>
      <c r="AC1800" t="s">
        <v>409</v>
      </c>
      <c r="AD1800" t="s">
        <v>261</v>
      </c>
      <c r="AH1800" t="s">
        <v>262</v>
      </c>
      <c r="AI1800" t="s">
        <v>262</v>
      </c>
      <c r="AJ1800" t="s">
        <v>261</v>
      </c>
      <c r="AK1800" t="s">
        <v>261</v>
      </c>
      <c r="AM1800" t="s">
        <v>262</v>
      </c>
      <c r="AN1800" t="s">
        <v>5091</v>
      </c>
    </row>
    <row r="1801" spans="1:40" x14ac:dyDescent="0.35">
      <c r="A1801">
        <v>6422684</v>
      </c>
      <c r="B1801" t="s">
        <v>5092</v>
      </c>
      <c r="C1801" t="str">
        <f>"9783642363481"</f>
        <v>9783642363481</v>
      </c>
      <c r="D1801" t="str">
        <f>"9783642363498"</f>
        <v>9783642363498</v>
      </c>
      <c r="E1801" t="s">
        <v>4047</v>
      </c>
      <c r="F1801" t="s">
        <v>2290</v>
      </c>
      <c r="G1801" s="1">
        <v>41353</v>
      </c>
      <c r="H1801" s="1">
        <v>44210</v>
      </c>
      <c r="I1801" t="s">
        <v>189</v>
      </c>
      <c r="K1801" t="s">
        <v>5093</v>
      </c>
      <c r="L1801" t="s">
        <v>5094</v>
      </c>
    </row>
    <row r="1802" spans="1:40" x14ac:dyDescent="0.35">
      <c r="A1802">
        <v>6422686</v>
      </c>
      <c r="B1802" t="s">
        <v>5095</v>
      </c>
      <c r="C1802" t="str">
        <f>"9783319398464"</f>
        <v>9783319398464</v>
      </c>
      <c r="D1802" t="str">
        <f>"9783319398471"</f>
        <v>9783319398471</v>
      </c>
      <c r="E1802" t="s">
        <v>2289</v>
      </c>
      <c r="F1802" t="s">
        <v>2290</v>
      </c>
      <c r="G1802" s="1">
        <v>42591</v>
      </c>
      <c r="H1802" s="1">
        <v>44210</v>
      </c>
      <c r="I1802" t="s">
        <v>189</v>
      </c>
      <c r="L1802" t="s">
        <v>5096</v>
      </c>
    </row>
    <row r="1803" spans="1:40" x14ac:dyDescent="0.35">
      <c r="A1803">
        <v>6422687</v>
      </c>
      <c r="B1803" t="s">
        <v>5097</v>
      </c>
      <c r="C1803" t="str">
        <f>"9783319131344"</f>
        <v>9783319131344</v>
      </c>
      <c r="D1803" t="str">
        <f>"9783319131351"</f>
        <v>9783319131351</v>
      </c>
      <c r="E1803" t="s">
        <v>2289</v>
      </c>
      <c r="F1803" t="s">
        <v>2290</v>
      </c>
      <c r="G1803" s="1">
        <v>42104</v>
      </c>
      <c r="H1803" s="1">
        <v>44210</v>
      </c>
      <c r="I1803" t="s">
        <v>189</v>
      </c>
      <c r="L1803" t="s">
        <v>4252</v>
      </c>
    </row>
    <row r="1804" spans="1:40" x14ac:dyDescent="0.35">
      <c r="A1804">
        <v>6422688</v>
      </c>
      <c r="B1804" t="s">
        <v>5098</v>
      </c>
      <c r="C1804" t="str">
        <f>"9783319230955"</f>
        <v>9783319230955</v>
      </c>
      <c r="D1804" t="str">
        <f>"9783319230962"</f>
        <v>9783319230962</v>
      </c>
      <c r="E1804" t="s">
        <v>2289</v>
      </c>
      <c r="F1804" t="s">
        <v>2290</v>
      </c>
      <c r="G1804" s="1">
        <v>42433</v>
      </c>
      <c r="H1804" s="1">
        <v>44210</v>
      </c>
      <c r="I1804" t="s">
        <v>189</v>
      </c>
      <c r="K1804" t="s">
        <v>1208</v>
      </c>
      <c r="L1804" t="s">
        <v>5099</v>
      </c>
    </row>
    <row r="1805" spans="1:40" x14ac:dyDescent="0.35">
      <c r="A1805">
        <v>6422689</v>
      </c>
      <c r="B1805" t="s">
        <v>5100</v>
      </c>
      <c r="C1805" t="str">
        <f>"9783319162584"</f>
        <v>9783319162584</v>
      </c>
      <c r="D1805" t="str">
        <f>"9783319162591"</f>
        <v>9783319162591</v>
      </c>
      <c r="E1805" t="s">
        <v>2289</v>
      </c>
      <c r="F1805" t="s">
        <v>2290</v>
      </c>
      <c r="G1805" s="1">
        <v>42164</v>
      </c>
      <c r="H1805" s="1">
        <v>44210</v>
      </c>
      <c r="I1805" t="s">
        <v>189</v>
      </c>
      <c r="L1805" t="s">
        <v>5101</v>
      </c>
    </row>
    <row r="1806" spans="1:40" x14ac:dyDescent="0.35">
      <c r="A1806">
        <v>6422690</v>
      </c>
      <c r="B1806" t="s">
        <v>5102</v>
      </c>
      <c r="C1806" t="str">
        <f>"9783662468050"</f>
        <v>9783662468050</v>
      </c>
      <c r="D1806" t="str">
        <f>"9783662468067"</f>
        <v>9783662468067</v>
      </c>
      <c r="E1806" t="s">
        <v>4047</v>
      </c>
      <c r="F1806" t="s">
        <v>4766</v>
      </c>
      <c r="G1806" s="1">
        <v>42305</v>
      </c>
      <c r="H1806" s="1">
        <v>44210</v>
      </c>
      <c r="I1806" t="s">
        <v>189</v>
      </c>
      <c r="L1806" t="s">
        <v>5103</v>
      </c>
    </row>
    <row r="1807" spans="1:40" x14ac:dyDescent="0.35">
      <c r="A1807">
        <v>6422691</v>
      </c>
      <c r="B1807" t="s">
        <v>5104</v>
      </c>
      <c r="C1807" t="str">
        <f>"9783319389646"</f>
        <v>9783319389646</v>
      </c>
      <c r="D1807" t="str">
        <f>"9783319389653"</f>
        <v>9783319389653</v>
      </c>
      <c r="E1807" t="s">
        <v>2289</v>
      </c>
      <c r="F1807" t="s">
        <v>2290</v>
      </c>
      <c r="G1807" s="1">
        <v>42671</v>
      </c>
      <c r="H1807" s="1">
        <v>44210</v>
      </c>
      <c r="I1807" t="s">
        <v>189</v>
      </c>
      <c r="K1807" t="s">
        <v>4712</v>
      </c>
      <c r="L1807" t="s">
        <v>5105</v>
      </c>
    </row>
    <row r="1808" spans="1:40" x14ac:dyDescent="0.35">
      <c r="A1808">
        <v>6422692</v>
      </c>
      <c r="B1808" t="s">
        <v>5106</v>
      </c>
      <c r="C1808" t="str">
        <f>"9784431543398"</f>
        <v>9784431543398</v>
      </c>
      <c r="D1808" t="str">
        <f>"9784431543404"</f>
        <v>9784431543404</v>
      </c>
      <c r="E1808" t="s">
        <v>4001</v>
      </c>
      <c r="F1808" t="s">
        <v>2290</v>
      </c>
      <c r="G1808" s="1">
        <v>41374</v>
      </c>
      <c r="H1808" s="1">
        <v>44210</v>
      </c>
      <c r="I1808" t="s">
        <v>189</v>
      </c>
      <c r="L1808" t="s">
        <v>5107</v>
      </c>
    </row>
    <row r="1809" spans="1:40" x14ac:dyDescent="0.35">
      <c r="A1809">
        <v>6422693</v>
      </c>
      <c r="B1809" t="s">
        <v>5108</v>
      </c>
      <c r="C1809" t="str">
        <f>"9783662549810"</f>
        <v>9783662549810</v>
      </c>
      <c r="D1809" t="str">
        <f>"9783662549971"</f>
        <v>9783662549971</v>
      </c>
      <c r="E1809" t="s">
        <v>4047</v>
      </c>
      <c r="F1809" t="s">
        <v>4084</v>
      </c>
      <c r="G1809" s="1">
        <v>42916</v>
      </c>
      <c r="H1809" s="1">
        <v>44210</v>
      </c>
      <c r="I1809" t="s">
        <v>189</v>
      </c>
      <c r="L1809" t="s">
        <v>5109</v>
      </c>
    </row>
    <row r="1810" spans="1:40" x14ac:dyDescent="0.35">
      <c r="A1810">
        <v>6422695</v>
      </c>
      <c r="B1810" t="s">
        <v>5110</v>
      </c>
      <c r="C1810" t="str">
        <f>"9783030586409"</f>
        <v>9783030586409</v>
      </c>
      <c r="D1810" t="str">
        <f>"9783030586416"</f>
        <v>9783030586416</v>
      </c>
      <c r="E1810" t="s">
        <v>2289</v>
      </c>
      <c r="F1810" t="s">
        <v>2663</v>
      </c>
      <c r="G1810" s="1">
        <v>44187</v>
      </c>
      <c r="H1810" s="1">
        <v>44210</v>
      </c>
      <c r="I1810" t="s">
        <v>189</v>
      </c>
      <c r="L1810" t="s">
        <v>5111</v>
      </c>
      <c r="M1810" t="s">
        <v>219</v>
      </c>
      <c r="N1810" t="s">
        <v>5112</v>
      </c>
      <c r="O1810" s="2">
        <v>823709352</v>
      </c>
      <c r="Q1810" t="s">
        <v>260</v>
      </c>
      <c r="R1810" t="s">
        <v>261</v>
      </c>
      <c r="S1810" t="s">
        <v>261</v>
      </c>
      <c r="T1810" t="s">
        <v>261</v>
      </c>
      <c r="U1810" t="s">
        <v>262</v>
      </c>
      <c r="V1810" t="s">
        <v>262</v>
      </c>
      <c r="W1810" t="s">
        <v>261</v>
      </c>
      <c r="X1810" t="s">
        <v>261</v>
      </c>
      <c r="Y1810" t="s">
        <v>261</v>
      </c>
      <c r="Z1810" t="s">
        <v>409</v>
      </c>
      <c r="AA1810" t="s">
        <v>409</v>
      </c>
      <c r="AB1810" t="s">
        <v>409</v>
      </c>
      <c r="AC1810" t="s">
        <v>409</v>
      </c>
      <c r="AD1810" t="s">
        <v>261</v>
      </c>
      <c r="AH1810" t="s">
        <v>262</v>
      </c>
      <c r="AI1810" t="s">
        <v>262</v>
      </c>
      <c r="AJ1810" t="s">
        <v>261</v>
      </c>
      <c r="AK1810" t="s">
        <v>261</v>
      </c>
      <c r="AM1810" t="s">
        <v>262</v>
      </c>
      <c r="AN1810" t="s">
        <v>5113</v>
      </c>
    </row>
    <row r="1811" spans="1:40" x14ac:dyDescent="0.35">
      <c r="A1811">
        <v>6422696</v>
      </c>
      <c r="B1811" t="s">
        <v>5114</v>
      </c>
      <c r="C1811" t="str">
        <f>"9781493934546"</f>
        <v>9781493934546</v>
      </c>
      <c r="D1811" t="str">
        <f>"9781493934560"</f>
        <v>9781493934560</v>
      </c>
      <c r="E1811" t="s">
        <v>5115</v>
      </c>
      <c r="F1811" t="s">
        <v>2290</v>
      </c>
      <c r="G1811" s="1">
        <v>42913</v>
      </c>
      <c r="H1811" s="1">
        <v>44210</v>
      </c>
      <c r="I1811" t="s">
        <v>189</v>
      </c>
      <c r="L1811" t="s">
        <v>5116</v>
      </c>
      <c r="M1811" t="s">
        <v>3610</v>
      </c>
    </row>
    <row r="1812" spans="1:40" x14ac:dyDescent="0.35">
      <c r="A1812">
        <v>6422697</v>
      </c>
      <c r="B1812" t="s">
        <v>5117</v>
      </c>
      <c r="C1812" t="str">
        <f>"9783476051035"</f>
        <v>9783476051035</v>
      </c>
      <c r="D1812" t="str">
        <f>"9783476051042"</f>
        <v>9783476051042</v>
      </c>
      <c r="E1812" t="s">
        <v>5118</v>
      </c>
      <c r="F1812" t="s">
        <v>5118</v>
      </c>
      <c r="G1812" s="1">
        <v>43854</v>
      </c>
      <c r="H1812" s="1">
        <v>44210</v>
      </c>
      <c r="I1812" t="s">
        <v>189</v>
      </c>
      <c r="K1812" t="s">
        <v>5119</v>
      </c>
      <c r="L1812" t="s">
        <v>5120</v>
      </c>
      <c r="M1812" t="s">
        <v>219</v>
      </c>
      <c r="N1812" t="s">
        <v>5121</v>
      </c>
      <c r="Q1812" t="s">
        <v>408</v>
      </c>
      <c r="R1812" t="s">
        <v>261</v>
      </c>
      <c r="S1812" t="s">
        <v>261</v>
      </c>
      <c r="T1812" t="s">
        <v>261</v>
      </c>
      <c r="U1812" t="s">
        <v>262</v>
      </c>
      <c r="V1812" t="s">
        <v>262</v>
      </c>
      <c r="W1812" t="s">
        <v>261</v>
      </c>
      <c r="X1812" t="s">
        <v>262</v>
      </c>
      <c r="Y1812" t="s">
        <v>261</v>
      </c>
      <c r="Z1812" t="s">
        <v>409</v>
      </c>
      <c r="AA1812" t="s">
        <v>409</v>
      </c>
      <c r="AB1812" t="s">
        <v>409</v>
      </c>
      <c r="AC1812" t="s">
        <v>409</v>
      </c>
      <c r="AD1812" t="s">
        <v>261</v>
      </c>
      <c r="AH1812" t="s">
        <v>262</v>
      </c>
      <c r="AI1812" t="s">
        <v>262</v>
      </c>
      <c r="AJ1812" t="s">
        <v>261</v>
      </c>
      <c r="AK1812" t="s">
        <v>261</v>
      </c>
      <c r="AM1812" t="s">
        <v>262</v>
      </c>
      <c r="AN1812" t="s">
        <v>5122</v>
      </c>
    </row>
    <row r="1813" spans="1:40" x14ac:dyDescent="0.35">
      <c r="A1813">
        <v>6422698</v>
      </c>
      <c r="B1813" t="s">
        <v>5123</v>
      </c>
      <c r="C1813" t="str">
        <f>"9781484200773"</f>
        <v>9781484200773</v>
      </c>
      <c r="D1813" t="str">
        <f>"9781484200766"</f>
        <v>9781484200766</v>
      </c>
      <c r="E1813" t="s">
        <v>4514</v>
      </c>
      <c r="F1813" t="s">
        <v>4514</v>
      </c>
      <c r="G1813" s="1">
        <v>41952</v>
      </c>
      <c r="H1813" s="1">
        <v>44210</v>
      </c>
      <c r="I1813" t="s">
        <v>189</v>
      </c>
      <c r="J1813">
        <v>2</v>
      </c>
      <c r="L1813" t="s">
        <v>5124</v>
      </c>
    </row>
    <row r="1814" spans="1:40" x14ac:dyDescent="0.35">
      <c r="A1814">
        <v>6422699</v>
      </c>
      <c r="B1814" t="s">
        <v>5125</v>
      </c>
      <c r="C1814" t="str">
        <f>"9784431555360"</f>
        <v>9784431555360</v>
      </c>
      <c r="D1814" t="str">
        <f>"9784431555377"</f>
        <v>9784431555377</v>
      </c>
      <c r="E1814" t="s">
        <v>4001</v>
      </c>
      <c r="F1814" t="s">
        <v>2290</v>
      </c>
      <c r="G1814" s="1">
        <v>42206</v>
      </c>
      <c r="H1814" s="1">
        <v>44210</v>
      </c>
      <c r="I1814" t="s">
        <v>189</v>
      </c>
      <c r="L1814" t="s">
        <v>5126</v>
      </c>
    </row>
    <row r="1815" spans="1:40" x14ac:dyDescent="0.35">
      <c r="A1815">
        <v>6422700</v>
      </c>
      <c r="B1815" t="s">
        <v>5127</v>
      </c>
      <c r="C1815" t="str">
        <f>"9783319778235"</f>
        <v>9783319778235</v>
      </c>
      <c r="D1815" t="str">
        <f>"9783319778242"</f>
        <v>9783319778242</v>
      </c>
      <c r="E1815" t="s">
        <v>2289</v>
      </c>
      <c r="F1815" t="s">
        <v>2290</v>
      </c>
      <c r="G1815" s="1">
        <v>43216</v>
      </c>
      <c r="H1815" s="1">
        <v>44210</v>
      </c>
      <c r="I1815" t="s">
        <v>189</v>
      </c>
      <c r="K1815" t="s">
        <v>5128</v>
      </c>
      <c r="L1815" t="s">
        <v>5129</v>
      </c>
    </row>
    <row r="1816" spans="1:40" x14ac:dyDescent="0.35">
      <c r="A1816">
        <v>6422701</v>
      </c>
      <c r="B1816" t="s">
        <v>5130</v>
      </c>
      <c r="C1816" t="str">
        <f>"9781430261308"</f>
        <v>9781430261308</v>
      </c>
      <c r="D1816" t="str">
        <f>"9781430261315"</f>
        <v>9781430261315</v>
      </c>
      <c r="E1816" t="s">
        <v>4514</v>
      </c>
      <c r="F1816" t="s">
        <v>4514</v>
      </c>
      <c r="G1816" s="1">
        <v>41639</v>
      </c>
      <c r="H1816" s="1">
        <v>44210</v>
      </c>
      <c r="I1816" t="s">
        <v>189</v>
      </c>
      <c r="L1816" t="s">
        <v>5131</v>
      </c>
    </row>
    <row r="1817" spans="1:40" x14ac:dyDescent="0.35">
      <c r="A1817">
        <v>6422702</v>
      </c>
      <c r="B1817" t="s">
        <v>5132</v>
      </c>
      <c r="C1817" t="str">
        <f>"9784431545828"</f>
        <v>9784431545828</v>
      </c>
      <c r="D1817" t="str">
        <f>"9784431545835"</f>
        <v>9784431545835</v>
      </c>
      <c r="E1817" t="s">
        <v>4001</v>
      </c>
      <c r="F1817" t="s">
        <v>2290</v>
      </c>
      <c r="G1817" s="1">
        <v>41690</v>
      </c>
      <c r="H1817" s="1">
        <v>44210</v>
      </c>
      <c r="I1817" t="s">
        <v>189</v>
      </c>
      <c r="L1817" t="s">
        <v>5133</v>
      </c>
      <c r="M1817" t="s">
        <v>329</v>
      </c>
    </row>
    <row r="1818" spans="1:40" x14ac:dyDescent="0.35">
      <c r="A1818">
        <v>6422703</v>
      </c>
      <c r="B1818" t="s">
        <v>5134</v>
      </c>
      <c r="C1818" t="str">
        <f>"9781430251132"</f>
        <v>9781430251132</v>
      </c>
      <c r="D1818" t="str">
        <f>"9781430251149"</f>
        <v>9781430251149</v>
      </c>
      <c r="E1818" t="s">
        <v>4514</v>
      </c>
      <c r="F1818" t="s">
        <v>4514</v>
      </c>
      <c r="G1818" s="1">
        <v>41260</v>
      </c>
      <c r="H1818" s="1">
        <v>44210</v>
      </c>
      <c r="I1818" t="s">
        <v>189</v>
      </c>
      <c r="L1818" t="s">
        <v>5135</v>
      </c>
      <c r="M1818" t="s">
        <v>582</v>
      </c>
      <c r="N1818" t="s">
        <v>5136</v>
      </c>
      <c r="O1818" t="s">
        <v>5137</v>
      </c>
      <c r="Q1818" t="s">
        <v>260</v>
      </c>
      <c r="R1818" t="s">
        <v>261</v>
      </c>
      <c r="S1818" t="s">
        <v>261</v>
      </c>
      <c r="T1818" t="s">
        <v>261</v>
      </c>
      <c r="U1818" t="s">
        <v>262</v>
      </c>
      <c r="V1818" t="s">
        <v>262</v>
      </c>
      <c r="W1818" t="s">
        <v>261</v>
      </c>
      <c r="X1818" t="s">
        <v>262</v>
      </c>
      <c r="Y1818" t="s">
        <v>261</v>
      </c>
      <c r="Z1818" t="s">
        <v>409</v>
      </c>
      <c r="AA1818" t="s">
        <v>409</v>
      </c>
      <c r="AB1818" t="s">
        <v>409</v>
      </c>
      <c r="AC1818" t="s">
        <v>409</v>
      </c>
      <c r="AD1818" t="s">
        <v>261</v>
      </c>
      <c r="AH1818" t="s">
        <v>262</v>
      </c>
      <c r="AI1818" t="s">
        <v>262</v>
      </c>
      <c r="AJ1818" t="s">
        <v>261</v>
      </c>
      <c r="AK1818" t="s">
        <v>261</v>
      </c>
      <c r="AM1818" t="s">
        <v>262</v>
      </c>
      <c r="AN1818" t="s">
        <v>5138</v>
      </c>
    </row>
    <row r="1819" spans="1:40" x14ac:dyDescent="0.35">
      <c r="A1819">
        <v>6422704</v>
      </c>
      <c r="B1819" t="s">
        <v>5139</v>
      </c>
      <c r="C1819" t="str">
        <f>"9783319586878"</f>
        <v>9783319586878</v>
      </c>
      <c r="D1819" t="str">
        <f>"9783319586892"</f>
        <v>9783319586892</v>
      </c>
      <c r="E1819" t="s">
        <v>2289</v>
      </c>
      <c r="F1819" t="s">
        <v>2290</v>
      </c>
      <c r="G1819" s="1">
        <v>43028</v>
      </c>
      <c r="H1819" s="1">
        <v>44210</v>
      </c>
      <c r="I1819" t="s">
        <v>189</v>
      </c>
      <c r="K1819" t="s">
        <v>3559</v>
      </c>
      <c r="L1819" t="s">
        <v>5140</v>
      </c>
    </row>
    <row r="1820" spans="1:40" x14ac:dyDescent="0.35">
      <c r="A1820">
        <v>6422705</v>
      </c>
      <c r="B1820" t="s">
        <v>5141</v>
      </c>
      <c r="C1820" t="str">
        <f>"9783319972015"</f>
        <v>9783319972015</v>
      </c>
      <c r="D1820" t="str">
        <f>"9783319972022"</f>
        <v>9783319972022</v>
      </c>
      <c r="E1820" t="s">
        <v>2289</v>
      </c>
      <c r="F1820" t="s">
        <v>2663</v>
      </c>
      <c r="G1820" s="1">
        <v>43397</v>
      </c>
      <c r="H1820" s="1">
        <v>44210</v>
      </c>
      <c r="I1820" t="s">
        <v>189</v>
      </c>
      <c r="L1820" t="s">
        <v>5142</v>
      </c>
      <c r="M1820" t="s">
        <v>1687</v>
      </c>
    </row>
    <row r="1821" spans="1:40" x14ac:dyDescent="0.35">
      <c r="A1821">
        <v>6422706</v>
      </c>
      <c r="B1821" t="s">
        <v>5143</v>
      </c>
      <c r="C1821" t="str">
        <f>"9783319295428"</f>
        <v>9783319295428</v>
      </c>
      <c r="D1821" t="str">
        <f>"9783319295442"</f>
        <v>9783319295442</v>
      </c>
      <c r="E1821" t="s">
        <v>2289</v>
      </c>
      <c r="F1821" t="s">
        <v>2290</v>
      </c>
      <c r="G1821" s="1">
        <v>42500</v>
      </c>
      <c r="H1821" s="1">
        <v>44210</v>
      </c>
      <c r="I1821" t="s">
        <v>189</v>
      </c>
      <c r="L1821" t="s">
        <v>5144</v>
      </c>
    </row>
    <row r="1822" spans="1:40" x14ac:dyDescent="0.35">
      <c r="A1822">
        <v>6422710</v>
      </c>
      <c r="B1822" t="s">
        <v>5145</v>
      </c>
      <c r="C1822" t="str">
        <f>"9783662492031"</f>
        <v>9783662492031</v>
      </c>
      <c r="D1822" t="str">
        <f>"9783662492048"</f>
        <v>9783662492048</v>
      </c>
      <c r="E1822" t="s">
        <v>4047</v>
      </c>
      <c r="F1822" t="s">
        <v>2290</v>
      </c>
      <c r="G1822" s="1">
        <v>42524</v>
      </c>
      <c r="H1822" s="1">
        <v>44210</v>
      </c>
      <c r="I1822" t="s">
        <v>189</v>
      </c>
      <c r="L1822" t="s">
        <v>5146</v>
      </c>
    </row>
    <row r="1823" spans="1:40" x14ac:dyDescent="0.35">
      <c r="A1823">
        <v>6422712</v>
      </c>
      <c r="B1823" t="s">
        <v>5147</v>
      </c>
      <c r="C1823" t="str">
        <f>"9783319189703"</f>
        <v>9783319189703</v>
      </c>
      <c r="D1823" t="str">
        <f>"9783319189710"</f>
        <v>9783319189710</v>
      </c>
      <c r="E1823" t="s">
        <v>2289</v>
      </c>
      <c r="F1823" t="s">
        <v>2290</v>
      </c>
      <c r="G1823" s="1">
        <v>42319</v>
      </c>
      <c r="H1823" s="1">
        <v>44210</v>
      </c>
      <c r="I1823" t="s">
        <v>189</v>
      </c>
      <c r="K1823" t="s">
        <v>5148</v>
      </c>
      <c r="L1823" t="s">
        <v>5149</v>
      </c>
    </row>
    <row r="1824" spans="1:40" x14ac:dyDescent="0.35">
      <c r="A1824">
        <v>6422713</v>
      </c>
      <c r="B1824" t="s">
        <v>5150</v>
      </c>
      <c r="C1824" t="str">
        <f>"9781430265269"</f>
        <v>9781430265269</v>
      </c>
      <c r="D1824" t="str">
        <f>"9781430265276"</f>
        <v>9781430265276</v>
      </c>
      <c r="E1824" t="s">
        <v>4514</v>
      </c>
      <c r="F1824" t="s">
        <v>4514</v>
      </c>
      <c r="G1824" s="1">
        <v>41662</v>
      </c>
      <c r="H1824" s="1">
        <v>44210</v>
      </c>
      <c r="I1824" t="s">
        <v>189</v>
      </c>
      <c r="L1824" t="s">
        <v>5151</v>
      </c>
    </row>
    <row r="1825" spans="1:40" x14ac:dyDescent="0.35">
      <c r="A1825">
        <v>6422714</v>
      </c>
      <c r="B1825" t="s">
        <v>5152</v>
      </c>
      <c r="C1825" t="str">
        <f>"9783319652436"</f>
        <v>9783319652436</v>
      </c>
      <c r="D1825" t="str">
        <f>"9783319652443"</f>
        <v>9783319652443</v>
      </c>
      <c r="E1825" t="s">
        <v>2289</v>
      </c>
      <c r="F1825" t="s">
        <v>2663</v>
      </c>
      <c r="G1825" s="1">
        <v>43126</v>
      </c>
      <c r="H1825" s="1">
        <v>44210</v>
      </c>
      <c r="I1825" t="s">
        <v>189</v>
      </c>
      <c r="K1825" t="s">
        <v>4168</v>
      </c>
      <c r="L1825" t="s">
        <v>5153</v>
      </c>
      <c r="M1825" t="s">
        <v>329</v>
      </c>
    </row>
    <row r="1826" spans="1:40" x14ac:dyDescent="0.35">
      <c r="A1826">
        <v>6422715</v>
      </c>
      <c r="B1826" t="s">
        <v>5154</v>
      </c>
      <c r="C1826" t="str">
        <f>"9783030108212"</f>
        <v>9783030108212</v>
      </c>
      <c r="D1826" t="str">
        <f>"9783030108229"</f>
        <v>9783030108229</v>
      </c>
      <c r="E1826" t="s">
        <v>2289</v>
      </c>
      <c r="F1826" t="s">
        <v>2290</v>
      </c>
      <c r="G1826" s="1">
        <v>43501</v>
      </c>
      <c r="H1826" s="1">
        <v>44210</v>
      </c>
      <c r="I1826" t="s">
        <v>189</v>
      </c>
      <c r="K1826" t="s">
        <v>5155</v>
      </c>
      <c r="L1826" t="s">
        <v>5156</v>
      </c>
      <c r="M1826" t="s">
        <v>3610</v>
      </c>
    </row>
    <row r="1827" spans="1:40" x14ac:dyDescent="0.35">
      <c r="A1827">
        <v>6422716</v>
      </c>
      <c r="B1827" t="s">
        <v>5157</v>
      </c>
      <c r="C1827" t="str">
        <f>"9783319656380"</f>
        <v>9783319656380</v>
      </c>
      <c r="D1827" t="str">
        <f>"9783319656397"</f>
        <v>9783319656397</v>
      </c>
      <c r="E1827" t="s">
        <v>2289</v>
      </c>
      <c r="F1827" t="s">
        <v>2290</v>
      </c>
      <c r="G1827" s="1">
        <v>43062</v>
      </c>
      <c r="H1827" s="1">
        <v>44210</v>
      </c>
      <c r="I1827" t="s">
        <v>189</v>
      </c>
      <c r="L1827" t="s">
        <v>5158</v>
      </c>
    </row>
    <row r="1828" spans="1:40" x14ac:dyDescent="0.35">
      <c r="A1828">
        <v>6422717</v>
      </c>
      <c r="B1828" t="s">
        <v>5159</v>
      </c>
      <c r="C1828" t="str">
        <f>"9783662458532"</f>
        <v>9783662458532</v>
      </c>
      <c r="D1828" t="str">
        <f>"9783662458549"</f>
        <v>9783662458549</v>
      </c>
      <c r="E1828" t="s">
        <v>4047</v>
      </c>
      <c r="F1828" t="s">
        <v>4084</v>
      </c>
      <c r="G1828" s="1">
        <v>42128</v>
      </c>
      <c r="H1828" s="1">
        <v>44210</v>
      </c>
      <c r="I1828" t="s">
        <v>189</v>
      </c>
      <c r="L1828" t="s">
        <v>4835</v>
      </c>
    </row>
    <row r="1829" spans="1:40" x14ac:dyDescent="0.35">
      <c r="A1829">
        <v>6422718</v>
      </c>
      <c r="B1829" t="s">
        <v>5160</v>
      </c>
      <c r="C1829" t="str">
        <f>"9783319257167"</f>
        <v>9783319257167</v>
      </c>
      <c r="D1829" t="str">
        <f>"9783319257181"</f>
        <v>9783319257181</v>
      </c>
      <c r="E1829" t="s">
        <v>2289</v>
      </c>
      <c r="F1829" t="s">
        <v>2290</v>
      </c>
      <c r="G1829" s="1">
        <v>42432</v>
      </c>
      <c r="H1829" s="1">
        <v>44210</v>
      </c>
      <c r="I1829" t="s">
        <v>189</v>
      </c>
      <c r="L1829" t="s">
        <v>5161</v>
      </c>
    </row>
    <row r="1830" spans="1:40" x14ac:dyDescent="0.35">
      <c r="A1830">
        <v>6422719</v>
      </c>
      <c r="B1830" t="s">
        <v>5162</v>
      </c>
      <c r="C1830" t="str">
        <f>"9789812878250"</f>
        <v>9789812878250</v>
      </c>
      <c r="D1830" t="str">
        <f>"9789812878267"</f>
        <v>9789812878267</v>
      </c>
      <c r="E1830" t="s">
        <v>3404</v>
      </c>
      <c r="F1830" t="s">
        <v>2290</v>
      </c>
      <c r="G1830" s="1">
        <v>42412</v>
      </c>
      <c r="H1830" s="1">
        <v>44210</v>
      </c>
      <c r="I1830" t="s">
        <v>189</v>
      </c>
      <c r="L1830" t="s">
        <v>5163</v>
      </c>
      <c r="M1830" t="s">
        <v>964</v>
      </c>
      <c r="N1830" t="s">
        <v>5164</v>
      </c>
      <c r="O1830" s="2">
        <v>36373874095</v>
      </c>
      <c r="Q1830" t="s">
        <v>260</v>
      </c>
      <c r="R1830" t="s">
        <v>261</v>
      </c>
      <c r="S1830" t="s">
        <v>261</v>
      </c>
      <c r="T1830" t="s">
        <v>261</v>
      </c>
      <c r="U1830" t="s">
        <v>262</v>
      </c>
      <c r="V1830" t="s">
        <v>262</v>
      </c>
      <c r="W1830" t="s">
        <v>261</v>
      </c>
      <c r="X1830" t="s">
        <v>262</v>
      </c>
      <c r="Y1830" t="s">
        <v>261</v>
      </c>
      <c r="Z1830" t="s">
        <v>409</v>
      </c>
      <c r="AA1830" t="s">
        <v>409</v>
      </c>
      <c r="AB1830" t="s">
        <v>409</v>
      </c>
      <c r="AC1830" t="s">
        <v>409</v>
      </c>
      <c r="AD1830" t="s">
        <v>261</v>
      </c>
      <c r="AH1830" t="s">
        <v>262</v>
      </c>
      <c r="AI1830" t="s">
        <v>262</v>
      </c>
      <c r="AJ1830" t="s">
        <v>261</v>
      </c>
      <c r="AK1830" t="s">
        <v>261</v>
      </c>
      <c r="AM1830" t="s">
        <v>262</v>
      </c>
      <c r="AN1830" t="s">
        <v>5165</v>
      </c>
    </row>
    <row r="1831" spans="1:40" x14ac:dyDescent="0.35">
      <c r="A1831">
        <v>6422720</v>
      </c>
      <c r="B1831" t="s">
        <v>5166</v>
      </c>
      <c r="C1831" t="str">
        <f>"9783476049759"</f>
        <v>9783476049759</v>
      </c>
      <c r="D1831" t="str">
        <f>"9783476049766"</f>
        <v>9783476049766</v>
      </c>
      <c r="E1831" t="s">
        <v>5118</v>
      </c>
      <c r="F1831" t="s">
        <v>5118</v>
      </c>
      <c r="G1831" s="1">
        <v>43766</v>
      </c>
      <c r="H1831" s="1">
        <v>44210</v>
      </c>
      <c r="I1831" t="s">
        <v>189</v>
      </c>
      <c r="L1831" t="s">
        <v>5167</v>
      </c>
    </row>
    <row r="1832" spans="1:40" x14ac:dyDescent="0.35">
      <c r="A1832">
        <v>6422721</v>
      </c>
      <c r="B1832" t="s">
        <v>5168</v>
      </c>
      <c r="C1832" t="str">
        <f>"9783319457680"</f>
        <v>9783319457680</v>
      </c>
      <c r="D1832" t="str">
        <f>"9783319457697"</f>
        <v>9783319457697</v>
      </c>
      <c r="E1832" t="s">
        <v>2289</v>
      </c>
      <c r="F1832" t="s">
        <v>2663</v>
      </c>
      <c r="G1832" s="1">
        <v>42740</v>
      </c>
      <c r="H1832" s="1">
        <v>44210</v>
      </c>
      <c r="I1832" t="s">
        <v>189</v>
      </c>
      <c r="L1832" t="s">
        <v>5169</v>
      </c>
      <c r="M1832" t="s">
        <v>210</v>
      </c>
      <c r="N1832" t="s">
        <v>5170</v>
      </c>
      <c r="Q1832" t="s">
        <v>260</v>
      </c>
      <c r="R1832" t="s">
        <v>261</v>
      </c>
      <c r="S1832" t="s">
        <v>261</v>
      </c>
      <c r="T1832" t="s">
        <v>261</v>
      </c>
      <c r="U1832" t="s">
        <v>262</v>
      </c>
      <c r="V1832" t="s">
        <v>262</v>
      </c>
      <c r="W1832" t="s">
        <v>261</v>
      </c>
      <c r="X1832" t="s">
        <v>262</v>
      </c>
      <c r="Y1832" t="s">
        <v>261</v>
      </c>
      <c r="Z1832" t="s">
        <v>409</v>
      </c>
      <c r="AA1832" t="s">
        <v>409</v>
      </c>
      <c r="AB1832" t="s">
        <v>409</v>
      </c>
      <c r="AC1832" t="s">
        <v>409</v>
      </c>
      <c r="AD1832" t="s">
        <v>261</v>
      </c>
      <c r="AH1832" t="s">
        <v>262</v>
      </c>
      <c r="AI1832" t="s">
        <v>262</v>
      </c>
      <c r="AJ1832" t="s">
        <v>261</v>
      </c>
      <c r="AK1832" t="s">
        <v>261</v>
      </c>
      <c r="AM1832" t="s">
        <v>262</v>
      </c>
      <c r="AN1832" t="s">
        <v>5171</v>
      </c>
    </row>
    <row r="1833" spans="1:40" x14ac:dyDescent="0.35">
      <c r="A1833">
        <v>6422722</v>
      </c>
      <c r="B1833" t="s">
        <v>5172</v>
      </c>
      <c r="C1833" t="str">
        <f>"9781430259299"</f>
        <v>9781430259299</v>
      </c>
      <c r="D1833" t="str">
        <f>"9781430259305"</f>
        <v>9781430259305</v>
      </c>
      <c r="E1833" t="s">
        <v>4514</v>
      </c>
      <c r="F1833" t="s">
        <v>4514</v>
      </c>
      <c r="G1833" s="1">
        <v>41789</v>
      </c>
      <c r="H1833" s="1">
        <v>44210</v>
      </c>
      <c r="I1833" t="s">
        <v>189</v>
      </c>
      <c r="L1833" t="s">
        <v>5173</v>
      </c>
      <c r="M1833" t="s">
        <v>3574</v>
      </c>
    </row>
    <row r="1834" spans="1:40" x14ac:dyDescent="0.35">
      <c r="A1834">
        <v>6422723</v>
      </c>
      <c r="B1834" t="s">
        <v>5174</v>
      </c>
      <c r="C1834" t="str">
        <f>"9783319130231"</f>
        <v>9783319130231</v>
      </c>
      <c r="D1834" t="str">
        <f>"9783319130248"</f>
        <v>9783319130248</v>
      </c>
      <c r="E1834" t="s">
        <v>2289</v>
      </c>
      <c r="F1834" t="s">
        <v>2290</v>
      </c>
      <c r="G1834" s="1">
        <v>42157</v>
      </c>
      <c r="H1834" s="1">
        <v>44210</v>
      </c>
      <c r="I1834" t="s">
        <v>189</v>
      </c>
      <c r="K1834" t="s">
        <v>1208</v>
      </c>
      <c r="L1834" t="s">
        <v>5175</v>
      </c>
      <c r="M1834" t="s">
        <v>329</v>
      </c>
    </row>
    <row r="1835" spans="1:40" x14ac:dyDescent="0.35">
      <c r="A1835">
        <v>6422724</v>
      </c>
      <c r="B1835" t="s">
        <v>5176</v>
      </c>
      <c r="C1835" t="str">
        <f>"9783662492659"</f>
        <v>9783662492659</v>
      </c>
      <c r="D1835" t="str">
        <f>"9783662492666"</f>
        <v>9783662492666</v>
      </c>
      <c r="E1835" t="s">
        <v>4047</v>
      </c>
      <c r="F1835" t="s">
        <v>4084</v>
      </c>
      <c r="G1835" s="1">
        <v>43104</v>
      </c>
      <c r="H1835" s="1">
        <v>44210</v>
      </c>
      <c r="I1835" t="s">
        <v>189</v>
      </c>
      <c r="L1835" t="s">
        <v>5177</v>
      </c>
    </row>
    <row r="1836" spans="1:40" x14ac:dyDescent="0.35">
      <c r="A1836">
        <v>6422725</v>
      </c>
      <c r="B1836" t="s">
        <v>5178</v>
      </c>
      <c r="C1836" t="str">
        <f>"9783319446080"</f>
        <v>9783319446080</v>
      </c>
      <c r="D1836" t="str">
        <f>"9783319446103"</f>
        <v>9783319446103</v>
      </c>
      <c r="E1836" t="s">
        <v>2289</v>
      </c>
      <c r="F1836" t="s">
        <v>2290</v>
      </c>
      <c r="G1836" s="1">
        <v>42783</v>
      </c>
      <c r="H1836" s="1">
        <v>44210</v>
      </c>
      <c r="I1836" t="s">
        <v>189</v>
      </c>
      <c r="K1836" t="s">
        <v>1208</v>
      </c>
      <c r="L1836" t="s">
        <v>5179</v>
      </c>
    </row>
    <row r="1837" spans="1:40" x14ac:dyDescent="0.35">
      <c r="A1837">
        <v>6422727</v>
      </c>
      <c r="B1837" t="s">
        <v>5180</v>
      </c>
      <c r="C1837" t="str">
        <f>"9783662557884"</f>
        <v>9783662557884</v>
      </c>
      <c r="D1837" t="str">
        <f>"9783662557969"</f>
        <v>9783662557969</v>
      </c>
      <c r="E1837" t="s">
        <v>4047</v>
      </c>
      <c r="F1837" t="s">
        <v>4084</v>
      </c>
      <c r="G1837" s="1">
        <v>43131</v>
      </c>
      <c r="H1837" s="1">
        <v>44210</v>
      </c>
      <c r="I1837" t="s">
        <v>189</v>
      </c>
      <c r="L1837" t="s">
        <v>4670</v>
      </c>
      <c r="M1837" t="s">
        <v>1302</v>
      </c>
    </row>
    <row r="1838" spans="1:40" x14ac:dyDescent="0.35">
      <c r="A1838">
        <v>6422728</v>
      </c>
      <c r="B1838" t="s">
        <v>5181</v>
      </c>
      <c r="C1838" t="str">
        <f>"9783319446950"</f>
        <v>9783319446950</v>
      </c>
      <c r="D1838" t="str">
        <f>"9783319446967"</f>
        <v>9783319446967</v>
      </c>
      <c r="E1838" t="s">
        <v>2289</v>
      </c>
      <c r="F1838" t="s">
        <v>2290</v>
      </c>
      <c r="G1838" s="1">
        <v>42698</v>
      </c>
      <c r="H1838" s="1">
        <v>44210</v>
      </c>
      <c r="I1838" t="s">
        <v>189</v>
      </c>
      <c r="J1838">
        <v>2</v>
      </c>
      <c r="L1838" t="s">
        <v>5182</v>
      </c>
      <c r="M1838" t="s">
        <v>316</v>
      </c>
    </row>
    <row r="1839" spans="1:40" x14ac:dyDescent="0.35">
      <c r="A1839">
        <v>6422729</v>
      </c>
      <c r="B1839" t="s">
        <v>5183</v>
      </c>
      <c r="C1839" t="str">
        <f>"9789401789585"</f>
        <v>9789401789585</v>
      </c>
      <c r="D1839" t="str">
        <f>"9789401789592"</f>
        <v>9789401789592</v>
      </c>
      <c r="E1839" t="s">
        <v>4164</v>
      </c>
      <c r="F1839" t="s">
        <v>2290</v>
      </c>
      <c r="G1839" s="1">
        <v>41821</v>
      </c>
      <c r="H1839" s="1">
        <v>44210</v>
      </c>
      <c r="I1839" t="s">
        <v>189</v>
      </c>
      <c r="L1839" t="s">
        <v>5184</v>
      </c>
    </row>
    <row r="1840" spans="1:40" x14ac:dyDescent="0.35">
      <c r="A1840">
        <v>6422730</v>
      </c>
      <c r="B1840" t="s">
        <v>5185</v>
      </c>
      <c r="C1840" t="str">
        <f>"9783658226237"</f>
        <v>9783658226237</v>
      </c>
      <c r="D1840" t="str">
        <f>"9783658226244"</f>
        <v>9783658226244</v>
      </c>
      <c r="E1840" t="s">
        <v>3972</v>
      </c>
      <c r="F1840" t="s">
        <v>3972</v>
      </c>
      <c r="G1840" s="1">
        <v>43291</v>
      </c>
      <c r="H1840" s="1">
        <v>44210</v>
      </c>
      <c r="I1840" t="s">
        <v>189</v>
      </c>
      <c r="K1840" t="s">
        <v>5186</v>
      </c>
      <c r="L1840" t="s">
        <v>5187</v>
      </c>
    </row>
    <row r="1841" spans="1:40" x14ac:dyDescent="0.35">
      <c r="A1841">
        <v>6422731</v>
      </c>
      <c r="B1841" t="s">
        <v>5188</v>
      </c>
      <c r="C1841" t="str">
        <f>"9783319106854"</f>
        <v>9783319106854</v>
      </c>
      <c r="D1841" t="str">
        <f>"9783319126883"</f>
        <v>9783319126883</v>
      </c>
      <c r="E1841" t="s">
        <v>2289</v>
      </c>
      <c r="F1841" t="s">
        <v>2290</v>
      </c>
      <c r="G1841" s="1">
        <v>42102</v>
      </c>
      <c r="H1841" s="1">
        <v>44210</v>
      </c>
      <c r="I1841" t="s">
        <v>189</v>
      </c>
      <c r="L1841" t="s">
        <v>5189</v>
      </c>
      <c r="M1841" t="s">
        <v>1318</v>
      </c>
      <c r="N1841" t="s">
        <v>4892</v>
      </c>
      <c r="Q1841" t="s">
        <v>260</v>
      </c>
      <c r="R1841" t="s">
        <v>261</v>
      </c>
      <c r="S1841" t="s">
        <v>261</v>
      </c>
      <c r="T1841" t="s">
        <v>261</v>
      </c>
      <c r="U1841" t="s">
        <v>262</v>
      </c>
      <c r="V1841" t="s">
        <v>262</v>
      </c>
      <c r="W1841" t="s">
        <v>261</v>
      </c>
      <c r="X1841" t="s">
        <v>262</v>
      </c>
      <c r="Y1841" t="s">
        <v>261</v>
      </c>
      <c r="Z1841" t="s">
        <v>409</v>
      </c>
      <c r="AA1841" t="s">
        <v>409</v>
      </c>
      <c r="AB1841" t="s">
        <v>409</v>
      </c>
      <c r="AC1841" t="s">
        <v>409</v>
      </c>
      <c r="AD1841" t="s">
        <v>261</v>
      </c>
      <c r="AH1841" t="s">
        <v>262</v>
      </c>
      <c r="AI1841" t="s">
        <v>262</v>
      </c>
      <c r="AJ1841" t="s">
        <v>261</v>
      </c>
      <c r="AK1841" t="s">
        <v>261</v>
      </c>
      <c r="AM1841" t="s">
        <v>262</v>
      </c>
      <c r="AN1841" t="s">
        <v>5190</v>
      </c>
    </row>
    <row r="1842" spans="1:40" x14ac:dyDescent="0.35">
      <c r="A1842">
        <v>6422732</v>
      </c>
      <c r="B1842" t="s">
        <v>5191</v>
      </c>
      <c r="C1842" t="str">
        <f>"9789811040610"</f>
        <v>9789811040610</v>
      </c>
      <c r="D1842" t="str">
        <f>"9789811040627"</f>
        <v>9789811040627</v>
      </c>
      <c r="E1842" t="s">
        <v>3404</v>
      </c>
      <c r="F1842" t="s">
        <v>2290</v>
      </c>
      <c r="G1842" s="1">
        <v>42895</v>
      </c>
      <c r="H1842" s="1">
        <v>44210</v>
      </c>
      <c r="I1842" t="s">
        <v>189</v>
      </c>
      <c r="L1842" t="s">
        <v>5192</v>
      </c>
    </row>
    <row r="1843" spans="1:40" x14ac:dyDescent="0.35">
      <c r="A1843">
        <v>6422734</v>
      </c>
      <c r="B1843" t="s">
        <v>5193</v>
      </c>
      <c r="C1843" t="str">
        <f>"9781137505712"</f>
        <v>9781137505712</v>
      </c>
      <c r="D1843" t="str">
        <f>"9781137505729"</f>
        <v>9781137505729</v>
      </c>
      <c r="E1843" t="s">
        <v>4183</v>
      </c>
      <c r="F1843" t="s">
        <v>2663</v>
      </c>
      <c r="G1843" s="1">
        <v>42375</v>
      </c>
      <c r="H1843" s="1">
        <v>44210</v>
      </c>
      <c r="I1843" t="s">
        <v>189</v>
      </c>
      <c r="L1843" t="s">
        <v>5194</v>
      </c>
    </row>
    <row r="1844" spans="1:40" x14ac:dyDescent="0.35">
      <c r="A1844">
        <v>6422735</v>
      </c>
      <c r="B1844" t="s">
        <v>5195</v>
      </c>
      <c r="C1844" t="str">
        <f>"9783319947174"</f>
        <v>9783319947174</v>
      </c>
      <c r="D1844" t="str">
        <f>"9783319947181"</f>
        <v>9783319947181</v>
      </c>
      <c r="E1844" t="s">
        <v>2289</v>
      </c>
      <c r="F1844" t="s">
        <v>2663</v>
      </c>
      <c r="G1844" s="1">
        <v>43384</v>
      </c>
      <c r="H1844" s="1">
        <v>44210</v>
      </c>
      <c r="I1844" t="s">
        <v>189</v>
      </c>
      <c r="K1844" t="s">
        <v>5196</v>
      </c>
      <c r="L1844" t="s">
        <v>5197</v>
      </c>
      <c r="M1844" t="s">
        <v>329</v>
      </c>
      <c r="N1844" t="s">
        <v>4170</v>
      </c>
      <c r="O1844" s="2">
        <v>36270942</v>
      </c>
      <c r="Q1844" t="s">
        <v>260</v>
      </c>
      <c r="R1844" t="s">
        <v>261</v>
      </c>
      <c r="S1844" t="s">
        <v>261</v>
      </c>
      <c r="T1844" t="s">
        <v>261</v>
      </c>
      <c r="U1844" t="s">
        <v>262</v>
      </c>
      <c r="V1844" t="s">
        <v>262</v>
      </c>
      <c r="W1844" t="s">
        <v>261</v>
      </c>
      <c r="X1844" t="s">
        <v>262</v>
      </c>
      <c r="Y1844" t="s">
        <v>261</v>
      </c>
      <c r="Z1844" t="s">
        <v>409</v>
      </c>
      <c r="AA1844" t="s">
        <v>409</v>
      </c>
      <c r="AB1844" t="s">
        <v>409</v>
      </c>
      <c r="AC1844" t="s">
        <v>409</v>
      </c>
      <c r="AD1844" t="s">
        <v>261</v>
      </c>
      <c r="AH1844" t="s">
        <v>262</v>
      </c>
      <c r="AI1844" t="s">
        <v>262</v>
      </c>
      <c r="AJ1844" t="s">
        <v>261</v>
      </c>
      <c r="AK1844" t="s">
        <v>261</v>
      </c>
      <c r="AM1844" t="s">
        <v>262</v>
      </c>
      <c r="AN1844" t="s">
        <v>5198</v>
      </c>
    </row>
    <row r="1845" spans="1:40" x14ac:dyDescent="0.35">
      <c r="A1845">
        <v>6422736</v>
      </c>
      <c r="B1845" t="s">
        <v>5199</v>
      </c>
      <c r="C1845" t="str">
        <f>"9783658205393"</f>
        <v>9783658205393</v>
      </c>
      <c r="D1845" t="str">
        <f>"9783658205409"</f>
        <v>9783658205409</v>
      </c>
      <c r="E1845" t="s">
        <v>3972</v>
      </c>
      <c r="F1845" t="s">
        <v>3972</v>
      </c>
      <c r="G1845" s="1">
        <v>43122</v>
      </c>
      <c r="H1845" s="1">
        <v>44210</v>
      </c>
      <c r="I1845" t="s">
        <v>189</v>
      </c>
      <c r="L1845" t="s">
        <v>5200</v>
      </c>
      <c r="M1845" t="s">
        <v>535</v>
      </c>
      <c r="N1845" t="s">
        <v>5201</v>
      </c>
      <c r="Q1845" t="s">
        <v>260</v>
      </c>
      <c r="R1845" t="s">
        <v>261</v>
      </c>
      <c r="S1845" t="s">
        <v>261</v>
      </c>
      <c r="T1845" t="s">
        <v>261</v>
      </c>
      <c r="U1845" t="s">
        <v>262</v>
      </c>
      <c r="V1845" t="s">
        <v>262</v>
      </c>
      <c r="W1845" t="s">
        <v>261</v>
      </c>
      <c r="X1845" t="s">
        <v>262</v>
      </c>
      <c r="Y1845" t="s">
        <v>261</v>
      </c>
      <c r="Z1845" t="s">
        <v>409</v>
      </c>
      <c r="AA1845" t="s">
        <v>409</v>
      </c>
      <c r="AB1845" t="s">
        <v>409</v>
      </c>
      <c r="AC1845" t="s">
        <v>409</v>
      </c>
      <c r="AD1845" t="s">
        <v>261</v>
      </c>
      <c r="AH1845" t="s">
        <v>262</v>
      </c>
      <c r="AI1845" t="s">
        <v>262</v>
      </c>
      <c r="AJ1845" t="s">
        <v>261</v>
      </c>
      <c r="AK1845" t="s">
        <v>261</v>
      </c>
      <c r="AM1845" t="s">
        <v>262</v>
      </c>
      <c r="AN1845" t="s">
        <v>5202</v>
      </c>
    </row>
    <row r="1846" spans="1:40" x14ac:dyDescent="0.35">
      <c r="A1846">
        <v>6422737</v>
      </c>
      <c r="B1846" t="s">
        <v>5203</v>
      </c>
      <c r="C1846" t="str">
        <f>"9783658084622"</f>
        <v>9783658084622</v>
      </c>
      <c r="D1846" t="str">
        <f>"9783658084639"</f>
        <v>9783658084639</v>
      </c>
      <c r="E1846" t="s">
        <v>3972</v>
      </c>
      <c r="F1846" t="s">
        <v>3972</v>
      </c>
      <c r="G1846" s="1">
        <v>42272</v>
      </c>
      <c r="H1846" s="1">
        <v>44210</v>
      </c>
      <c r="I1846" t="s">
        <v>189</v>
      </c>
      <c r="L1846" t="s">
        <v>5204</v>
      </c>
    </row>
    <row r="1847" spans="1:40" x14ac:dyDescent="0.35">
      <c r="A1847">
        <v>6422738</v>
      </c>
      <c r="B1847" t="s">
        <v>5205</v>
      </c>
      <c r="C1847" t="str">
        <f>"9783319601915"</f>
        <v>9783319601915</v>
      </c>
      <c r="D1847" t="str">
        <f>"9783319601922"</f>
        <v>9783319601922</v>
      </c>
      <c r="E1847" t="s">
        <v>2289</v>
      </c>
      <c r="F1847" t="s">
        <v>2290</v>
      </c>
      <c r="G1847" s="1">
        <v>43000</v>
      </c>
      <c r="H1847" s="1">
        <v>44210</v>
      </c>
      <c r="I1847" t="s">
        <v>189</v>
      </c>
      <c r="K1847" t="s">
        <v>5206</v>
      </c>
      <c r="L1847" t="s">
        <v>5207</v>
      </c>
    </row>
    <row r="1848" spans="1:40" x14ac:dyDescent="0.35">
      <c r="A1848">
        <v>6422739</v>
      </c>
      <c r="B1848" t="s">
        <v>5208</v>
      </c>
      <c r="C1848" t="str">
        <f>"9781430260134"</f>
        <v>9781430260134</v>
      </c>
      <c r="D1848" t="str">
        <f>"9781430260141"</f>
        <v>9781430260141</v>
      </c>
      <c r="E1848" t="s">
        <v>4514</v>
      </c>
      <c r="F1848" t="s">
        <v>4514</v>
      </c>
      <c r="G1848" s="1">
        <v>41629</v>
      </c>
      <c r="H1848" s="1">
        <v>44210</v>
      </c>
      <c r="I1848" t="s">
        <v>189</v>
      </c>
      <c r="L1848" t="s">
        <v>5209</v>
      </c>
    </row>
    <row r="1849" spans="1:40" x14ac:dyDescent="0.35">
      <c r="A1849">
        <v>6422740</v>
      </c>
      <c r="B1849" t="s">
        <v>5210</v>
      </c>
      <c r="C1849" t="str">
        <f>"9783319316154"</f>
        <v>9783319316154</v>
      </c>
      <c r="D1849" t="str">
        <f>"9783319316161"</f>
        <v>9783319316161</v>
      </c>
      <c r="E1849" t="s">
        <v>2289</v>
      </c>
      <c r="F1849" t="s">
        <v>2290</v>
      </c>
      <c r="G1849" s="1">
        <v>42585</v>
      </c>
      <c r="H1849" s="1">
        <v>44210</v>
      </c>
      <c r="I1849" t="s">
        <v>189</v>
      </c>
      <c r="K1849" t="s">
        <v>4712</v>
      </c>
      <c r="L1849" t="s">
        <v>5211</v>
      </c>
    </row>
    <row r="1850" spans="1:40" x14ac:dyDescent="0.35">
      <c r="A1850">
        <v>6422741</v>
      </c>
      <c r="B1850" t="s">
        <v>5212</v>
      </c>
      <c r="C1850" t="str">
        <f>"9783319393568"</f>
        <v>9783319393568</v>
      </c>
      <c r="D1850" t="str">
        <f>"9783319393575"</f>
        <v>9783319393575</v>
      </c>
      <c r="E1850" t="s">
        <v>2289</v>
      </c>
      <c r="F1850" t="s">
        <v>2290</v>
      </c>
      <c r="G1850" s="1">
        <v>42591</v>
      </c>
      <c r="H1850" s="1">
        <v>44210</v>
      </c>
      <c r="I1850" t="s">
        <v>189</v>
      </c>
      <c r="L1850" t="s">
        <v>79</v>
      </c>
    </row>
    <row r="1851" spans="1:40" x14ac:dyDescent="0.35">
      <c r="A1851">
        <v>6422742</v>
      </c>
      <c r="B1851" t="s">
        <v>5213</v>
      </c>
      <c r="C1851" t="str">
        <f>"9783319104249"</f>
        <v>9783319104249</v>
      </c>
      <c r="D1851" t="str">
        <f>"9783319104256"</f>
        <v>9783319104256</v>
      </c>
      <c r="E1851" t="s">
        <v>2289</v>
      </c>
      <c r="F1851" t="s">
        <v>2290</v>
      </c>
      <c r="G1851" s="1">
        <v>42620</v>
      </c>
      <c r="H1851" s="1">
        <v>44210</v>
      </c>
      <c r="I1851" t="s">
        <v>189</v>
      </c>
      <c r="L1851" t="s">
        <v>5214</v>
      </c>
      <c r="M1851" t="s">
        <v>964</v>
      </c>
    </row>
    <row r="1852" spans="1:40" x14ac:dyDescent="0.35">
      <c r="A1852">
        <v>6422743</v>
      </c>
      <c r="B1852" t="s">
        <v>5215</v>
      </c>
      <c r="C1852" t="str">
        <f>"9781137403599"</f>
        <v>9781137403599</v>
      </c>
      <c r="D1852" t="str">
        <f>"9781137403605"</f>
        <v>9781137403605</v>
      </c>
      <c r="E1852" t="s">
        <v>4183</v>
      </c>
      <c r="F1852" t="s">
        <v>2663</v>
      </c>
      <c r="G1852" s="1">
        <v>41890</v>
      </c>
      <c r="H1852" s="1">
        <v>44210</v>
      </c>
      <c r="I1852" t="s">
        <v>189</v>
      </c>
      <c r="L1852" t="s">
        <v>5216</v>
      </c>
    </row>
    <row r="1853" spans="1:40" x14ac:dyDescent="0.35">
      <c r="A1853">
        <v>6422744</v>
      </c>
      <c r="B1853" t="s">
        <v>5217</v>
      </c>
      <c r="C1853" t="str">
        <f>"9783319394497"</f>
        <v>9783319394497</v>
      </c>
      <c r="D1853" t="str">
        <f>"9783319394503"</f>
        <v>9783319394503</v>
      </c>
      <c r="E1853" t="s">
        <v>2289</v>
      </c>
      <c r="F1853" t="s">
        <v>2290</v>
      </c>
      <c r="G1853" s="1">
        <v>42543</v>
      </c>
      <c r="H1853" s="1">
        <v>44210</v>
      </c>
      <c r="I1853" t="s">
        <v>189</v>
      </c>
      <c r="K1853" t="s">
        <v>4712</v>
      </c>
      <c r="L1853" t="s">
        <v>5218</v>
      </c>
    </row>
    <row r="1854" spans="1:40" x14ac:dyDescent="0.35">
      <c r="A1854">
        <v>6422746</v>
      </c>
      <c r="B1854" t="s">
        <v>5219</v>
      </c>
      <c r="C1854" t="str">
        <f>"9783319254586"</f>
        <v>9783319254586</v>
      </c>
      <c r="D1854" t="str">
        <f>"9783319254609"</f>
        <v>9783319254609</v>
      </c>
      <c r="E1854" t="s">
        <v>2289</v>
      </c>
      <c r="F1854" t="s">
        <v>5220</v>
      </c>
      <c r="G1854" s="1">
        <v>42359</v>
      </c>
      <c r="H1854" s="1">
        <v>44210</v>
      </c>
      <c r="I1854" t="s">
        <v>189</v>
      </c>
      <c r="L1854" t="s">
        <v>5221</v>
      </c>
    </row>
    <row r="1855" spans="1:40" x14ac:dyDescent="0.35">
      <c r="A1855">
        <v>6422747</v>
      </c>
      <c r="B1855" t="s">
        <v>5222</v>
      </c>
      <c r="C1855" t="str">
        <f>"9789811052682"</f>
        <v>9789811052682</v>
      </c>
      <c r="D1855" t="str">
        <f>"9789811052699"</f>
        <v>9789811052699</v>
      </c>
      <c r="E1855" t="s">
        <v>3404</v>
      </c>
      <c r="F1855" t="s">
        <v>2290</v>
      </c>
      <c r="G1855" s="1">
        <v>43168</v>
      </c>
      <c r="H1855" s="1">
        <v>44210</v>
      </c>
      <c r="I1855" t="s">
        <v>189</v>
      </c>
      <c r="L1855" t="s">
        <v>5223</v>
      </c>
    </row>
    <row r="1856" spans="1:40" x14ac:dyDescent="0.35">
      <c r="A1856">
        <v>6422748</v>
      </c>
      <c r="B1856" t="s">
        <v>5224</v>
      </c>
      <c r="C1856" t="str">
        <f>"9783658158972"</f>
        <v>9783658158972</v>
      </c>
      <c r="D1856" t="str">
        <f>"9783658158989"</f>
        <v>9783658158989</v>
      </c>
      <c r="E1856" t="s">
        <v>3972</v>
      </c>
      <c r="F1856" t="s">
        <v>3998</v>
      </c>
      <c r="G1856" s="1">
        <v>42794</v>
      </c>
      <c r="H1856" s="1">
        <v>44210</v>
      </c>
      <c r="I1856" t="s">
        <v>189</v>
      </c>
      <c r="L1856" t="s">
        <v>5225</v>
      </c>
      <c r="M1856" t="s">
        <v>210</v>
      </c>
      <c r="N1856" t="s">
        <v>4679</v>
      </c>
      <c r="Q1856" t="s">
        <v>408</v>
      </c>
      <c r="R1856" t="s">
        <v>261</v>
      </c>
      <c r="S1856" t="s">
        <v>261</v>
      </c>
      <c r="T1856" t="s">
        <v>261</v>
      </c>
      <c r="U1856" t="s">
        <v>262</v>
      </c>
      <c r="V1856" t="s">
        <v>262</v>
      </c>
      <c r="W1856" t="s">
        <v>261</v>
      </c>
      <c r="X1856" t="s">
        <v>262</v>
      </c>
      <c r="Y1856" t="s">
        <v>261</v>
      </c>
      <c r="Z1856" t="s">
        <v>409</v>
      </c>
      <c r="AA1856" t="s">
        <v>409</v>
      </c>
      <c r="AB1856" t="s">
        <v>409</v>
      </c>
      <c r="AC1856" t="s">
        <v>409</v>
      </c>
      <c r="AD1856" t="s">
        <v>261</v>
      </c>
      <c r="AH1856" t="s">
        <v>262</v>
      </c>
      <c r="AI1856" t="s">
        <v>262</v>
      </c>
      <c r="AJ1856" t="s">
        <v>261</v>
      </c>
      <c r="AK1856" t="s">
        <v>261</v>
      </c>
      <c r="AM1856" t="s">
        <v>262</v>
      </c>
      <c r="AN1856" t="s">
        <v>5226</v>
      </c>
    </row>
    <row r="1857" spans="1:40" x14ac:dyDescent="0.35">
      <c r="A1857">
        <v>6422749</v>
      </c>
      <c r="B1857" t="s">
        <v>5227</v>
      </c>
      <c r="C1857" t="str">
        <f>"9783319579658"</f>
        <v>9783319579658</v>
      </c>
      <c r="D1857" t="str">
        <f>"9783319579665"</f>
        <v>9783319579665</v>
      </c>
      <c r="E1857" t="s">
        <v>2289</v>
      </c>
      <c r="F1857" t="s">
        <v>2290</v>
      </c>
      <c r="G1857" s="1">
        <v>42873</v>
      </c>
      <c r="H1857" s="1">
        <v>44210</v>
      </c>
      <c r="I1857" t="s">
        <v>189</v>
      </c>
      <c r="K1857" t="s">
        <v>5228</v>
      </c>
      <c r="L1857" t="s">
        <v>5229</v>
      </c>
      <c r="M1857" t="s">
        <v>282</v>
      </c>
    </row>
    <row r="1858" spans="1:40" x14ac:dyDescent="0.35">
      <c r="A1858">
        <v>6422750</v>
      </c>
      <c r="B1858" t="s">
        <v>5230</v>
      </c>
      <c r="C1858" t="str">
        <f>"9784431545880"</f>
        <v>9784431545880</v>
      </c>
      <c r="D1858" t="str">
        <f>"9784431545897"</f>
        <v>9784431545897</v>
      </c>
      <c r="E1858" t="s">
        <v>4001</v>
      </c>
      <c r="F1858" t="s">
        <v>2290</v>
      </c>
      <c r="G1858" s="1">
        <v>41690</v>
      </c>
      <c r="H1858" s="1">
        <v>44210</v>
      </c>
      <c r="I1858" t="s">
        <v>189</v>
      </c>
      <c r="L1858" t="s">
        <v>5231</v>
      </c>
    </row>
    <row r="1859" spans="1:40" x14ac:dyDescent="0.35">
      <c r="A1859">
        <v>6422751</v>
      </c>
      <c r="B1859" t="s">
        <v>5232</v>
      </c>
      <c r="C1859" t="str">
        <f>"9783662564646"</f>
        <v>9783662564646</v>
      </c>
      <c r="D1859" t="str">
        <f>"9783662564653"</f>
        <v>9783662564653</v>
      </c>
      <c r="E1859" t="s">
        <v>4047</v>
      </c>
      <c r="F1859" t="s">
        <v>2290</v>
      </c>
      <c r="G1859" s="1">
        <v>43199</v>
      </c>
      <c r="H1859" s="1">
        <v>44210</v>
      </c>
      <c r="I1859" t="s">
        <v>189</v>
      </c>
      <c r="J1859">
        <v>5</v>
      </c>
      <c r="L1859" t="s">
        <v>5233</v>
      </c>
      <c r="M1859" t="s">
        <v>339</v>
      </c>
      <c r="N1859" t="s">
        <v>5234</v>
      </c>
      <c r="Q1859" t="s">
        <v>260</v>
      </c>
      <c r="R1859" t="s">
        <v>261</v>
      </c>
      <c r="S1859" t="s">
        <v>261</v>
      </c>
      <c r="T1859" t="s">
        <v>261</v>
      </c>
      <c r="U1859" t="s">
        <v>262</v>
      </c>
      <c r="V1859" t="s">
        <v>262</v>
      </c>
      <c r="W1859" t="s">
        <v>261</v>
      </c>
      <c r="X1859" t="s">
        <v>262</v>
      </c>
      <c r="Y1859" t="s">
        <v>261</v>
      </c>
      <c r="Z1859" t="s">
        <v>409</v>
      </c>
      <c r="AA1859" t="s">
        <v>409</v>
      </c>
      <c r="AB1859" t="s">
        <v>409</v>
      </c>
      <c r="AC1859" t="s">
        <v>409</v>
      </c>
      <c r="AD1859" t="s">
        <v>261</v>
      </c>
      <c r="AH1859" t="s">
        <v>262</v>
      </c>
      <c r="AI1859" t="s">
        <v>262</v>
      </c>
      <c r="AJ1859" t="s">
        <v>261</v>
      </c>
      <c r="AK1859" t="s">
        <v>261</v>
      </c>
      <c r="AM1859" t="s">
        <v>262</v>
      </c>
      <c r="AN1859" t="s">
        <v>5235</v>
      </c>
    </row>
    <row r="1860" spans="1:40" x14ac:dyDescent="0.35">
      <c r="A1860">
        <v>6422752</v>
      </c>
      <c r="B1860" t="s">
        <v>5236</v>
      </c>
      <c r="C1860" t="str">
        <f>"9783319265889"</f>
        <v>9783319265889</v>
      </c>
      <c r="D1860" t="str">
        <f>"9783319265902"</f>
        <v>9783319265902</v>
      </c>
      <c r="E1860" t="s">
        <v>2289</v>
      </c>
      <c r="F1860" t="s">
        <v>2290</v>
      </c>
      <c r="G1860" s="1">
        <v>42478</v>
      </c>
      <c r="H1860" s="1">
        <v>44210</v>
      </c>
      <c r="I1860" t="s">
        <v>189</v>
      </c>
      <c r="L1860" t="s">
        <v>5237</v>
      </c>
    </row>
    <row r="1861" spans="1:40" x14ac:dyDescent="0.35">
      <c r="A1861">
        <v>6422753</v>
      </c>
      <c r="B1861" t="s">
        <v>5238</v>
      </c>
      <c r="C1861" t="str">
        <f>"9783319635545"</f>
        <v>9783319635545</v>
      </c>
      <c r="D1861" t="str">
        <f>"9783319635552"</f>
        <v>9783319635552</v>
      </c>
      <c r="E1861" t="s">
        <v>2289</v>
      </c>
      <c r="F1861" t="s">
        <v>2290</v>
      </c>
      <c r="G1861" s="1">
        <v>43206</v>
      </c>
      <c r="H1861" s="1">
        <v>44210</v>
      </c>
      <c r="I1861" t="s">
        <v>189</v>
      </c>
      <c r="K1861" t="s">
        <v>5239</v>
      </c>
      <c r="L1861" t="s">
        <v>5240</v>
      </c>
    </row>
    <row r="1862" spans="1:40" x14ac:dyDescent="0.35">
      <c r="A1862">
        <v>6422754</v>
      </c>
      <c r="B1862" t="s">
        <v>5241</v>
      </c>
      <c r="C1862" t="str">
        <f>"9783658089641"</f>
        <v>9783658089641</v>
      </c>
      <c r="D1862" t="str">
        <f>"9783658089658"</f>
        <v>9783658089658</v>
      </c>
      <c r="E1862" t="s">
        <v>3972</v>
      </c>
      <c r="F1862" t="s">
        <v>2290</v>
      </c>
      <c r="G1862" s="1">
        <v>42285</v>
      </c>
      <c r="H1862" s="1">
        <v>44210</v>
      </c>
      <c r="I1862" t="s">
        <v>189</v>
      </c>
      <c r="K1862" t="s">
        <v>5242</v>
      </c>
      <c r="L1862" t="s">
        <v>5243</v>
      </c>
    </row>
    <row r="1863" spans="1:40" x14ac:dyDescent="0.35">
      <c r="A1863">
        <v>6422755</v>
      </c>
      <c r="B1863" t="s">
        <v>5244</v>
      </c>
      <c r="C1863" t="str">
        <f>"9789812874191"</f>
        <v>9789812874191</v>
      </c>
      <c r="D1863" t="str">
        <f>"9789812874207"</f>
        <v>9789812874207</v>
      </c>
      <c r="E1863" t="s">
        <v>3404</v>
      </c>
      <c r="F1863" t="s">
        <v>2290</v>
      </c>
      <c r="G1863" s="1">
        <v>42104</v>
      </c>
      <c r="H1863" s="1">
        <v>44210</v>
      </c>
      <c r="I1863" t="s">
        <v>189</v>
      </c>
      <c r="K1863" t="s">
        <v>4289</v>
      </c>
      <c r="L1863" t="s">
        <v>5245</v>
      </c>
    </row>
    <row r="1864" spans="1:40" x14ac:dyDescent="0.35">
      <c r="A1864">
        <v>6422756</v>
      </c>
      <c r="B1864" t="s">
        <v>5246</v>
      </c>
      <c r="C1864" t="str">
        <f>"9783319405681"</f>
        <v>9783319405681</v>
      </c>
      <c r="D1864" t="str">
        <f>"9783319405698"</f>
        <v>9783319405698</v>
      </c>
      <c r="E1864" t="s">
        <v>2289</v>
      </c>
      <c r="F1864" t="s">
        <v>2290</v>
      </c>
      <c r="G1864" s="1">
        <v>42586</v>
      </c>
      <c r="H1864" s="1">
        <v>44210</v>
      </c>
      <c r="I1864" t="s">
        <v>189</v>
      </c>
      <c r="K1864" t="s">
        <v>4712</v>
      </c>
      <c r="L1864" t="s">
        <v>5247</v>
      </c>
    </row>
    <row r="1865" spans="1:40" x14ac:dyDescent="0.35">
      <c r="A1865">
        <v>6422757</v>
      </c>
      <c r="B1865" t="s">
        <v>5248</v>
      </c>
      <c r="C1865" t="str">
        <f>"9783658226978"</f>
        <v>9783658226978</v>
      </c>
      <c r="D1865" t="str">
        <f>"9783658226985"</f>
        <v>9783658226985</v>
      </c>
      <c r="E1865" t="s">
        <v>3972</v>
      </c>
      <c r="F1865" t="s">
        <v>3972</v>
      </c>
      <c r="G1865" s="1">
        <v>43439</v>
      </c>
      <c r="H1865" s="1">
        <v>44210</v>
      </c>
      <c r="I1865" t="s">
        <v>189</v>
      </c>
      <c r="L1865" t="s">
        <v>5249</v>
      </c>
      <c r="M1865" t="s">
        <v>249</v>
      </c>
      <c r="N1865" t="s">
        <v>5250</v>
      </c>
      <c r="Q1865" t="s">
        <v>408</v>
      </c>
      <c r="R1865" t="s">
        <v>261</v>
      </c>
      <c r="S1865" t="s">
        <v>261</v>
      </c>
      <c r="T1865" t="s">
        <v>261</v>
      </c>
      <c r="U1865" t="s">
        <v>262</v>
      </c>
      <c r="V1865" t="s">
        <v>262</v>
      </c>
      <c r="W1865" t="s">
        <v>261</v>
      </c>
      <c r="X1865" t="s">
        <v>262</v>
      </c>
      <c r="Y1865" t="s">
        <v>261</v>
      </c>
      <c r="Z1865" t="s">
        <v>409</v>
      </c>
      <c r="AA1865" t="s">
        <v>409</v>
      </c>
      <c r="AB1865" t="s">
        <v>409</v>
      </c>
      <c r="AC1865" t="s">
        <v>409</v>
      </c>
      <c r="AD1865" t="s">
        <v>261</v>
      </c>
      <c r="AH1865" t="s">
        <v>262</v>
      </c>
      <c r="AI1865" t="s">
        <v>262</v>
      </c>
      <c r="AJ1865" t="s">
        <v>261</v>
      </c>
      <c r="AK1865" t="s">
        <v>261</v>
      </c>
      <c r="AM1865" t="s">
        <v>262</v>
      </c>
      <c r="AN1865" t="s">
        <v>5251</v>
      </c>
    </row>
    <row r="1866" spans="1:40" x14ac:dyDescent="0.35">
      <c r="A1866">
        <v>6422758</v>
      </c>
      <c r="B1866" t="s">
        <v>5252</v>
      </c>
      <c r="C1866" t="str">
        <f>"9783319990965"</f>
        <v>9783319990965</v>
      </c>
      <c r="D1866" t="str">
        <f>"9783319990972"</f>
        <v>9783319990972</v>
      </c>
      <c r="E1866" t="s">
        <v>2289</v>
      </c>
      <c r="F1866" t="s">
        <v>4450</v>
      </c>
      <c r="G1866" s="1">
        <v>43355</v>
      </c>
      <c r="H1866" s="1">
        <v>44210</v>
      </c>
      <c r="I1866" t="s">
        <v>189</v>
      </c>
      <c r="L1866" t="s">
        <v>5253</v>
      </c>
    </row>
    <row r="1867" spans="1:40" x14ac:dyDescent="0.35">
      <c r="A1867">
        <v>6422759</v>
      </c>
      <c r="B1867" t="s">
        <v>5254</v>
      </c>
      <c r="C1867" t="str">
        <f>"9783319786919"</f>
        <v>9783319786919</v>
      </c>
      <c r="D1867" t="str">
        <f>"9783319786926"</f>
        <v>9783319786926</v>
      </c>
      <c r="E1867" t="s">
        <v>2289</v>
      </c>
      <c r="F1867" t="s">
        <v>2290</v>
      </c>
      <c r="G1867" s="1">
        <v>43224</v>
      </c>
      <c r="H1867" s="1">
        <v>44210</v>
      </c>
      <c r="I1867" t="s">
        <v>189</v>
      </c>
      <c r="K1867" t="s">
        <v>4096</v>
      </c>
      <c r="L1867" t="s">
        <v>5255</v>
      </c>
    </row>
    <row r="1868" spans="1:40" x14ac:dyDescent="0.35">
      <c r="A1868">
        <v>6422760</v>
      </c>
      <c r="B1868" t="s">
        <v>5256</v>
      </c>
      <c r="C1868" t="str">
        <f>"9784431558262"</f>
        <v>9784431558262</v>
      </c>
      <c r="D1868" t="str">
        <f>"9784431558286"</f>
        <v>9784431558286</v>
      </c>
      <c r="E1868" t="s">
        <v>4001</v>
      </c>
      <c r="F1868" t="s">
        <v>2290</v>
      </c>
      <c r="G1868" s="1">
        <v>42447</v>
      </c>
      <c r="H1868" s="1">
        <v>44210</v>
      </c>
      <c r="I1868" t="s">
        <v>189</v>
      </c>
      <c r="L1868" t="s">
        <v>5043</v>
      </c>
    </row>
    <row r="1869" spans="1:40" x14ac:dyDescent="0.35">
      <c r="A1869">
        <v>6422761</v>
      </c>
      <c r="B1869" t="s">
        <v>5257</v>
      </c>
      <c r="C1869" t="str">
        <f>"9781430261483"</f>
        <v>9781430261483</v>
      </c>
      <c r="D1869" t="str">
        <f>"9781430261490"</f>
        <v>9781430261490</v>
      </c>
      <c r="E1869" t="s">
        <v>4514</v>
      </c>
      <c r="F1869" t="s">
        <v>4514</v>
      </c>
      <c r="G1869" s="1">
        <v>41600</v>
      </c>
      <c r="H1869" s="1">
        <v>44210</v>
      </c>
      <c r="I1869" t="s">
        <v>189</v>
      </c>
      <c r="L1869" t="s">
        <v>5258</v>
      </c>
    </row>
    <row r="1870" spans="1:40" x14ac:dyDescent="0.35">
      <c r="A1870">
        <v>6422762</v>
      </c>
      <c r="B1870" t="s">
        <v>5259</v>
      </c>
      <c r="C1870" t="str">
        <f>""</f>
        <v/>
      </c>
      <c r="D1870" t="str">
        <f>"9783662562703"</f>
        <v>9783662562703</v>
      </c>
      <c r="E1870" t="s">
        <v>4047</v>
      </c>
      <c r="F1870" t="s">
        <v>2290</v>
      </c>
      <c r="G1870" s="1">
        <v>43069</v>
      </c>
      <c r="H1870" s="1">
        <v>44210</v>
      </c>
      <c r="I1870" t="s">
        <v>189</v>
      </c>
      <c r="L1870" t="s">
        <v>5260</v>
      </c>
      <c r="M1870" t="s">
        <v>676</v>
      </c>
      <c r="N1870" t="s">
        <v>5261</v>
      </c>
      <c r="Q1870" t="s">
        <v>408</v>
      </c>
      <c r="R1870" t="s">
        <v>261</v>
      </c>
      <c r="S1870" t="s">
        <v>261</v>
      </c>
      <c r="T1870" t="s">
        <v>261</v>
      </c>
      <c r="U1870" t="s">
        <v>262</v>
      </c>
      <c r="V1870" t="s">
        <v>262</v>
      </c>
      <c r="W1870" t="s">
        <v>261</v>
      </c>
      <c r="X1870" t="s">
        <v>262</v>
      </c>
      <c r="Y1870" t="s">
        <v>261</v>
      </c>
      <c r="Z1870" t="s">
        <v>409</v>
      </c>
      <c r="AA1870" t="s">
        <v>409</v>
      </c>
      <c r="AB1870" t="s">
        <v>409</v>
      </c>
      <c r="AC1870" t="s">
        <v>409</v>
      </c>
      <c r="AD1870" t="s">
        <v>261</v>
      </c>
      <c r="AH1870" t="s">
        <v>262</v>
      </c>
      <c r="AI1870" t="s">
        <v>262</v>
      </c>
      <c r="AJ1870" t="s">
        <v>261</v>
      </c>
      <c r="AK1870" t="s">
        <v>261</v>
      </c>
      <c r="AM1870" t="s">
        <v>262</v>
      </c>
      <c r="AN1870" t="s">
        <v>5262</v>
      </c>
    </row>
    <row r="1871" spans="1:40" x14ac:dyDescent="0.35">
      <c r="A1871">
        <v>6422763</v>
      </c>
      <c r="B1871" t="s">
        <v>5263</v>
      </c>
      <c r="C1871" t="str">
        <f>"9783658269593"</f>
        <v>9783658269593</v>
      </c>
      <c r="D1871" t="str">
        <f>"9783658269609"</f>
        <v>9783658269609</v>
      </c>
      <c r="E1871" t="s">
        <v>3972</v>
      </c>
      <c r="F1871" t="s">
        <v>3972</v>
      </c>
      <c r="G1871" s="1">
        <v>43775</v>
      </c>
      <c r="H1871" s="1">
        <v>44210</v>
      </c>
      <c r="I1871" t="s">
        <v>189</v>
      </c>
      <c r="L1871" t="s">
        <v>5264</v>
      </c>
    </row>
    <row r="1872" spans="1:40" x14ac:dyDescent="0.35">
      <c r="A1872">
        <v>6422764</v>
      </c>
      <c r="B1872" t="s">
        <v>5265</v>
      </c>
      <c r="C1872" t="str">
        <f>"9783658125325"</f>
        <v>9783658125325</v>
      </c>
      <c r="D1872" t="str">
        <f>"9783658125332"</f>
        <v>9783658125332</v>
      </c>
      <c r="E1872" t="s">
        <v>3972</v>
      </c>
      <c r="F1872" t="s">
        <v>2290</v>
      </c>
      <c r="G1872" s="1">
        <v>42719</v>
      </c>
      <c r="H1872" s="1">
        <v>44210</v>
      </c>
      <c r="I1872" t="s">
        <v>189</v>
      </c>
      <c r="L1872" t="s">
        <v>5266</v>
      </c>
    </row>
    <row r="1873" spans="1:40" x14ac:dyDescent="0.35">
      <c r="A1873">
        <v>6422765</v>
      </c>
      <c r="B1873" t="s">
        <v>5267</v>
      </c>
      <c r="C1873" t="str">
        <f>"9783319137636"</f>
        <v>9783319137636</v>
      </c>
      <c r="D1873" t="str">
        <f>"9783319137643"</f>
        <v>9783319137643</v>
      </c>
      <c r="E1873" t="s">
        <v>2289</v>
      </c>
      <c r="F1873" t="s">
        <v>2290</v>
      </c>
      <c r="G1873" s="1">
        <v>42030</v>
      </c>
      <c r="H1873" s="1">
        <v>44210</v>
      </c>
      <c r="I1873" t="s">
        <v>189</v>
      </c>
      <c r="K1873" t="s">
        <v>5268</v>
      </c>
      <c r="L1873" t="s">
        <v>5269</v>
      </c>
    </row>
    <row r="1874" spans="1:40" x14ac:dyDescent="0.35">
      <c r="A1874">
        <v>6422766</v>
      </c>
      <c r="B1874" t="s">
        <v>5270</v>
      </c>
      <c r="C1874" t="str">
        <f>"9781430265832"</f>
        <v>9781430265832</v>
      </c>
      <c r="D1874" t="str">
        <f>"9781430265849"</f>
        <v>9781430265849</v>
      </c>
      <c r="E1874" t="s">
        <v>4514</v>
      </c>
      <c r="F1874" t="s">
        <v>4514</v>
      </c>
      <c r="G1874" s="1">
        <v>42028</v>
      </c>
      <c r="H1874" s="1">
        <v>44210</v>
      </c>
      <c r="I1874" t="s">
        <v>189</v>
      </c>
      <c r="L1874" t="s">
        <v>5271</v>
      </c>
    </row>
    <row r="1875" spans="1:40" x14ac:dyDescent="0.35">
      <c r="A1875">
        <v>6422767</v>
      </c>
      <c r="B1875" t="s">
        <v>5272</v>
      </c>
      <c r="C1875" t="str">
        <f>"9783319597331"</f>
        <v>9783319597331</v>
      </c>
      <c r="D1875" t="str">
        <f>"9783319597348"</f>
        <v>9783319597348</v>
      </c>
      <c r="E1875" t="s">
        <v>2289</v>
      </c>
      <c r="F1875" t="s">
        <v>2290</v>
      </c>
      <c r="G1875" s="1">
        <v>43082</v>
      </c>
      <c r="H1875" s="1">
        <v>44210</v>
      </c>
      <c r="I1875" t="s">
        <v>189</v>
      </c>
      <c r="K1875" t="s">
        <v>5273</v>
      </c>
      <c r="L1875" t="s">
        <v>5274</v>
      </c>
    </row>
    <row r="1876" spans="1:40" x14ac:dyDescent="0.35">
      <c r="A1876">
        <v>6422768</v>
      </c>
      <c r="B1876" t="s">
        <v>5275</v>
      </c>
      <c r="C1876" t="str">
        <f>"9783319548128"</f>
        <v>9783319548128</v>
      </c>
      <c r="D1876" t="str">
        <f>"9783319548135"</f>
        <v>9783319548135</v>
      </c>
      <c r="E1876" t="s">
        <v>2289</v>
      </c>
      <c r="F1876" t="s">
        <v>2663</v>
      </c>
      <c r="G1876" s="1">
        <v>43010</v>
      </c>
      <c r="H1876" s="1">
        <v>44210</v>
      </c>
      <c r="I1876" t="s">
        <v>189</v>
      </c>
      <c r="K1876" t="s">
        <v>4168</v>
      </c>
      <c r="L1876" t="s">
        <v>4454</v>
      </c>
      <c r="M1876" t="s">
        <v>239</v>
      </c>
    </row>
    <row r="1877" spans="1:40" x14ac:dyDescent="0.35">
      <c r="A1877">
        <v>6422769</v>
      </c>
      <c r="B1877" t="s">
        <v>5276</v>
      </c>
      <c r="C1877" t="str">
        <f>"9783642417030"</f>
        <v>9783642417030</v>
      </c>
      <c r="D1877" t="str">
        <f>"9783642417047"</f>
        <v>9783642417047</v>
      </c>
      <c r="E1877" t="s">
        <v>4047</v>
      </c>
      <c r="F1877" t="s">
        <v>2290</v>
      </c>
      <c r="G1877" s="1">
        <v>41620</v>
      </c>
      <c r="H1877" s="1">
        <v>44210</v>
      </c>
      <c r="I1877" t="s">
        <v>189</v>
      </c>
      <c r="L1877" t="s">
        <v>5277</v>
      </c>
    </row>
    <row r="1878" spans="1:40" x14ac:dyDescent="0.35">
      <c r="A1878">
        <v>6422770</v>
      </c>
      <c r="B1878" t="s">
        <v>5278</v>
      </c>
      <c r="C1878" t="str">
        <f>"9781493934454"</f>
        <v>9781493934454</v>
      </c>
      <c r="D1878" t="str">
        <f>"9781493934478"</f>
        <v>9781493934478</v>
      </c>
      <c r="E1878" t="s">
        <v>5115</v>
      </c>
      <c r="F1878" t="s">
        <v>2290</v>
      </c>
      <c r="G1878" s="1">
        <v>42913</v>
      </c>
      <c r="H1878" s="1">
        <v>44210</v>
      </c>
      <c r="I1878" t="s">
        <v>189</v>
      </c>
      <c r="L1878" t="s">
        <v>5116</v>
      </c>
      <c r="M1878" t="s">
        <v>964</v>
      </c>
      <c r="N1878" t="s">
        <v>5279</v>
      </c>
      <c r="Q1878" t="s">
        <v>260</v>
      </c>
      <c r="R1878" t="s">
        <v>261</v>
      </c>
      <c r="S1878" t="s">
        <v>261</v>
      </c>
      <c r="T1878" t="s">
        <v>261</v>
      </c>
      <c r="U1878" t="s">
        <v>262</v>
      </c>
      <c r="V1878" t="s">
        <v>262</v>
      </c>
      <c r="W1878" t="s">
        <v>261</v>
      </c>
      <c r="X1878" t="s">
        <v>262</v>
      </c>
      <c r="Y1878" t="s">
        <v>261</v>
      </c>
      <c r="Z1878" t="s">
        <v>409</v>
      </c>
      <c r="AA1878" t="s">
        <v>409</v>
      </c>
      <c r="AB1878" t="s">
        <v>409</v>
      </c>
      <c r="AC1878" t="s">
        <v>409</v>
      </c>
      <c r="AD1878" t="s">
        <v>261</v>
      </c>
      <c r="AH1878" t="s">
        <v>262</v>
      </c>
      <c r="AI1878" t="s">
        <v>262</v>
      </c>
      <c r="AJ1878" t="s">
        <v>261</v>
      </c>
      <c r="AK1878" t="s">
        <v>261</v>
      </c>
      <c r="AM1878" t="s">
        <v>262</v>
      </c>
      <c r="AN1878" t="s">
        <v>5280</v>
      </c>
    </row>
    <row r="1879" spans="1:40" x14ac:dyDescent="0.35">
      <c r="A1879">
        <v>6422771</v>
      </c>
      <c r="B1879" t="s">
        <v>5281</v>
      </c>
      <c r="C1879" t="str">
        <f>"9783319510187"</f>
        <v>9783319510187</v>
      </c>
      <c r="D1879" t="str">
        <f>"9783319510200"</f>
        <v>9783319510200</v>
      </c>
      <c r="E1879" t="s">
        <v>2289</v>
      </c>
      <c r="F1879" t="s">
        <v>2290</v>
      </c>
      <c r="G1879" s="1">
        <v>42877</v>
      </c>
      <c r="H1879" s="1">
        <v>44210</v>
      </c>
      <c r="I1879" t="s">
        <v>189</v>
      </c>
      <c r="K1879" t="s">
        <v>5282</v>
      </c>
      <c r="L1879" t="s">
        <v>5283</v>
      </c>
    </row>
    <row r="1880" spans="1:40" x14ac:dyDescent="0.35">
      <c r="A1880">
        <v>6422772</v>
      </c>
      <c r="B1880" t="s">
        <v>5284</v>
      </c>
      <c r="C1880" t="str">
        <f>"9783662598948"</f>
        <v>9783662598948</v>
      </c>
      <c r="D1880" t="str">
        <f>"9783662598955"</f>
        <v>9783662598955</v>
      </c>
      <c r="E1880" t="s">
        <v>4047</v>
      </c>
      <c r="F1880" t="s">
        <v>4084</v>
      </c>
      <c r="G1880" s="1">
        <v>43844</v>
      </c>
      <c r="H1880" s="1">
        <v>44210</v>
      </c>
      <c r="I1880" t="s">
        <v>189</v>
      </c>
      <c r="K1880" t="s">
        <v>5285</v>
      </c>
      <c r="L1880" t="s">
        <v>5286</v>
      </c>
    </row>
    <row r="1881" spans="1:40" x14ac:dyDescent="0.35">
      <c r="A1881">
        <v>6422774</v>
      </c>
      <c r="B1881" t="s">
        <v>5287</v>
      </c>
      <c r="C1881" t="str">
        <f>"9783319329383"</f>
        <v>9783319329383</v>
      </c>
      <c r="D1881" t="str">
        <f>"9783319329390"</f>
        <v>9783319329390</v>
      </c>
      <c r="E1881" t="s">
        <v>2289</v>
      </c>
      <c r="F1881" t="s">
        <v>2290</v>
      </c>
      <c r="G1881" s="1">
        <v>42968</v>
      </c>
      <c r="H1881" s="1">
        <v>44210</v>
      </c>
      <c r="I1881" t="s">
        <v>189</v>
      </c>
      <c r="K1881" t="s">
        <v>4011</v>
      </c>
      <c r="L1881" t="s">
        <v>5288</v>
      </c>
    </row>
    <row r="1882" spans="1:40" x14ac:dyDescent="0.35">
      <c r="A1882">
        <v>6422775</v>
      </c>
      <c r="B1882" t="s">
        <v>5289</v>
      </c>
      <c r="C1882" t="str">
        <f>"9783319527543"</f>
        <v>9783319527543</v>
      </c>
      <c r="D1882" t="str">
        <f>"9783319527550"</f>
        <v>9783319527550</v>
      </c>
      <c r="E1882" t="s">
        <v>2289</v>
      </c>
      <c r="F1882" t="s">
        <v>2290</v>
      </c>
      <c r="G1882" s="1">
        <v>42839</v>
      </c>
      <c r="H1882" s="1">
        <v>44210</v>
      </c>
      <c r="I1882" t="s">
        <v>189</v>
      </c>
      <c r="L1882" t="s">
        <v>5290</v>
      </c>
    </row>
    <row r="1883" spans="1:40" x14ac:dyDescent="0.35">
      <c r="A1883">
        <v>6422776</v>
      </c>
      <c r="B1883" t="s">
        <v>5291</v>
      </c>
      <c r="C1883" t="str">
        <f>"9783319911335"</f>
        <v>9783319911335</v>
      </c>
      <c r="D1883" t="str">
        <f>"9783319911342"</f>
        <v>9783319911342</v>
      </c>
      <c r="E1883" t="s">
        <v>2289</v>
      </c>
      <c r="F1883" t="s">
        <v>2290</v>
      </c>
      <c r="G1883" s="1">
        <v>43427</v>
      </c>
      <c r="H1883" s="1">
        <v>44210</v>
      </c>
      <c r="I1883" t="s">
        <v>189</v>
      </c>
      <c r="L1883" t="s">
        <v>5292</v>
      </c>
    </row>
    <row r="1884" spans="1:40" x14ac:dyDescent="0.35">
      <c r="A1884">
        <v>6422777</v>
      </c>
      <c r="B1884" t="s">
        <v>5293</v>
      </c>
      <c r="C1884" t="str">
        <f>"9783319607139"</f>
        <v>9783319607139</v>
      </c>
      <c r="D1884" t="str">
        <f>"9783319607146"</f>
        <v>9783319607146</v>
      </c>
      <c r="E1884" t="s">
        <v>2289</v>
      </c>
      <c r="F1884" t="s">
        <v>2290</v>
      </c>
      <c r="G1884" s="1">
        <v>43026</v>
      </c>
      <c r="H1884" s="1">
        <v>44210</v>
      </c>
      <c r="I1884" t="s">
        <v>189</v>
      </c>
      <c r="K1884" t="s">
        <v>5294</v>
      </c>
      <c r="L1884" t="s">
        <v>5295</v>
      </c>
    </row>
    <row r="1885" spans="1:40" x14ac:dyDescent="0.35">
      <c r="A1885">
        <v>6422778</v>
      </c>
      <c r="B1885" t="s">
        <v>5296</v>
      </c>
      <c r="C1885" t="str">
        <f>"9781430261575"</f>
        <v>9781430261575</v>
      </c>
      <c r="D1885" t="str">
        <f>"9781430261582"</f>
        <v>9781430261582</v>
      </c>
      <c r="E1885" t="s">
        <v>4514</v>
      </c>
      <c r="F1885" t="s">
        <v>4514</v>
      </c>
      <c r="G1885" s="1">
        <v>41726</v>
      </c>
      <c r="H1885" s="1">
        <v>44210</v>
      </c>
      <c r="I1885" t="s">
        <v>189</v>
      </c>
      <c r="L1885" t="s">
        <v>5297</v>
      </c>
      <c r="M1885" t="s">
        <v>582</v>
      </c>
      <c r="N1885" t="s">
        <v>5298</v>
      </c>
      <c r="O1885" t="s">
        <v>5299</v>
      </c>
      <c r="Q1885" t="s">
        <v>260</v>
      </c>
      <c r="R1885" t="s">
        <v>261</v>
      </c>
      <c r="S1885" t="s">
        <v>261</v>
      </c>
      <c r="T1885" t="s">
        <v>261</v>
      </c>
      <c r="U1885" t="s">
        <v>262</v>
      </c>
      <c r="V1885" t="s">
        <v>262</v>
      </c>
      <c r="W1885" t="s">
        <v>261</v>
      </c>
      <c r="X1885" t="s">
        <v>262</v>
      </c>
      <c r="Y1885" t="s">
        <v>261</v>
      </c>
      <c r="Z1885" t="s">
        <v>409</v>
      </c>
      <c r="AA1885" t="s">
        <v>409</v>
      </c>
      <c r="AB1885" t="s">
        <v>409</v>
      </c>
      <c r="AC1885" t="s">
        <v>409</v>
      </c>
      <c r="AD1885" t="s">
        <v>261</v>
      </c>
      <c r="AH1885" t="s">
        <v>262</v>
      </c>
      <c r="AI1885" t="s">
        <v>262</v>
      </c>
      <c r="AJ1885" t="s">
        <v>261</v>
      </c>
      <c r="AK1885" t="s">
        <v>261</v>
      </c>
      <c r="AM1885" t="s">
        <v>262</v>
      </c>
      <c r="AN1885" t="s">
        <v>5300</v>
      </c>
    </row>
    <row r="1886" spans="1:40" x14ac:dyDescent="0.35">
      <c r="A1886">
        <v>6422779</v>
      </c>
      <c r="B1886" t="s">
        <v>5301</v>
      </c>
      <c r="C1886" t="str">
        <f>"9783642050862"</f>
        <v>9783642050862</v>
      </c>
      <c r="D1886" t="str">
        <f>"9783642050879"</f>
        <v>9783642050879</v>
      </c>
      <c r="E1886" t="s">
        <v>4047</v>
      </c>
      <c r="F1886" t="s">
        <v>2290</v>
      </c>
      <c r="G1886" s="1">
        <v>40890</v>
      </c>
      <c r="H1886" s="1">
        <v>44210</v>
      </c>
      <c r="I1886" t="s">
        <v>189</v>
      </c>
      <c r="L1886" t="s">
        <v>5277</v>
      </c>
      <c r="M1886" t="s">
        <v>249</v>
      </c>
    </row>
    <row r="1887" spans="1:40" x14ac:dyDescent="0.35">
      <c r="A1887">
        <v>6422780</v>
      </c>
      <c r="B1887" t="s">
        <v>5302</v>
      </c>
      <c r="C1887" t="str">
        <f>"9783319071176"</f>
        <v>9783319071176</v>
      </c>
      <c r="D1887" t="str">
        <f>"9783319071183"</f>
        <v>9783319071183</v>
      </c>
      <c r="E1887" t="s">
        <v>2289</v>
      </c>
      <c r="F1887" t="s">
        <v>2290</v>
      </c>
      <c r="G1887" s="1">
        <v>41897</v>
      </c>
      <c r="H1887" s="1">
        <v>44210</v>
      </c>
      <c r="I1887" t="s">
        <v>189</v>
      </c>
      <c r="K1887" t="s">
        <v>4993</v>
      </c>
      <c r="L1887" t="s">
        <v>4994</v>
      </c>
      <c r="M1887" t="s">
        <v>1791</v>
      </c>
    </row>
    <row r="1888" spans="1:40" x14ac:dyDescent="0.35">
      <c r="A1888">
        <v>6422782</v>
      </c>
      <c r="B1888" t="s">
        <v>5303</v>
      </c>
      <c r="C1888" t="str">
        <f>"9783319956596"</f>
        <v>9783319956596</v>
      </c>
      <c r="D1888" t="str">
        <f>"9783319956602"</f>
        <v>9783319956602</v>
      </c>
      <c r="E1888" t="s">
        <v>2289</v>
      </c>
      <c r="F1888" t="s">
        <v>2290</v>
      </c>
      <c r="G1888" s="1">
        <v>43371</v>
      </c>
      <c r="H1888" s="1">
        <v>44210</v>
      </c>
      <c r="I1888" t="s">
        <v>189</v>
      </c>
      <c r="K1888" t="s">
        <v>1208</v>
      </c>
      <c r="L1888" t="s">
        <v>5304</v>
      </c>
      <c r="M1888" t="s">
        <v>210</v>
      </c>
      <c r="N1888" t="s">
        <v>4706</v>
      </c>
      <c r="Q1888" t="s">
        <v>260</v>
      </c>
      <c r="R1888" t="s">
        <v>261</v>
      </c>
      <c r="S1888" t="s">
        <v>261</v>
      </c>
      <c r="T1888" t="s">
        <v>261</v>
      </c>
      <c r="U1888" t="s">
        <v>262</v>
      </c>
      <c r="V1888" t="s">
        <v>262</v>
      </c>
      <c r="W1888" t="s">
        <v>261</v>
      </c>
      <c r="X1888" t="s">
        <v>262</v>
      </c>
      <c r="Y1888" t="s">
        <v>261</v>
      </c>
      <c r="Z1888" t="s">
        <v>409</v>
      </c>
      <c r="AA1888" t="s">
        <v>409</v>
      </c>
      <c r="AB1888" t="s">
        <v>409</v>
      </c>
      <c r="AC1888" t="s">
        <v>409</v>
      </c>
      <c r="AD1888" t="s">
        <v>261</v>
      </c>
      <c r="AH1888" t="s">
        <v>262</v>
      </c>
      <c r="AI1888" t="s">
        <v>262</v>
      </c>
      <c r="AJ1888" t="s">
        <v>261</v>
      </c>
      <c r="AK1888" t="s">
        <v>261</v>
      </c>
      <c r="AM1888" t="s">
        <v>262</v>
      </c>
      <c r="AN1888" t="s">
        <v>5305</v>
      </c>
    </row>
    <row r="1889" spans="1:40" x14ac:dyDescent="0.35">
      <c r="A1889">
        <v>6422783</v>
      </c>
      <c r="B1889" t="s">
        <v>5306</v>
      </c>
      <c r="C1889" t="str">
        <f>"9783642404023"</f>
        <v>9783642404023</v>
      </c>
      <c r="D1889" t="str">
        <f>"9783642404030"</f>
        <v>9783642404030</v>
      </c>
      <c r="E1889" t="s">
        <v>4047</v>
      </c>
      <c r="F1889" t="s">
        <v>2290</v>
      </c>
      <c r="G1889" s="1">
        <v>41592</v>
      </c>
      <c r="H1889" s="1">
        <v>44210</v>
      </c>
      <c r="I1889" t="s">
        <v>189</v>
      </c>
      <c r="L1889" t="s">
        <v>5307</v>
      </c>
    </row>
    <row r="1890" spans="1:40" x14ac:dyDescent="0.35">
      <c r="A1890">
        <v>6422784</v>
      </c>
      <c r="B1890" t="s">
        <v>5308</v>
      </c>
      <c r="C1890" t="str">
        <f>"9783662568217"</f>
        <v>9783662568217</v>
      </c>
      <c r="D1890" t="str">
        <f>"9783662568224"</f>
        <v>9783662568224</v>
      </c>
      <c r="E1890" t="s">
        <v>4047</v>
      </c>
      <c r="F1890" t="s">
        <v>2290</v>
      </c>
      <c r="G1890" s="1">
        <v>43256</v>
      </c>
      <c r="H1890" s="1">
        <v>44210</v>
      </c>
      <c r="I1890" t="s">
        <v>189</v>
      </c>
      <c r="L1890" t="s">
        <v>4080</v>
      </c>
    </row>
    <row r="1891" spans="1:40" x14ac:dyDescent="0.35">
      <c r="A1891">
        <v>6422785</v>
      </c>
      <c r="B1891" t="s">
        <v>5309</v>
      </c>
      <c r="C1891" t="str">
        <f>"9783319023984"</f>
        <v>9783319023984</v>
      </c>
      <c r="D1891" t="str">
        <f>"9783319023991"</f>
        <v>9783319023991</v>
      </c>
      <c r="E1891" t="s">
        <v>2289</v>
      </c>
      <c r="F1891" t="s">
        <v>2290</v>
      </c>
      <c r="G1891" s="1">
        <v>42025</v>
      </c>
      <c r="H1891" s="1">
        <v>44210</v>
      </c>
      <c r="I1891" t="s">
        <v>189</v>
      </c>
      <c r="L1891" t="s">
        <v>5310</v>
      </c>
    </row>
    <row r="1892" spans="1:40" x14ac:dyDescent="0.35">
      <c r="A1892">
        <v>6422786</v>
      </c>
      <c r="B1892" t="s">
        <v>5311</v>
      </c>
      <c r="C1892" t="str">
        <f>"9783319583877"</f>
        <v>9783319583877</v>
      </c>
      <c r="D1892" t="str">
        <f>"9783319583884"</f>
        <v>9783319583884</v>
      </c>
      <c r="E1892" t="s">
        <v>2289</v>
      </c>
      <c r="F1892" t="s">
        <v>2663</v>
      </c>
      <c r="G1892" s="1">
        <v>43035</v>
      </c>
      <c r="H1892" s="1">
        <v>44210</v>
      </c>
      <c r="I1892" t="s">
        <v>189</v>
      </c>
      <c r="L1892" t="s">
        <v>5312</v>
      </c>
    </row>
    <row r="1893" spans="1:40" x14ac:dyDescent="0.35">
      <c r="A1893">
        <v>6422788</v>
      </c>
      <c r="B1893" t="s">
        <v>5313</v>
      </c>
      <c r="C1893" t="str">
        <f>"9783642540332"</f>
        <v>9783642540332</v>
      </c>
      <c r="D1893" t="str">
        <f>"9783642540349"</f>
        <v>9783642540349</v>
      </c>
      <c r="E1893" t="s">
        <v>4047</v>
      </c>
      <c r="F1893" t="s">
        <v>2290</v>
      </c>
      <c r="G1893" s="1">
        <v>41703</v>
      </c>
      <c r="H1893" s="1">
        <v>44210</v>
      </c>
      <c r="I1893" t="s">
        <v>189</v>
      </c>
      <c r="L1893" t="s">
        <v>5277</v>
      </c>
    </row>
    <row r="1894" spans="1:40" x14ac:dyDescent="0.35">
      <c r="A1894">
        <v>6422789</v>
      </c>
      <c r="B1894" t="s">
        <v>5314</v>
      </c>
      <c r="C1894" t="str">
        <f>"9783658144388"</f>
        <v>9783658144388</v>
      </c>
      <c r="D1894" t="str">
        <f>"9783658144395"</f>
        <v>9783658144395</v>
      </c>
      <c r="E1894" t="s">
        <v>3972</v>
      </c>
      <c r="F1894" t="s">
        <v>3998</v>
      </c>
      <c r="G1894" s="1">
        <v>42754</v>
      </c>
      <c r="H1894" s="1">
        <v>44210</v>
      </c>
      <c r="I1894" t="s">
        <v>189</v>
      </c>
      <c r="L1894" t="s">
        <v>5315</v>
      </c>
    </row>
    <row r="1895" spans="1:40" x14ac:dyDescent="0.35">
      <c r="A1895">
        <v>6422790</v>
      </c>
      <c r="B1895" t="s">
        <v>5316</v>
      </c>
      <c r="C1895" t="str">
        <f>"9783319469386"</f>
        <v>9783319469386</v>
      </c>
      <c r="D1895" t="str">
        <f>"9783319469393"</f>
        <v>9783319469393</v>
      </c>
      <c r="E1895" t="s">
        <v>2289</v>
      </c>
      <c r="F1895" t="s">
        <v>2290</v>
      </c>
      <c r="G1895" s="1">
        <v>42747</v>
      </c>
      <c r="H1895" s="1">
        <v>44210</v>
      </c>
      <c r="I1895" t="s">
        <v>189</v>
      </c>
      <c r="K1895" t="s">
        <v>5317</v>
      </c>
      <c r="L1895" t="s">
        <v>5318</v>
      </c>
    </row>
    <row r="1896" spans="1:40" x14ac:dyDescent="0.35">
      <c r="A1896">
        <v>6422791</v>
      </c>
      <c r="B1896" t="s">
        <v>5319</v>
      </c>
      <c r="C1896" t="str">
        <f>"9783662504468"</f>
        <v>9783662504468</v>
      </c>
      <c r="D1896" t="str">
        <f>"9783662504475"</f>
        <v>9783662504475</v>
      </c>
      <c r="E1896" t="s">
        <v>4047</v>
      </c>
      <c r="F1896" t="s">
        <v>2290</v>
      </c>
      <c r="G1896" s="1">
        <v>42604</v>
      </c>
      <c r="H1896" s="1">
        <v>44210</v>
      </c>
      <c r="I1896" t="s">
        <v>189</v>
      </c>
      <c r="L1896" t="s">
        <v>5320</v>
      </c>
      <c r="M1896" t="s">
        <v>1318</v>
      </c>
      <c r="N1896" t="s">
        <v>5321</v>
      </c>
      <c r="O1896" t="s">
        <v>5322</v>
      </c>
      <c r="Q1896" t="s">
        <v>260</v>
      </c>
      <c r="R1896" t="s">
        <v>261</v>
      </c>
      <c r="S1896" t="s">
        <v>261</v>
      </c>
      <c r="T1896" t="s">
        <v>261</v>
      </c>
      <c r="U1896" t="s">
        <v>262</v>
      </c>
      <c r="V1896" t="s">
        <v>262</v>
      </c>
      <c r="W1896" t="s">
        <v>261</v>
      </c>
      <c r="X1896" t="s">
        <v>262</v>
      </c>
      <c r="Y1896" t="s">
        <v>261</v>
      </c>
      <c r="Z1896" t="s">
        <v>409</v>
      </c>
      <c r="AA1896" t="s">
        <v>409</v>
      </c>
      <c r="AB1896" t="s">
        <v>409</v>
      </c>
      <c r="AC1896" t="s">
        <v>409</v>
      </c>
      <c r="AD1896" t="s">
        <v>261</v>
      </c>
      <c r="AH1896" t="s">
        <v>262</v>
      </c>
      <c r="AI1896" t="s">
        <v>262</v>
      </c>
      <c r="AJ1896" t="s">
        <v>261</v>
      </c>
      <c r="AK1896" t="s">
        <v>261</v>
      </c>
      <c r="AM1896" t="s">
        <v>262</v>
      </c>
      <c r="AN1896" t="s">
        <v>5323</v>
      </c>
    </row>
    <row r="1897" spans="1:40" x14ac:dyDescent="0.35">
      <c r="A1897">
        <v>6422792</v>
      </c>
      <c r="B1897" t="s">
        <v>5324</v>
      </c>
      <c r="C1897" t="str">
        <f>"9783319040929"</f>
        <v>9783319040929</v>
      </c>
      <c r="D1897" t="str">
        <f>"9783319040936"</f>
        <v>9783319040936</v>
      </c>
      <c r="E1897" t="s">
        <v>2289</v>
      </c>
      <c r="F1897" t="s">
        <v>2290</v>
      </c>
      <c r="G1897" s="1">
        <v>41974</v>
      </c>
      <c r="H1897" s="1">
        <v>44210</v>
      </c>
      <c r="I1897" t="s">
        <v>189</v>
      </c>
      <c r="L1897" t="s">
        <v>5325</v>
      </c>
      <c r="M1897" t="s">
        <v>3574</v>
      </c>
    </row>
    <row r="1898" spans="1:40" x14ac:dyDescent="0.35">
      <c r="A1898">
        <v>6422793</v>
      </c>
      <c r="B1898" t="s">
        <v>5326</v>
      </c>
      <c r="C1898" t="str">
        <f>"9783319336657"</f>
        <v>9783319336657</v>
      </c>
      <c r="D1898" t="str">
        <f>"9783319336664"</f>
        <v>9783319336664</v>
      </c>
      <c r="E1898" t="s">
        <v>2289</v>
      </c>
      <c r="F1898" t="s">
        <v>2290</v>
      </c>
      <c r="G1898" s="1">
        <v>42550</v>
      </c>
      <c r="H1898" s="1">
        <v>44210</v>
      </c>
      <c r="I1898" t="s">
        <v>189</v>
      </c>
      <c r="K1898" t="s">
        <v>4712</v>
      </c>
      <c r="L1898" t="s">
        <v>5327</v>
      </c>
    </row>
    <row r="1899" spans="1:40" x14ac:dyDescent="0.35">
      <c r="A1899">
        <v>6422794</v>
      </c>
      <c r="B1899" t="s">
        <v>5328</v>
      </c>
      <c r="C1899" t="str">
        <f>"9783319544625"</f>
        <v>9783319544625</v>
      </c>
      <c r="D1899" t="str">
        <f>"9783319544632"</f>
        <v>9783319544632</v>
      </c>
      <c r="E1899" t="s">
        <v>2289</v>
      </c>
      <c r="F1899" t="s">
        <v>2290</v>
      </c>
      <c r="G1899" s="1">
        <v>42894</v>
      </c>
      <c r="H1899" s="1">
        <v>44210</v>
      </c>
      <c r="I1899" t="s">
        <v>189</v>
      </c>
      <c r="K1899" t="s">
        <v>4796</v>
      </c>
      <c r="L1899" t="s">
        <v>4797</v>
      </c>
      <c r="M1899" t="s">
        <v>210</v>
      </c>
      <c r="N1899" t="s">
        <v>5329</v>
      </c>
      <c r="O1899" s="2">
        <v>327092</v>
      </c>
      <c r="Q1899" t="s">
        <v>260</v>
      </c>
      <c r="R1899" t="s">
        <v>261</v>
      </c>
      <c r="S1899" t="s">
        <v>261</v>
      </c>
      <c r="T1899" t="s">
        <v>261</v>
      </c>
      <c r="U1899" t="s">
        <v>262</v>
      </c>
      <c r="V1899" t="s">
        <v>262</v>
      </c>
      <c r="W1899" t="s">
        <v>261</v>
      </c>
      <c r="X1899" t="s">
        <v>262</v>
      </c>
      <c r="Y1899" t="s">
        <v>261</v>
      </c>
      <c r="Z1899" t="s">
        <v>409</v>
      </c>
      <c r="AA1899" t="s">
        <v>409</v>
      </c>
      <c r="AB1899" t="s">
        <v>409</v>
      </c>
      <c r="AC1899" t="s">
        <v>409</v>
      </c>
      <c r="AD1899" t="s">
        <v>261</v>
      </c>
      <c r="AH1899" t="s">
        <v>262</v>
      </c>
      <c r="AI1899" t="s">
        <v>262</v>
      </c>
      <c r="AJ1899" t="s">
        <v>261</v>
      </c>
      <c r="AK1899" t="s">
        <v>261</v>
      </c>
      <c r="AM1899" t="s">
        <v>262</v>
      </c>
      <c r="AN1899" t="s">
        <v>5330</v>
      </c>
    </row>
    <row r="1900" spans="1:40" x14ac:dyDescent="0.35">
      <c r="A1900">
        <v>6422795</v>
      </c>
      <c r="B1900" t="s">
        <v>5331</v>
      </c>
      <c r="C1900" t="str">
        <f>"9783319140896"</f>
        <v>9783319140896</v>
      </c>
      <c r="D1900" t="str">
        <f>"9783319140902"</f>
        <v>9783319140902</v>
      </c>
      <c r="E1900" t="s">
        <v>2289</v>
      </c>
      <c r="F1900" t="s">
        <v>2290</v>
      </c>
      <c r="G1900" s="1">
        <v>42185</v>
      </c>
      <c r="H1900" s="1">
        <v>44210</v>
      </c>
      <c r="I1900" t="s">
        <v>189</v>
      </c>
      <c r="K1900" t="s">
        <v>5332</v>
      </c>
      <c r="L1900" t="s">
        <v>5333</v>
      </c>
    </row>
    <row r="1901" spans="1:40" x14ac:dyDescent="0.35">
      <c r="A1901">
        <v>6422796</v>
      </c>
      <c r="B1901" t="s">
        <v>5334</v>
      </c>
      <c r="C1901" t="str">
        <f>"9783319466835"</f>
        <v>9783319466835</v>
      </c>
      <c r="D1901" t="str">
        <f>"9783319466842"</f>
        <v>9783319466842</v>
      </c>
      <c r="E1901" t="s">
        <v>2289</v>
      </c>
      <c r="F1901" t="s">
        <v>2663</v>
      </c>
      <c r="G1901" s="1">
        <v>43111</v>
      </c>
      <c r="H1901" s="1">
        <v>44210</v>
      </c>
      <c r="I1901" t="s">
        <v>189</v>
      </c>
      <c r="L1901" t="s">
        <v>5335</v>
      </c>
    </row>
    <row r="1902" spans="1:40" x14ac:dyDescent="0.35">
      <c r="A1902">
        <v>6422797</v>
      </c>
      <c r="B1902" t="s">
        <v>5336</v>
      </c>
      <c r="C1902" t="str">
        <f>"9783658292966"</f>
        <v>9783658292966</v>
      </c>
      <c r="D1902" t="str">
        <f>"9783658292973"</f>
        <v>9783658292973</v>
      </c>
      <c r="E1902" t="s">
        <v>3972</v>
      </c>
      <c r="F1902" t="s">
        <v>3998</v>
      </c>
      <c r="G1902" s="1">
        <v>43904</v>
      </c>
      <c r="H1902" s="1">
        <v>44210</v>
      </c>
      <c r="I1902" t="s">
        <v>189</v>
      </c>
      <c r="K1902" t="s">
        <v>5337</v>
      </c>
      <c r="L1902" t="s">
        <v>5338</v>
      </c>
      <c r="M1902" t="s">
        <v>323</v>
      </c>
      <c r="N1902" t="s">
        <v>5339</v>
      </c>
      <c r="Q1902" t="s">
        <v>408</v>
      </c>
      <c r="R1902" t="s">
        <v>261</v>
      </c>
      <c r="S1902" t="s">
        <v>261</v>
      </c>
      <c r="T1902" t="s">
        <v>261</v>
      </c>
      <c r="U1902" t="s">
        <v>262</v>
      </c>
      <c r="V1902" t="s">
        <v>262</v>
      </c>
      <c r="W1902" t="s">
        <v>261</v>
      </c>
      <c r="X1902" t="s">
        <v>262</v>
      </c>
      <c r="Y1902" t="s">
        <v>261</v>
      </c>
      <c r="Z1902" t="s">
        <v>409</v>
      </c>
      <c r="AA1902" t="s">
        <v>409</v>
      </c>
      <c r="AB1902" t="s">
        <v>409</v>
      </c>
      <c r="AC1902" t="s">
        <v>409</v>
      </c>
      <c r="AD1902" t="s">
        <v>261</v>
      </c>
      <c r="AH1902" t="s">
        <v>262</v>
      </c>
      <c r="AI1902" t="s">
        <v>262</v>
      </c>
      <c r="AJ1902" t="s">
        <v>261</v>
      </c>
      <c r="AK1902" t="s">
        <v>261</v>
      </c>
      <c r="AM1902" t="s">
        <v>262</v>
      </c>
      <c r="AN1902" t="s">
        <v>5340</v>
      </c>
    </row>
    <row r="1903" spans="1:40" x14ac:dyDescent="0.35">
      <c r="A1903">
        <v>6422798</v>
      </c>
      <c r="B1903" t="s">
        <v>5341</v>
      </c>
      <c r="C1903" t="str">
        <f>"9783642302404"</f>
        <v>9783642302404</v>
      </c>
      <c r="D1903" t="str">
        <f>"9783642302411"</f>
        <v>9783642302411</v>
      </c>
      <c r="E1903" t="s">
        <v>4047</v>
      </c>
      <c r="F1903" t="s">
        <v>2290</v>
      </c>
      <c r="G1903" s="1">
        <v>41037</v>
      </c>
      <c r="H1903" s="1">
        <v>44210</v>
      </c>
      <c r="I1903" t="s">
        <v>189</v>
      </c>
      <c r="K1903" t="s">
        <v>4008</v>
      </c>
      <c r="L1903" t="s">
        <v>5342</v>
      </c>
    </row>
    <row r="1904" spans="1:40" x14ac:dyDescent="0.35">
      <c r="A1904">
        <v>6422799</v>
      </c>
      <c r="B1904" t="s">
        <v>5343</v>
      </c>
      <c r="C1904" t="str">
        <f>"9783319310619"</f>
        <v>9783319310619</v>
      </c>
      <c r="D1904" t="str">
        <f>"9783319310633"</f>
        <v>9783319310633</v>
      </c>
      <c r="E1904" t="s">
        <v>2289</v>
      </c>
      <c r="F1904" t="s">
        <v>2290</v>
      </c>
      <c r="G1904" s="1">
        <v>42578</v>
      </c>
      <c r="H1904" s="1">
        <v>44210</v>
      </c>
      <c r="I1904" t="s">
        <v>189</v>
      </c>
      <c r="J1904">
        <v>2</v>
      </c>
      <c r="L1904" t="s">
        <v>5344</v>
      </c>
    </row>
    <row r="1905" spans="1:40" x14ac:dyDescent="0.35">
      <c r="A1905">
        <v>6422800</v>
      </c>
      <c r="B1905" t="s">
        <v>5345</v>
      </c>
      <c r="C1905" t="str">
        <f>"9783319913995"</f>
        <v>9783319913995</v>
      </c>
      <c r="D1905" t="str">
        <f>"9783319914008"</f>
        <v>9783319914008</v>
      </c>
      <c r="E1905" t="s">
        <v>2289</v>
      </c>
      <c r="F1905" t="s">
        <v>2663</v>
      </c>
      <c r="G1905" s="1">
        <v>43343</v>
      </c>
      <c r="H1905" s="1">
        <v>44210</v>
      </c>
      <c r="I1905" t="s">
        <v>189</v>
      </c>
      <c r="L1905" t="s">
        <v>5346</v>
      </c>
    </row>
    <row r="1906" spans="1:40" x14ac:dyDescent="0.35">
      <c r="A1906">
        <v>6422801</v>
      </c>
      <c r="B1906" t="s">
        <v>5347</v>
      </c>
      <c r="C1906" t="str">
        <f>"9781430259893"</f>
        <v>9781430259893</v>
      </c>
      <c r="D1906" t="str">
        <f>"9781430259909"</f>
        <v>9781430259909</v>
      </c>
      <c r="E1906" t="s">
        <v>4514</v>
      </c>
      <c r="F1906" t="s">
        <v>4514</v>
      </c>
      <c r="G1906" s="1">
        <v>42124</v>
      </c>
      <c r="H1906" s="1">
        <v>44210</v>
      </c>
      <c r="I1906" t="s">
        <v>189</v>
      </c>
      <c r="L1906" t="s">
        <v>5348</v>
      </c>
    </row>
    <row r="1907" spans="1:40" x14ac:dyDescent="0.35">
      <c r="A1907">
        <v>6422803</v>
      </c>
      <c r="B1907" t="s">
        <v>5349</v>
      </c>
      <c r="C1907" t="str">
        <f>"9783319175416"</f>
        <v>9783319175416</v>
      </c>
      <c r="D1907" t="str">
        <f>"9783319175423"</f>
        <v>9783319175423</v>
      </c>
      <c r="E1907" t="s">
        <v>2289</v>
      </c>
      <c r="F1907" t="s">
        <v>2290</v>
      </c>
      <c r="G1907" s="1">
        <v>42165</v>
      </c>
      <c r="H1907" s="1">
        <v>44210</v>
      </c>
      <c r="I1907" t="s">
        <v>189</v>
      </c>
      <c r="L1907" t="s">
        <v>5350</v>
      </c>
    </row>
    <row r="1908" spans="1:40" x14ac:dyDescent="0.35">
      <c r="A1908">
        <v>6422804</v>
      </c>
      <c r="B1908" t="s">
        <v>5351</v>
      </c>
      <c r="C1908" t="str">
        <f>"9783319643366"</f>
        <v>9783319643366</v>
      </c>
      <c r="D1908" t="str">
        <f>"9783319643373"</f>
        <v>9783319643373</v>
      </c>
      <c r="E1908" t="s">
        <v>2289</v>
      </c>
      <c r="F1908" t="s">
        <v>2663</v>
      </c>
      <c r="G1908" s="1">
        <v>43118</v>
      </c>
      <c r="H1908" s="1">
        <v>44210</v>
      </c>
      <c r="I1908" t="s">
        <v>189</v>
      </c>
      <c r="K1908" t="s">
        <v>5352</v>
      </c>
      <c r="L1908" t="s">
        <v>5353</v>
      </c>
    </row>
    <row r="1909" spans="1:40" x14ac:dyDescent="0.35">
      <c r="A1909">
        <v>6422806</v>
      </c>
      <c r="B1909" t="s">
        <v>5354</v>
      </c>
      <c r="C1909" t="str">
        <f>"9783319099903"</f>
        <v>9783319099903</v>
      </c>
      <c r="D1909" t="str">
        <f>"9783319099910"</f>
        <v>9783319099910</v>
      </c>
      <c r="E1909" t="s">
        <v>2289</v>
      </c>
      <c r="F1909" t="s">
        <v>2290</v>
      </c>
      <c r="G1909" s="1">
        <v>41908</v>
      </c>
      <c r="H1909" s="1">
        <v>44210</v>
      </c>
      <c r="I1909" t="s">
        <v>189</v>
      </c>
      <c r="L1909" t="s">
        <v>5355</v>
      </c>
      <c r="M1909" t="s">
        <v>249</v>
      </c>
      <c r="N1909" t="s">
        <v>5356</v>
      </c>
      <c r="Q1909" t="s">
        <v>260</v>
      </c>
      <c r="R1909" t="s">
        <v>261</v>
      </c>
      <c r="S1909" t="s">
        <v>261</v>
      </c>
      <c r="T1909" t="s">
        <v>261</v>
      </c>
      <c r="U1909" t="s">
        <v>262</v>
      </c>
      <c r="V1909" t="s">
        <v>262</v>
      </c>
      <c r="W1909" t="s">
        <v>261</v>
      </c>
      <c r="X1909" t="s">
        <v>262</v>
      </c>
      <c r="Y1909" t="s">
        <v>261</v>
      </c>
      <c r="Z1909" t="s">
        <v>409</v>
      </c>
      <c r="AA1909" t="s">
        <v>409</v>
      </c>
      <c r="AB1909" t="s">
        <v>409</v>
      </c>
      <c r="AC1909" t="s">
        <v>409</v>
      </c>
      <c r="AD1909" t="s">
        <v>261</v>
      </c>
      <c r="AH1909" t="s">
        <v>262</v>
      </c>
      <c r="AI1909" t="s">
        <v>262</v>
      </c>
      <c r="AJ1909" t="s">
        <v>261</v>
      </c>
      <c r="AK1909" t="s">
        <v>261</v>
      </c>
      <c r="AM1909" t="s">
        <v>262</v>
      </c>
      <c r="AN1909" t="s">
        <v>5357</v>
      </c>
    </row>
    <row r="1910" spans="1:40" x14ac:dyDescent="0.35">
      <c r="A1910">
        <v>6422807</v>
      </c>
      <c r="B1910" t="s">
        <v>5358</v>
      </c>
      <c r="C1910" t="str">
        <f>"9781430265719"</f>
        <v>9781430265719</v>
      </c>
      <c r="D1910" t="str">
        <f>"9781430265726"</f>
        <v>9781430265726</v>
      </c>
      <c r="E1910" t="s">
        <v>4514</v>
      </c>
      <c r="F1910" t="s">
        <v>4514</v>
      </c>
      <c r="G1910" s="1">
        <v>41860</v>
      </c>
      <c r="H1910" s="1">
        <v>44210</v>
      </c>
      <c r="I1910" t="s">
        <v>189</v>
      </c>
      <c r="L1910" t="s">
        <v>5359</v>
      </c>
      <c r="M1910" t="s">
        <v>582</v>
      </c>
      <c r="N1910" t="s">
        <v>5136</v>
      </c>
      <c r="Q1910" t="s">
        <v>260</v>
      </c>
      <c r="R1910" t="s">
        <v>261</v>
      </c>
      <c r="S1910" t="s">
        <v>261</v>
      </c>
      <c r="T1910" t="s">
        <v>261</v>
      </c>
      <c r="U1910" t="s">
        <v>262</v>
      </c>
      <c r="V1910" t="s">
        <v>262</v>
      </c>
      <c r="W1910" t="s">
        <v>261</v>
      </c>
      <c r="X1910" t="s">
        <v>262</v>
      </c>
      <c r="Y1910" t="s">
        <v>261</v>
      </c>
      <c r="Z1910" t="s">
        <v>409</v>
      </c>
      <c r="AA1910" t="s">
        <v>409</v>
      </c>
      <c r="AB1910" t="s">
        <v>409</v>
      </c>
      <c r="AC1910" t="s">
        <v>409</v>
      </c>
      <c r="AD1910" t="s">
        <v>261</v>
      </c>
      <c r="AH1910" t="s">
        <v>262</v>
      </c>
      <c r="AI1910" t="s">
        <v>262</v>
      </c>
      <c r="AJ1910" t="s">
        <v>261</v>
      </c>
      <c r="AK1910" t="s">
        <v>261</v>
      </c>
      <c r="AM1910" t="s">
        <v>262</v>
      </c>
      <c r="AN1910" t="s">
        <v>5360</v>
      </c>
    </row>
    <row r="1911" spans="1:40" x14ac:dyDescent="0.35">
      <c r="A1911">
        <v>6422808</v>
      </c>
      <c r="B1911" t="s">
        <v>5361</v>
      </c>
      <c r="C1911" t="str">
        <f>"9783030615697"</f>
        <v>9783030615697</v>
      </c>
      <c r="D1911" t="str">
        <f>"9783030615703"</f>
        <v>9783030615703</v>
      </c>
      <c r="E1911" t="s">
        <v>2289</v>
      </c>
      <c r="F1911" t="s">
        <v>2290</v>
      </c>
      <c r="G1911" s="1">
        <v>44175</v>
      </c>
      <c r="H1911" s="1">
        <v>44210</v>
      </c>
      <c r="I1911" t="s">
        <v>189</v>
      </c>
      <c r="L1911" t="s">
        <v>5362</v>
      </c>
      <c r="M1911" t="s">
        <v>1318</v>
      </c>
      <c r="N1911" t="s">
        <v>4892</v>
      </c>
      <c r="Q1911" t="s">
        <v>260</v>
      </c>
      <c r="R1911" t="s">
        <v>261</v>
      </c>
      <c r="S1911" t="s">
        <v>261</v>
      </c>
      <c r="T1911" t="s">
        <v>261</v>
      </c>
      <c r="U1911" t="s">
        <v>262</v>
      </c>
      <c r="V1911" t="s">
        <v>262</v>
      </c>
      <c r="W1911" t="s">
        <v>261</v>
      </c>
      <c r="X1911" t="s">
        <v>261</v>
      </c>
      <c r="Y1911" t="s">
        <v>261</v>
      </c>
      <c r="Z1911" t="s">
        <v>409</v>
      </c>
      <c r="AA1911" t="s">
        <v>409</v>
      </c>
      <c r="AB1911" t="s">
        <v>409</v>
      </c>
      <c r="AC1911" t="s">
        <v>409</v>
      </c>
      <c r="AD1911" t="s">
        <v>261</v>
      </c>
      <c r="AH1911" t="s">
        <v>262</v>
      </c>
      <c r="AI1911" t="s">
        <v>262</v>
      </c>
      <c r="AJ1911" t="s">
        <v>261</v>
      </c>
      <c r="AK1911" t="s">
        <v>261</v>
      </c>
      <c r="AM1911" t="s">
        <v>262</v>
      </c>
      <c r="AN1911" t="s">
        <v>5363</v>
      </c>
    </row>
    <row r="1912" spans="1:40" x14ac:dyDescent="0.35">
      <c r="A1912">
        <v>6422809</v>
      </c>
      <c r="B1912" t="s">
        <v>5364</v>
      </c>
      <c r="C1912" t="str">
        <f>"9783319715315"</f>
        <v>9783319715315</v>
      </c>
      <c r="D1912" t="str">
        <f>"9783319715322"</f>
        <v>9783319715322</v>
      </c>
      <c r="E1912" t="s">
        <v>2289</v>
      </c>
      <c r="F1912" t="s">
        <v>2290</v>
      </c>
      <c r="G1912" s="1">
        <v>43150</v>
      </c>
      <c r="H1912" s="1">
        <v>44210</v>
      </c>
      <c r="I1912" t="s">
        <v>189</v>
      </c>
      <c r="K1912" t="s">
        <v>4096</v>
      </c>
      <c r="L1912" t="s">
        <v>5365</v>
      </c>
    </row>
    <row r="1913" spans="1:40" x14ac:dyDescent="0.35">
      <c r="A1913">
        <v>6422811</v>
      </c>
      <c r="B1913" t="s">
        <v>5366</v>
      </c>
      <c r="C1913" t="str">
        <f>"9783658125011"</f>
        <v>9783658125011</v>
      </c>
      <c r="D1913" t="str">
        <f>"9783658125028"</f>
        <v>9783658125028</v>
      </c>
      <c r="E1913" t="s">
        <v>3972</v>
      </c>
      <c r="F1913" t="s">
        <v>3998</v>
      </c>
      <c r="G1913" s="1">
        <v>42668</v>
      </c>
      <c r="H1913" s="1">
        <v>44210</v>
      </c>
      <c r="I1913" t="s">
        <v>189</v>
      </c>
      <c r="L1913" t="s">
        <v>5367</v>
      </c>
    </row>
    <row r="1914" spans="1:40" x14ac:dyDescent="0.35">
      <c r="A1914">
        <v>6422812</v>
      </c>
      <c r="B1914" t="s">
        <v>5368</v>
      </c>
      <c r="C1914" t="str">
        <f>"9783319727899"</f>
        <v>9783319727899</v>
      </c>
      <c r="D1914" t="str">
        <f>"9783319727905"</f>
        <v>9783319727905</v>
      </c>
      <c r="E1914" t="s">
        <v>2289</v>
      </c>
      <c r="F1914" t="s">
        <v>2290</v>
      </c>
      <c r="G1914" s="1">
        <v>43175</v>
      </c>
      <c r="H1914" s="1">
        <v>44210</v>
      </c>
      <c r="I1914" t="s">
        <v>189</v>
      </c>
      <c r="K1914" t="s">
        <v>5369</v>
      </c>
      <c r="L1914" t="s">
        <v>5370</v>
      </c>
      <c r="M1914" t="s">
        <v>339</v>
      </c>
      <c r="N1914" t="s">
        <v>5371</v>
      </c>
      <c r="Q1914" t="s">
        <v>260</v>
      </c>
      <c r="R1914" t="s">
        <v>261</v>
      </c>
      <c r="S1914" t="s">
        <v>261</v>
      </c>
      <c r="T1914" t="s">
        <v>261</v>
      </c>
      <c r="U1914" t="s">
        <v>262</v>
      </c>
      <c r="V1914" t="s">
        <v>262</v>
      </c>
      <c r="W1914" t="s">
        <v>261</v>
      </c>
      <c r="X1914" t="s">
        <v>262</v>
      </c>
      <c r="Y1914" t="s">
        <v>261</v>
      </c>
      <c r="Z1914" t="s">
        <v>409</v>
      </c>
      <c r="AA1914" t="s">
        <v>409</v>
      </c>
      <c r="AB1914" t="s">
        <v>409</v>
      </c>
      <c r="AC1914" t="s">
        <v>409</v>
      </c>
      <c r="AD1914" t="s">
        <v>261</v>
      </c>
      <c r="AH1914" t="s">
        <v>262</v>
      </c>
      <c r="AI1914" t="s">
        <v>262</v>
      </c>
      <c r="AJ1914" t="s">
        <v>261</v>
      </c>
      <c r="AK1914" t="s">
        <v>261</v>
      </c>
      <c r="AM1914" t="s">
        <v>262</v>
      </c>
      <c r="AN1914" t="s">
        <v>5372</v>
      </c>
    </row>
    <row r="1915" spans="1:40" x14ac:dyDescent="0.35">
      <c r="A1915">
        <v>6422813</v>
      </c>
      <c r="B1915" t="s">
        <v>5373</v>
      </c>
      <c r="C1915" t="str">
        <f>"9789811073915"</f>
        <v>9789811073915</v>
      </c>
      <c r="D1915" t="str">
        <f>"9789811073922"</f>
        <v>9789811073922</v>
      </c>
      <c r="E1915" t="s">
        <v>3404</v>
      </c>
      <c r="F1915" t="s">
        <v>2290</v>
      </c>
      <c r="G1915" s="1">
        <v>43122</v>
      </c>
      <c r="H1915" s="1">
        <v>44210</v>
      </c>
      <c r="I1915" t="s">
        <v>189</v>
      </c>
      <c r="K1915" t="s">
        <v>4777</v>
      </c>
      <c r="L1915" t="s">
        <v>5374</v>
      </c>
      <c r="M1915" t="s">
        <v>847</v>
      </c>
    </row>
    <row r="1916" spans="1:40" x14ac:dyDescent="0.35">
      <c r="A1916">
        <v>6422817</v>
      </c>
      <c r="B1916" t="s">
        <v>5375</v>
      </c>
      <c r="C1916" t="str">
        <f>"9789400770874"</f>
        <v>9789400770874</v>
      </c>
      <c r="D1916" t="str">
        <f>"9789400770881"</f>
        <v>9789400770881</v>
      </c>
      <c r="E1916" t="s">
        <v>4164</v>
      </c>
      <c r="F1916" t="s">
        <v>2290</v>
      </c>
      <c r="G1916" s="1">
        <v>41551</v>
      </c>
      <c r="H1916" s="1">
        <v>44210</v>
      </c>
      <c r="I1916" t="s">
        <v>189</v>
      </c>
      <c r="L1916" t="s">
        <v>5376</v>
      </c>
    </row>
    <row r="1917" spans="1:40" x14ac:dyDescent="0.35">
      <c r="A1917">
        <v>6422819</v>
      </c>
      <c r="B1917" t="s">
        <v>5377</v>
      </c>
      <c r="C1917" t="str">
        <f>"9783658169800"</f>
        <v>9783658169800</v>
      </c>
      <c r="D1917" t="str">
        <f>"9783658169817"</f>
        <v>9783658169817</v>
      </c>
      <c r="E1917" t="s">
        <v>3972</v>
      </c>
      <c r="F1917" t="s">
        <v>3998</v>
      </c>
      <c r="G1917" s="1">
        <v>42954</v>
      </c>
      <c r="H1917" s="1">
        <v>44210</v>
      </c>
      <c r="I1917" t="s">
        <v>189</v>
      </c>
      <c r="L1917" t="s">
        <v>72</v>
      </c>
    </row>
    <row r="1918" spans="1:40" x14ac:dyDescent="0.35">
      <c r="A1918">
        <v>6422820</v>
      </c>
      <c r="B1918" t="s">
        <v>5378</v>
      </c>
      <c r="C1918" t="str">
        <f>"9783319786100"</f>
        <v>9783319786100</v>
      </c>
      <c r="D1918" t="str">
        <f>"9783319789347"</f>
        <v>9783319789347</v>
      </c>
      <c r="E1918" t="s">
        <v>2289</v>
      </c>
      <c r="F1918" t="s">
        <v>2663</v>
      </c>
      <c r="G1918" s="1">
        <v>43480</v>
      </c>
      <c r="H1918" s="1">
        <v>44210</v>
      </c>
      <c r="I1918" t="s">
        <v>189</v>
      </c>
      <c r="K1918" t="s">
        <v>5352</v>
      </c>
      <c r="L1918" t="s">
        <v>5379</v>
      </c>
      <c r="M1918" t="s">
        <v>535</v>
      </c>
    </row>
    <row r="1919" spans="1:40" x14ac:dyDescent="0.35">
      <c r="A1919">
        <v>6422821</v>
      </c>
      <c r="B1919" t="s">
        <v>5380</v>
      </c>
      <c r="C1919" t="str">
        <f>"9783319323930"</f>
        <v>9783319323930</v>
      </c>
      <c r="D1919" t="str">
        <f>"9783319323947"</f>
        <v>9783319323947</v>
      </c>
      <c r="E1919" t="s">
        <v>2289</v>
      </c>
      <c r="F1919" t="s">
        <v>2290</v>
      </c>
      <c r="G1919" s="1">
        <v>42569</v>
      </c>
      <c r="H1919" s="1">
        <v>44210</v>
      </c>
      <c r="I1919" t="s">
        <v>189</v>
      </c>
      <c r="K1919" t="s">
        <v>4712</v>
      </c>
      <c r="L1919" t="s">
        <v>5381</v>
      </c>
    </row>
    <row r="1920" spans="1:40" x14ac:dyDescent="0.35">
      <c r="A1920">
        <v>6422822</v>
      </c>
      <c r="B1920" t="s">
        <v>5382</v>
      </c>
      <c r="C1920" t="str">
        <f>"9783319947990"</f>
        <v>9783319947990</v>
      </c>
      <c r="D1920" t="str">
        <f>"9783319948003"</f>
        <v>9783319948003</v>
      </c>
      <c r="E1920" t="s">
        <v>2289</v>
      </c>
      <c r="F1920" t="s">
        <v>2663</v>
      </c>
      <c r="G1920" s="1">
        <v>43357</v>
      </c>
      <c r="H1920" s="1">
        <v>44210</v>
      </c>
      <c r="I1920" t="s">
        <v>189</v>
      </c>
      <c r="L1920" t="s">
        <v>5383</v>
      </c>
    </row>
    <row r="1921" spans="1:13" x14ac:dyDescent="0.35">
      <c r="A1921">
        <v>6422823</v>
      </c>
      <c r="B1921" t="s">
        <v>5384</v>
      </c>
      <c r="C1921" t="str">
        <f>"9783658226473"</f>
        <v>9783658226473</v>
      </c>
      <c r="D1921" t="str">
        <f>"9783658226480"</f>
        <v>9783658226480</v>
      </c>
      <c r="E1921" t="s">
        <v>3972</v>
      </c>
      <c r="F1921" t="s">
        <v>3972</v>
      </c>
      <c r="G1921" s="1">
        <v>43349</v>
      </c>
      <c r="H1921" s="1">
        <v>44210</v>
      </c>
      <c r="I1921" t="s">
        <v>189</v>
      </c>
      <c r="L1921" t="s">
        <v>5350</v>
      </c>
    </row>
    <row r="1922" spans="1:13" x14ac:dyDescent="0.35">
      <c r="A1922">
        <v>6422825</v>
      </c>
      <c r="B1922" t="s">
        <v>5385</v>
      </c>
      <c r="C1922" t="str">
        <f>"9783319389677"</f>
        <v>9783319389677</v>
      </c>
      <c r="D1922" t="str">
        <f>"9783319389684"</f>
        <v>9783319389684</v>
      </c>
      <c r="E1922" t="s">
        <v>2289</v>
      </c>
      <c r="F1922" t="s">
        <v>2290</v>
      </c>
      <c r="G1922" s="1">
        <v>42549</v>
      </c>
      <c r="H1922" s="1">
        <v>44210</v>
      </c>
      <c r="I1922" t="s">
        <v>189</v>
      </c>
      <c r="K1922" t="s">
        <v>4712</v>
      </c>
      <c r="L1922" t="s">
        <v>5386</v>
      </c>
    </row>
    <row r="1923" spans="1:13" x14ac:dyDescent="0.35">
      <c r="A1923">
        <v>6422826</v>
      </c>
      <c r="B1923" t="s">
        <v>5387</v>
      </c>
      <c r="C1923" t="str">
        <f>"9789812873804"</f>
        <v>9789812873804</v>
      </c>
      <c r="D1923" t="str">
        <f>"9789812873811"</f>
        <v>9789812873811</v>
      </c>
      <c r="E1923" t="s">
        <v>3404</v>
      </c>
      <c r="F1923" t="s">
        <v>2290</v>
      </c>
      <c r="G1923" s="1">
        <v>42121</v>
      </c>
      <c r="H1923" s="1">
        <v>44210</v>
      </c>
      <c r="I1923" t="s">
        <v>189</v>
      </c>
      <c r="L1923" t="s">
        <v>5388</v>
      </c>
    </row>
    <row r="1924" spans="1:13" x14ac:dyDescent="0.35">
      <c r="A1924">
        <v>6422827</v>
      </c>
      <c r="B1924" t="s">
        <v>5389</v>
      </c>
      <c r="C1924" t="str">
        <f>"9781430264965"</f>
        <v>9781430264965</v>
      </c>
      <c r="D1924" t="str">
        <f>"9781430264972"</f>
        <v>9781430264972</v>
      </c>
      <c r="E1924" t="s">
        <v>4514</v>
      </c>
      <c r="F1924" t="s">
        <v>4514</v>
      </c>
      <c r="G1924" s="1">
        <v>41918</v>
      </c>
      <c r="H1924" s="1">
        <v>44210</v>
      </c>
      <c r="I1924" t="s">
        <v>189</v>
      </c>
      <c r="L1924" t="s">
        <v>5390</v>
      </c>
    </row>
    <row r="1925" spans="1:13" x14ac:dyDescent="0.35">
      <c r="A1925">
        <v>6422828</v>
      </c>
      <c r="B1925" t="s">
        <v>5391</v>
      </c>
      <c r="C1925" t="str">
        <f>"9783030513153"</f>
        <v>9783030513153</v>
      </c>
      <c r="D1925" t="str">
        <f>"9783030513160"</f>
        <v>9783030513160</v>
      </c>
      <c r="E1925" t="s">
        <v>2289</v>
      </c>
      <c r="F1925" t="s">
        <v>2290</v>
      </c>
      <c r="G1925" s="1">
        <v>44173</v>
      </c>
      <c r="H1925" s="1">
        <v>44210</v>
      </c>
      <c r="I1925" t="s">
        <v>189</v>
      </c>
      <c r="L1925" t="s">
        <v>5392</v>
      </c>
      <c r="M1925" t="s">
        <v>964</v>
      </c>
    </row>
    <row r="1926" spans="1:13" x14ac:dyDescent="0.35">
      <c r="A1926">
        <v>6422829</v>
      </c>
      <c r="B1926" t="s">
        <v>5393</v>
      </c>
      <c r="C1926" t="str">
        <f>"9783319205700"</f>
        <v>9783319205700</v>
      </c>
      <c r="D1926" t="str">
        <f>"9783319205717"</f>
        <v>9783319205717</v>
      </c>
      <c r="E1926" t="s">
        <v>2289</v>
      </c>
      <c r="F1926" t="s">
        <v>2290</v>
      </c>
      <c r="G1926" s="1">
        <v>42356</v>
      </c>
      <c r="H1926" s="1">
        <v>44210</v>
      </c>
      <c r="I1926" t="s">
        <v>189</v>
      </c>
      <c r="L1926" t="s">
        <v>5394</v>
      </c>
    </row>
    <row r="1927" spans="1:13" x14ac:dyDescent="0.35">
      <c r="A1927">
        <v>6422830</v>
      </c>
      <c r="B1927" t="s">
        <v>5395</v>
      </c>
      <c r="C1927" t="str">
        <f>"9783658216580"</f>
        <v>9783658216580</v>
      </c>
      <c r="D1927" t="str">
        <f>"9783658216597"</f>
        <v>9783658216597</v>
      </c>
      <c r="E1927" t="s">
        <v>3972</v>
      </c>
      <c r="F1927" t="s">
        <v>3998</v>
      </c>
      <c r="G1927" s="1">
        <v>43805</v>
      </c>
      <c r="H1927" s="1">
        <v>44210</v>
      </c>
      <c r="I1927" t="s">
        <v>189</v>
      </c>
      <c r="L1927" t="s">
        <v>5396</v>
      </c>
    </row>
    <row r="1928" spans="1:13" x14ac:dyDescent="0.35">
      <c r="A1928">
        <v>6422831</v>
      </c>
      <c r="B1928" t="s">
        <v>5397</v>
      </c>
      <c r="C1928" t="str">
        <f>"9789400779594"</f>
        <v>9789400779594</v>
      </c>
      <c r="D1928" t="str">
        <f>"9789400779600"</f>
        <v>9789400779600</v>
      </c>
      <c r="E1928" t="s">
        <v>4164</v>
      </c>
      <c r="F1928" t="s">
        <v>2290</v>
      </c>
      <c r="G1928" s="1">
        <v>41667</v>
      </c>
      <c r="H1928" s="1">
        <v>44210</v>
      </c>
      <c r="I1928" t="s">
        <v>189</v>
      </c>
      <c r="K1928" t="s">
        <v>4295</v>
      </c>
      <c r="L1928" t="s">
        <v>5398</v>
      </c>
    </row>
    <row r="1929" spans="1:13" x14ac:dyDescent="0.35">
      <c r="A1929">
        <v>6422832</v>
      </c>
      <c r="B1929" t="s">
        <v>5399</v>
      </c>
      <c r="C1929" t="str">
        <f>"9783642333767"</f>
        <v>9783642333767</v>
      </c>
      <c r="D1929" t="str">
        <f>"9783642333774"</f>
        <v>9783642333774</v>
      </c>
      <c r="E1929" t="s">
        <v>4047</v>
      </c>
      <c r="F1929" t="s">
        <v>2290</v>
      </c>
      <c r="G1929" s="1">
        <v>41381</v>
      </c>
      <c r="H1929" s="1">
        <v>44210</v>
      </c>
      <c r="I1929" t="s">
        <v>189</v>
      </c>
      <c r="K1929" t="s">
        <v>5400</v>
      </c>
      <c r="L1929" t="s">
        <v>5401</v>
      </c>
    </row>
    <row r="1930" spans="1:13" x14ac:dyDescent="0.35">
      <c r="A1930">
        <v>6422833</v>
      </c>
      <c r="B1930" t="s">
        <v>5402</v>
      </c>
      <c r="C1930" t="str">
        <f>"9783658049157"</f>
        <v>9783658049157</v>
      </c>
      <c r="D1930" t="str">
        <f>"9783658049164"</f>
        <v>9783658049164</v>
      </c>
      <c r="E1930" t="s">
        <v>3972</v>
      </c>
      <c r="F1930" t="s">
        <v>3998</v>
      </c>
      <c r="G1930" s="1">
        <v>41911</v>
      </c>
      <c r="H1930" s="1">
        <v>44210</v>
      </c>
      <c r="I1930" t="s">
        <v>189</v>
      </c>
      <c r="L1930" t="s">
        <v>5403</v>
      </c>
    </row>
    <row r="1931" spans="1:13" x14ac:dyDescent="0.35">
      <c r="A1931">
        <v>6422834</v>
      </c>
      <c r="B1931" t="s">
        <v>5404</v>
      </c>
      <c r="C1931" t="str">
        <f>"9783319316246"</f>
        <v>9783319316246</v>
      </c>
      <c r="D1931" t="str">
        <f>"9783319316253"</f>
        <v>9783319316253</v>
      </c>
      <c r="E1931" t="s">
        <v>2289</v>
      </c>
      <c r="F1931" t="s">
        <v>2290</v>
      </c>
      <c r="G1931" s="1">
        <v>42586</v>
      </c>
      <c r="H1931" s="1">
        <v>44210</v>
      </c>
      <c r="I1931" t="s">
        <v>189</v>
      </c>
      <c r="K1931" t="s">
        <v>4712</v>
      </c>
      <c r="L1931" t="s">
        <v>5405</v>
      </c>
    </row>
    <row r="1932" spans="1:13" x14ac:dyDescent="0.35">
      <c r="A1932">
        <v>6422835</v>
      </c>
      <c r="B1932" t="s">
        <v>5406</v>
      </c>
      <c r="C1932" t="str">
        <f>"9784431551256"</f>
        <v>9784431551256</v>
      </c>
      <c r="D1932" t="str">
        <f>"9784431551928"</f>
        <v>9784431551928</v>
      </c>
      <c r="E1932" t="s">
        <v>4001</v>
      </c>
      <c r="F1932" t="s">
        <v>2290</v>
      </c>
      <c r="G1932" s="1">
        <v>41978</v>
      </c>
      <c r="H1932" s="1">
        <v>44210</v>
      </c>
      <c r="I1932" t="s">
        <v>189</v>
      </c>
      <c r="L1932" t="s">
        <v>4932</v>
      </c>
    </row>
    <row r="1933" spans="1:13" x14ac:dyDescent="0.35">
      <c r="A1933">
        <v>6422836</v>
      </c>
      <c r="B1933" t="s">
        <v>5407</v>
      </c>
      <c r="C1933" t="str">
        <f>"9789401786775"</f>
        <v>9789401786775</v>
      </c>
      <c r="D1933" t="str">
        <f>"9789401786782"</f>
        <v>9789401786782</v>
      </c>
      <c r="E1933" t="s">
        <v>4164</v>
      </c>
      <c r="F1933" t="s">
        <v>2290</v>
      </c>
      <c r="G1933" s="1">
        <v>41884</v>
      </c>
      <c r="H1933" s="1">
        <v>44210</v>
      </c>
      <c r="I1933" t="s">
        <v>189</v>
      </c>
      <c r="K1933" t="s">
        <v>4044</v>
      </c>
      <c r="L1933" t="s">
        <v>5408</v>
      </c>
    </row>
    <row r="1934" spans="1:13" x14ac:dyDescent="0.35">
      <c r="A1934">
        <v>6422837</v>
      </c>
      <c r="B1934" t="s">
        <v>5409</v>
      </c>
      <c r="C1934" t="str">
        <f>"9784431545583"</f>
        <v>9784431545583</v>
      </c>
      <c r="D1934" t="str">
        <f>"9784431545590"</f>
        <v>9784431545590</v>
      </c>
      <c r="E1934" t="s">
        <v>4001</v>
      </c>
      <c r="F1934" t="s">
        <v>2290</v>
      </c>
      <c r="G1934" s="1">
        <v>41708</v>
      </c>
      <c r="H1934" s="1">
        <v>44210</v>
      </c>
      <c r="I1934" t="s">
        <v>189</v>
      </c>
      <c r="K1934" t="s">
        <v>5410</v>
      </c>
      <c r="L1934" t="s">
        <v>5411</v>
      </c>
      <c r="M1934" t="s">
        <v>964</v>
      </c>
    </row>
    <row r="1935" spans="1:13" x14ac:dyDescent="0.35">
      <c r="A1935">
        <v>6422838</v>
      </c>
      <c r="B1935" t="s">
        <v>5412</v>
      </c>
      <c r="C1935" t="str">
        <f>"9783319407296"</f>
        <v>9783319407296</v>
      </c>
      <c r="D1935" t="str">
        <f>"9783319407302"</f>
        <v>9783319407302</v>
      </c>
      <c r="E1935" t="s">
        <v>2289</v>
      </c>
      <c r="F1935" t="s">
        <v>2290</v>
      </c>
      <c r="G1935" s="1">
        <v>42557</v>
      </c>
      <c r="H1935" s="1">
        <v>44210</v>
      </c>
      <c r="I1935" t="s">
        <v>189</v>
      </c>
      <c r="K1935" t="s">
        <v>4712</v>
      </c>
      <c r="L1935" t="s">
        <v>5413</v>
      </c>
    </row>
    <row r="1936" spans="1:13" x14ac:dyDescent="0.35">
      <c r="A1936">
        <v>6422840</v>
      </c>
      <c r="B1936" t="s">
        <v>5414</v>
      </c>
      <c r="C1936" t="str">
        <f>"9783662503966"</f>
        <v>9783662503966</v>
      </c>
      <c r="D1936" t="str">
        <f>"9783662503973"</f>
        <v>9783662503973</v>
      </c>
      <c r="E1936" t="s">
        <v>4047</v>
      </c>
      <c r="F1936" t="s">
        <v>4048</v>
      </c>
      <c r="G1936" s="1">
        <v>42648</v>
      </c>
      <c r="H1936" s="1">
        <v>44210</v>
      </c>
      <c r="I1936" t="s">
        <v>189</v>
      </c>
      <c r="L1936" t="s">
        <v>5415</v>
      </c>
    </row>
    <row r="1937" spans="1:40" x14ac:dyDescent="0.35">
      <c r="A1937">
        <v>6422841</v>
      </c>
      <c r="B1937" t="s">
        <v>5416</v>
      </c>
      <c r="C1937" t="str">
        <f>"9784431543053"</f>
        <v>9784431543053</v>
      </c>
      <c r="D1937" t="str">
        <f>"9784431543060"</f>
        <v>9784431543060</v>
      </c>
      <c r="E1937" t="s">
        <v>4001</v>
      </c>
      <c r="F1937" t="s">
        <v>2290</v>
      </c>
      <c r="G1937" s="1">
        <v>41353</v>
      </c>
      <c r="H1937" s="1">
        <v>44210</v>
      </c>
      <c r="I1937" t="s">
        <v>189</v>
      </c>
      <c r="L1937" t="s">
        <v>5417</v>
      </c>
      <c r="M1937" t="s">
        <v>249</v>
      </c>
      <c r="N1937" t="s">
        <v>5418</v>
      </c>
      <c r="Q1937" t="s">
        <v>260</v>
      </c>
      <c r="R1937" t="s">
        <v>261</v>
      </c>
      <c r="S1937" t="s">
        <v>261</v>
      </c>
      <c r="T1937" t="s">
        <v>261</v>
      </c>
      <c r="U1937" t="s">
        <v>262</v>
      </c>
      <c r="V1937" t="s">
        <v>262</v>
      </c>
      <c r="W1937" t="s">
        <v>261</v>
      </c>
      <c r="X1937" t="s">
        <v>262</v>
      </c>
      <c r="Y1937" t="s">
        <v>261</v>
      </c>
      <c r="Z1937" t="s">
        <v>409</v>
      </c>
      <c r="AA1937" t="s">
        <v>409</v>
      </c>
      <c r="AB1937" t="s">
        <v>409</v>
      </c>
      <c r="AC1937" t="s">
        <v>409</v>
      </c>
      <c r="AD1937" t="s">
        <v>261</v>
      </c>
      <c r="AH1937" t="s">
        <v>262</v>
      </c>
      <c r="AI1937" t="s">
        <v>262</v>
      </c>
      <c r="AJ1937" t="s">
        <v>261</v>
      </c>
      <c r="AK1937" t="s">
        <v>261</v>
      </c>
      <c r="AM1937" t="s">
        <v>262</v>
      </c>
      <c r="AN1937" t="s">
        <v>5419</v>
      </c>
    </row>
    <row r="1938" spans="1:40" x14ac:dyDescent="0.35">
      <c r="A1938">
        <v>6422842</v>
      </c>
      <c r="B1938" t="s">
        <v>5420</v>
      </c>
      <c r="C1938" t="str">
        <f>"9783030043629"</f>
        <v>9783030043629</v>
      </c>
      <c r="D1938" t="str">
        <f>"9783030043636"</f>
        <v>9783030043636</v>
      </c>
      <c r="E1938" t="s">
        <v>2289</v>
      </c>
      <c r="F1938" t="s">
        <v>2290</v>
      </c>
      <c r="G1938" s="1">
        <v>43508</v>
      </c>
      <c r="H1938" s="1">
        <v>44210</v>
      </c>
      <c r="I1938" t="s">
        <v>189</v>
      </c>
      <c r="K1938" t="s">
        <v>5421</v>
      </c>
      <c r="L1938" t="s">
        <v>5422</v>
      </c>
    </row>
    <row r="1939" spans="1:40" x14ac:dyDescent="0.35">
      <c r="A1939">
        <v>6422843</v>
      </c>
      <c r="B1939" t="s">
        <v>5423</v>
      </c>
      <c r="C1939" t="str">
        <f>"9783658284749"</f>
        <v>9783658284749</v>
      </c>
      <c r="D1939" t="str">
        <f>"9783658284756"</f>
        <v>9783658284756</v>
      </c>
      <c r="E1939" t="s">
        <v>3972</v>
      </c>
      <c r="F1939" t="s">
        <v>2290</v>
      </c>
      <c r="G1939" s="1">
        <v>43787</v>
      </c>
      <c r="H1939" s="1">
        <v>44210</v>
      </c>
      <c r="I1939" t="s">
        <v>189</v>
      </c>
      <c r="L1939" t="s">
        <v>5424</v>
      </c>
      <c r="M1939" t="s">
        <v>1687</v>
      </c>
      <c r="N1939" t="s">
        <v>5425</v>
      </c>
      <c r="Q1939" t="s">
        <v>408</v>
      </c>
      <c r="R1939" t="s">
        <v>261</v>
      </c>
      <c r="S1939" t="s">
        <v>261</v>
      </c>
      <c r="T1939" t="s">
        <v>261</v>
      </c>
      <c r="U1939" t="s">
        <v>262</v>
      </c>
      <c r="V1939" t="s">
        <v>262</v>
      </c>
      <c r="W1939" t="s">
        <v>261</v>
      </c>
      <c r="X1939" t="s">
        <v>262</v>
      </c>
      <c r="Y1939" t="s">
        <v>261</v>
      </c>
      <c r="Z1939" t="s">
        <v>409</v>
      </c>
      <c r="AA1939" t="s">
        <v>409</v>
      </c>
      <c r="AB1939" t="s">
        <v>409</v>
      </c>
      <c r="AC1939" t="s">
        <v>409</v>
      </c>
      <c r="AD1939" t="s">
        <v>261</v>
      </c>
      <c r="AH1939" t="s">
        <v>262</v>
      </c>
      <c r="AI1939" t="s">
        <v>262</v>
      </c>
      <c r="AJ1939" t="s">
        <v>261</v>
      </c>
      <c r="AK1939" t="s">
        <v>261</v>
      </c>
      <c r="AM1939" t="s">
        <v>262</v>
      </c>
      <c r="AN1939" t="s">
        <v>5426</v>
      </c>
    </row>
    <row r="1940" spans="1:40" x14ac:dyDescent="0.35">
      <c r="A1940">
        <v>6422844</v>
      </c>
      <c r="B1940" t="s">
        <v>5427</v>
      </c>
      <c r="C1940" t="str">
        <f>"9783319653518"</f>
        <v>9783319653518</v>
      </c>
      <c r="D1940" t="str">
        <f>"9783319653525"</f>
        <v>9783319653525</v>
      </c>
      <c r="E1940" t="s">
        <v>2289</v>
      </c>
      <c r="F1940" t="s">
        <v>2663</v>
      </c>
      <c r="G1940" s="1">
        <v>43012</v>
      </c>
      <c r="H1940" s="1">
        <v>44210</v>
      </c>
      <c r="I1940" t="s">
        <v>189</v>
      </c>
      <c r="K1940" t="s">
        <v>5428</v>
      </c>
      <c r="L1940" t="s">
        <v>5429</v>
      </c>
      <c r="M1940" t="s">
        <v>210</v>
      </c>
    </row>
    <row r="1941" spans="1:40" x14ac:dyDescent="0.35">
      <c r="A1941">
        <v>6422845</v>
      </c>
      <c r="B1941" t="s">
        <v>5430</v>
      </c>
      <c r="C1941" t="str">
        <f>"9783658226435"</f>
        <v>9783658226435</v>
      </c>
      <c r="D1941" t="str">
        <f>"9783658226442"</f>
        <v>9783658226442</v>
      </c>
      <c r="E1941" t="s">
        <v>3972</v>
      </c>
      <c r="F1941" t="s">
        <v>2290</v>
      </c>
      <c r="G1941" s="1">
        <v>43279</v>
      </c>
      <c r="H1941" s="1">
        <v>44210</v>
      </c>
      <c r="I1941" t="s">
        <v>189</v>
      </c>
      <c r="L1941" t="s">
        <v>5431</v>
      </c>
      <c r="M1941" t="s">
        <v>1687</v>
      </c>
      <c r="N1941" t="s">
        <v>5425</v>
      </c>
      <c r="Q1941" t="s">
        <v>408</v>
      </c>
      <c r="R1941" t="s">
        <v>261</v>
      </c>
      <c r="S1941" t="s">
        <v>261</v>
      </c>
      <c r="T1941" t="s">
        <v>261</v>
      </c>
      <c r="U1941" t="s">
        <v>262</v>
      </c>
      <c r="V1941" t="s">
        <v>262</v>
      </c>
      <c r="W1941" t="s">
        <v>261</v>
      </c>
      <c r="X1941" t="s">
        <v>262</v>
      </c>
      <c r="Y1941" t="s">
        <v>261</v>
      </c>
      <c r="Z1941" t="s">
        <v>409</v>
      </c>
      <c r="AA1941" t="s">
        <v>409</v>
      </c>
      <c r="AB1941" t="s">
        <v>409</v>
      </c>
      <c r="AC1941" t="s">
        <v>409</v>
      </c>
      <c r="AD1941" t="s">
        <v>261</v>
      </c>
      <c r="AH1941" t="s">
        <v>262</v>
      </c>
      <c r="AI1941" t="s">
        <v>262</v>
      </c>
      <c r="AJ1941" t="s">
        <v>261</v>
      </c>
      <c r="AK1941" t="s">
        <v>261</v>
      </c>
      <c r="AM1941" t="s">
        <v>262</v>
      </c>
      <c r="AN1941" t="s">
        <v>5432</v>
      </c>
    </row>
    <row r="1942" spans="1:40" x14ac:dyDescent="0.35">
      <c r="A1942">
        <v>6422846</v>
      </c>
      <c r="B1942" t="s">
        <v>5433</v>
      </c>
      <c r="C1942" t="str">
        <f>"9783319142210"</f>
        <v>9783319142210</v>
      </c>
      <c r="D1942" t="str">
        <f>"9783319142227"</f>
        <v>9783319142227</v>
      </c>
      <c r="E1942" t="s">
        <v>2289</v>
      </c>
      <c r="F1942" t="s">
        <v>2290</v>
      </c>
      <c r="G1942" s="1">
        <v>42108</v>
      </c>
      <c r="H1942" s="1">
        <v>44210</v>
      </c>
      <c r="I1942" t="s">
        <v>189</v>
      </c>
      <c r="L1942" t="s">
        <v>74</v>
      </c>
    </row>
    <row r="1943" spans="1:40" x14ac:dyDescent="0.35">
      <c r="A1943">
        <v>6422847</v>
      </c>
      <c r="B1943" t="s">
        <v>5434</v>
      </c>
      <c r="C1943" t="str">
        <f>"9783319450223"</f>
        <v>9783319450223</v>
      </c>
      <c r="D1943" t="str">
        <f>"9783319450230"</f>
        <v>9783319450230</v>
      </c>
      <c r="E1943" t="s">
        <v>2289</v>
      </c>
      <c r="F1943" t="s">
        <v>2290</v>
      </c>
      <c r="G1943" s="1">
        <v>42748</v>
      </c>
      <c r="H1943" s="1">
        <v>44210</v>
      </c>
      <c r="I1943" t="s">
        <v>189</v>
      </c>
      <c r="K1943" t="s">
        <v>4864</v>
      </c>
      <c r="L1943" t="s">
        <v>5435</v>
      </c>
    </row>
    <row r="1944" spans="1:40" x14ac:dyDescent="0.35">
      <c r="A1944">
        <v>6422848</v>
      </c>
      <c r="B1944" t="s">
        <v>5134</v>
      </c>
      <c r="C1944" t="str">
        <f>"9781484214565"</f>
        <v>9781484214565</v>
      </c>
      <c r="D1944" t="str">
        <f>"9781484214558"</f>
        <v>9781484214558</v>
      </c>
      <c r="E1944" t="s">
        <v>4514</v>
      </c>
      <c r="F1944" t="s">
        <v>4514</v>
      </c>
      <c r="G1944" s="1">
        <v>42593</v>
      </c>
      <c r="H1944" s="1">
        <v>44210</v>
      </c>
      <c r="I1944" t="s">
        <v>189</v>
      </c>
      <c r="J1944">
        <v>2</v>
      </c>
      <c r="L1944" t="s">
        <v>5436</v>
      </c>
      <c r="M1944" t="s">
        <v>582</v>
      </c>
      <c r="N1944" t="s">
        <v>5136</v>
      </c>
      <c r="Q1944" t="s">
        <v>260</v>
      </c>
      <c r="R1944" t="s">
        <v>261</v>
      </c>
      <c r="S1944" t="s">
        <v>261</v>
      </c>
      <c r="T1944" t="s">
        <v>261</v>
      </c>
      <c r="U1944" t="s">
        <v>262</v>
      </c>
      <c r="V1944" t="s">
        <v>262</v>
      </c>
      <c r="W1944" t="s">
        <v>261</v>
      </c>
      <c r="X1944" t="s">
        <v>262</v>
      </c>
      <c r="Y1944" t="s">
        <v>261</v>
      </c>
      <c r="Z1944" t="s">
        <v>409</v>
      </c>
      <c r="AA1944" t="s">
        <v>409</v>
      </c>
      <c r="AB1944" t="s">
        <v>409</v>
      </c>
      <c r="AC1944" t="s">
        <v>409</v>
      </c>
      <c r="AD1944" t="s">
        <v>261</v>
      </c>
      <c r="AH1944" t="s">
        <v>262</v>
      </c>
      <c r="AI1944" t="s">
        <v>262</v>
      </c>
      <c r="AJ1944" t="s">
        <v>261</v>
      </c>
      <c r="AK1944" t="s">
        <v>261</v>
      </c>
      <c r="AM1944" t="s">
        <v>262</v>
      </c>
      <c r="AN1944" t="s">
        <v>5437</v>
      </c>
    </row>
    <row r="1945" spans="1:40" x14ac:dyDescent="0.35">
      <c r="A1945">
        <v>6422850</v>
      </c>
      <c r="B1945" t="s">
        <v>5438</v>
      </c>
      <c r="C1945" t="str">
        <f>"9783319483658"</f>
        <v>9783319483658</v>
      </c>
      <c r="D1945" t="str">
        <f>"9783319483665"</f>
        <v>9783319483665</v>
      </c>
      <c r="E1945" t="s">
        <v>2289</v>
      </c>
      <c r="F1945" t="s">
        <v>2663</v>
      </c>
      <c r="G1945" s="1">
        <v>42835</v>
      </c>
      <c r="H1945" s="1">
        <v>44210</v>
      </c>
      <c r="I1945" t="s">
        <v>189</v>
      </c>
      <c r="L1945" t="s">
        <v>5439</v>
      </c>
    </row>
    <row r="1946" spans="1:40" x14ac:dyDescent="0.35">
      <c r="A1946">
        <v>6422851</v>
      </c>
      <c r="B1946" t="s">
        <v>5440</v>
      </c>
      <c r="C1946" t="str">
        <f>"9783319303291"</f>
        <v>9783319303291</v>
      </c>
      <c r="D1946" t="str">
        <f>"9783319303307"</f>
        <v>9783319303307</v>
      </c>
      <c r="E1946" t="s">
        <v>2289</v>
      </c>
      <c r="F1946" t="s">
        <v>2290</v>
      </c>
      <c r="G1946" s="1">
        <v>42471</v>
      </c>
      <c r="H1946" s="1">
        <v>44210</v>
      </c>
      <c r="I1946" t="s">
        <v>189</v>
      </c>
      <c r="K1946" t="s">
        <v>5441</v>
      </c>
      <c r="L1946" t="s">
        <v>5442</v>
      </c>
      <c r="M1946" t="s">
        <v>339</v>
      </c>
      <c r="N1946" t="s">
        <v>5443</v>
      </c>
      <c r="O1946" s="2">
        <v>617058</v>
      </c>
      <c r="Q1946" t="s">
        <v>260</v>
      </c>
      <c r="R1946" t="s">
        <v>261</v>
      </c>
      <c r="S1946" t="s">
        <v>261</v>
      </c>
      <c r="T1946" t="s">
        <v>261</v>
      </c>
      <c r="U1946" t="s">
        <v>262</v>
      </c>
      <c r="V1946" t="s">
        <v>262</v>
      </c>
      <c r="W1946" t="s">
        <v>261</v>
      </c>
      <c r="X1946" t="s">
        <v>262</v>
      </c>
      <c r="Y1946" t="s">
        <v>261</v>
      </c>
      <c r="Z1946" t="s">
        <v>409</v>
      </c>
      <c r="AA1946" t="s">
        <v>409</v>
      </c>
      <c r="AB1946" t="s">
        <v>409</v>
      </c>
      <c r="AC1946" t="s">
        <v>409</v>
      </c>
      <c r="AD1946" t="s">
        <v>261</v>
      </c>
      <c r="AH1946" t="s">
        <v>262</v>
      </c>
      <c r="AI1946" t="s">
        <v>262</v>
      </c>
      <c r="AJ1946" t="s">
        <v>261</v>
      </c>
      <c r="AK1946" t="s">
        <v>261</v>
      </c>
      <c r="AM1946" t="s">
        <v>262</v>
      </c>
      <c r="AN1946" t="s">
        <v>5444</v>
      </c>
    </row>
    <row r="1947" spans="1:40" x14ac:dyDescent="0.35">
      <c r="A1947">
        <v>6422852</v>
      </c>
      <c r="B1947" t="s">
        <v>5445</v>
      </c>
      <c r="C1947" t="str">
        <f>"9783319560670"</f>
        <v>9783319560670</v>
      </c>
      <c r="D1947" t="str">
        <f>"9783319560687"</f>
        <v>9783319560687</v>
      </c>
      <c r="E1947" t="s">
        <v>2289</v>
      </c>
      <c r="F1947" t="s">
        <v>2663</v>
      </c>
      <c r="G1947" s="1">
        <v>43049</v>
      </c>
      <c r="H1947" s="1">
        <v>44210</v>
      </c>
      <c r="I1947" t="s">
        <v>189</v>
      </c>
      <c r="K1947" t="s">
        <v>5446</v>
      </c>
      <c r="L1947" t="s">
        <v>5447</v>
      </c>
    </row>
    <row r="1948" spans="1:40" x14ac:dyDescent="0.35">
      <c r="A1948">
        <v>6422853</v>
      </c>
      <c r="B1948" t="s">
        <v>5448</v>
      </c>
      <c r="C1948" t="str">
        <f>"9783642369032"</f>
        <v>9783642369032</v>
      </c>
      <c r="D1948" t="str">
        <f>"9783642369049"</f>
        <v>9783642369049</v>
      </c>
      <c r="E1948" t="s">
        <v>4047</v>
      </c>
      <c r="F1948" t="s">
        <v>2290</v>
      </c>
      <c r="G1948" s="1">
        <v>41499</v>
      </c>
      <c r="H1948" s="1">
        <v>44210</v>
      </c>
      <c r="I1948" t="s">
        <v>189</v>
      </c>
      <c r="L1948" t="s">
        <v>5350</v>
      </c>
    </row>
    <row r="1949" spans="1:40" x14ac:dyDescent="0.35">
      <c r="A1949">
        <v>6422854</v>
      </c>
      <c r="B1949" t="s">
        <v>5449</v>
      </c>
      <c r="C1949" t="str">
        <f>"9783030520168"</f>
        <v>9783030520168</v>
      </c>
      <c r="D1949" t="str">
        <f>"9783030520175"</f>
        <v>9783030520175</v>
      </c>
      <c r="E1949" t="s">
        <v>2289</v>
      </c>
      <c r="F1949" t="s">
        <v>2290</v>
      </c>
      <c r="G1949" s="1">
        <v>44175</v>
      </c>
      <c r="H1949" s="1">
        <v>44210</v>
      </c>
      <c r="I1949" t="s">
        <v>189</v>
      </c>
      <c r="K1949" t="s">
        <v>5450</v>
      </c>
      <c r="L1949" t="s">
        <v>5451</v>
      </c>
    </row>
    <row r="1950" spans="1:40" x14ac:dyDescent="0.35">
      <c r="A1950">
        <v>6422855</v>
      </c>
      <c r="B1950" t="s">
        <v>5452</v>
      </c>
      <c r="C1950" t="str">
        <f>"9784431558200"</f>
        <v>9784431558200</v>
      </c>
      <c r="D1950" t="str">
        <f>"9784431558224"</f>
        <v>9784431558224</v>
      </c>
      <c r="E1950" t="s">
        <v>4001</v>
      </c>
      <c r="F1950" t="s">
        <v>2290</v>
      </c>
      <c r="G1950" s="1">
        <v>42398</v>
      </c>
      <c r="H1950" s="1">
        <v>44210</v>
      </c>
      <c r="I1950" t="s">
        <v>189</v>
      </c>
      <c r="L1950" t="s">
        <v>5453</v>
      </c>
      <c r="M1950" t="s">
        <v>3574</v>
      </c>
    </row>
    <row r="1951" spans="1:40" x14ac:dyDescent="0.35">
      <c r="A1951">
        <v>6422856</v>
      </c>
      <c r="B1951" t="s">
        <v>5454</v>
      </c>
      <c r="C1951" t="str">
        <f>"9783319269399"</f>
        <v>9783319269399</v>
      </c>
      <c r="D1951" t="str">
        <f>"9783319269405"</f>
        <v>9783319269405</v>
      </c>
      <c r="E1951" t="s">
        <v>2289</v>
      </c>
      <c r="F1951" t="s">
        <v>2290</v>
      </c>
      <c r="G1951" s="1">
        <v>42473</v>
      </c>
      <c r="H1951" s="1">
        <v>44210</v>
      </c>
      <c r="I1951" t="s">
        <v>189</v>
      </c>
      <c r="K1951" t="s">
        <v>5455</v>
      </c>
      <c r="L1951" t="s">
        <v>5456</v>
      </c>
      <c r="M1951" t="s">
        <v>249</v>
      </c>
      <c r="N1951" t="s">
        <v>5418</v>
      </c>
      <c r="Q1951" t="s">
        <v>260</v>
      </c>
      <c r="R1951" t="s">
        <v>261</v>
      </c>
      <c r="S1951" t="s">
        <v>261</v>
      </c>
      <c r="T1951" t="s">
        <v>261</v>
      </c>
      <c r="U1951" t="s">
        <v>262</v>
      </c>
      <c r="V1951" t="s">
        <v>262</v>
      </c>
      <c r="W1951" t="s">
        <v>261</v>
      </c>
      <c r="X1951" t="s">
        <v>262</v>
      </c>
      <c r="Y1951" t="s">
        <v>261</v>
      </c>
      <c r="Z1951" t="s">
        <v>409</v>
      </c>
      <c r="AA1951" t="s">
        <v>409</v>
      </c>
      <c r="AB1951" t="s">
        <v>409</v>
      </c>
      <c r="AC1951" t="s">
        <v>409</v>
      </c>
      <c r="AD1951" t="s">
        <v>261</v>
      </c>
      <c r="AH1951" t="s">
        <v>262</v>
      </c>
      <c r="AI1951" t="s">
        <v>262</v>
      </c>
      <c r="AJ1951" t="s">
        <v>261</v>
      </c>
      <c r="AK1951" t="s">
        <v>261</v>
      </c>
      <c r="AM1951" t="s">
        <v>262</v>
      </c>
      <c r="AN1951" t="s">
        <v>5457</v>
      </c>
    </row>
    <row r="1952" spans="1:40" x14ac:dyDescent="0.35">
      <c r="A1952">
        <v>6422857</v>
      </c>
      <c r="B1952" t="s">
        <v>5458</v>
      </c>
      <c r="C1952" t="str">
        <f>"9783319699288"</f>
        <v>9783319699288</v>
      </c>
      <c r="D1952" t="str">
        <f>"9783319699295"</f>
        <v>9783319699295</v>
      </c>
      <c r="E1952" t="s">
        <v>2289</v>
      </c>
      <c r="F1952" t="s">
        <v>2663</v>
      </c>
      <c r="G1952" s="1">
        <v>43150</v>
      </c>
      <c r="H1952" s="1">
        <v>44210</v>
      </c>
      <c r="I1952" t="s">
        <v>189</v>
      </c>
      <c r="L1952" t="s">
        <v>5459</v>
      </c>
    </row>
    <row r="1953" spans="1:40" x14ac:dyDescent="0.35">
      <c r="A1953">
        <v>6422859</v>
      </c>
      <c r="B1953" t="s">
        <v>5460</v>
      </c>
      <c r="C1953" t="str">
        <f>"9783319433486"</f>
        <v>9783319433486</v>
      </c>
      <c r="D1953" t="str">
        <f>"9783319433509"</f>
        <v>9783319433509</v>
      </c>
      <c r="E1953" t="s">
        <v>2289</v>
      </c>
      <c r="F1953" t="s">
        <v>2290</v>
      </c>
      <c r="G1953" s="1">
        <v>42676</v>
      </c>
      <c r="H1953" s="1">
        <v>44210</v>
      </c>
      <c r="I1953" t="s">
        <v>189</v>
      </c>
      <c r="K1953" t="s">
        <v>5461</v>
      </c>
      <c r="L1953" t="s">
        <v>5462</v>
      </c>
      <c r="M1953" t="s">
        <v>535</v>
      </c>
    </row>
    <row r="1954" spans="1:40" x14ac:dyDescent="0.35">
      <c r="A1954">
        <v>6422860</v>
      </c>
      <c r="B1954" t="s">
        <v>5463</v>
      </c>
      <c r="C1954" t="str">
        <f>"9783319697895"</f>
        <v>9783319697895</v>
      </c>
      <c r="D1954" t="str">
        <f>"9783319697901"</f>
        <v>9783319697901</v>
      </c>
      <c r="E1954" t="s">
        <v>2289</v>
      </c>
      <c r="F1954" t="s">
        <v>4450</v>
      </c>
      <c r="G1954" s="1">
        <v>43112</v>
      </c>
      <c r="H1954" s="1">
        <v>44210</v>
      </c>
      <c r="I1954" t="s">
        <v>189</v>
      </c>
      <c r="K1954" t="s">
        <v>5464</v>
      </c>
      <c r="L1954" t="s">
        <v>5465</v>
      </c>
    </row>
    <row r="1955" spans="1:40" x14ac:dyDescent="0.35">
      <c r="A1955">
        <v>6422861</v>
      </c>
      <c r="B1955" t="s">
        <v>5466</v>
      </c>
      <c r="C1955" t="str">
        <f>"9783319285207"</f>
        <v>9783319285207</v>
      </c>
      <c r="D1955" t="str">
        <f>"9783319285214"</f>
        <v>9783319285214</v>
      </c>
      <c r="E1955" t="s">
        <v>2289</v>
      </c>
      <c r="F1955" t="s">
        <v>2290</v>
      </c>
      <c r="G1955" s="1">
        <v>42500</v>
      </c>
      <c r="H1955" s="1">
        <v>44210</v>
      </c>
      <c r="I1955" t="s">
        <v>189</v>
      </c>
      <c r="L1955" t="s">
        <v>5467</v>
      </c>
    </row>
    <row r="1956" spans="1:40" x14ac:dyDescent="0.35">
      <c r="A1956">
        <v>6422862</v>
      </c>
      <c r="B1956" t="s">
        <v>5468</v>
      </c>
      <c r="C1956" t="str">
        <f>"9783319656328"</f>
        <v>9783319656328</v>
      </c>
      <c r="D1956" t="str">
        <f>"9783319656335"</f>
        <v>9783319656335</v>
      </c>
      <c r="E1956" t="s">
        <v>2289</v>
      </c>
      <c r="F1956" t="s">
        <v>2290</v>
      </c>
      <c r="G1956" s="1">
        <v>43131</v>
      </c>
      <c r="H1956" s="1">
        <v>44210</v>
      </c>
      <c r="I1956" t="s">
        <v>189</v>
      </c>
      <c r="K1956" t="s">
        <v>5469</v>
      </c>
      <c r="L1956" t="s">
        <v>5470</v>
      </c>
    </row>
    <row r="1957" spans="1:40" x14ac:dyDescent="0.35">
      <c r="A1957">
        <v>6422863</v>
      </c>
      <c r="B1957" t="s">
        <v>5471</v>
      </c>
      <c r="C1957" t="str">
        <f>"9783319628691"</f>
        <v>9783319628691</v>
      </c>
      <c r="D1957" t="str">
        <f>"9783319628707"</f>
        <v>9783319628707</v>
      </c>
      <c r="E1957" t="s">
        <v>2289</v>
      </c>
      <c r="F1957" t="s">
        <v>2290</v>
      </c>
      <c r="G1957" s="1">
        <v>43074</v>
      </c>
      <c r="H1957" s="1">
        <v>44210</v>
      </c>
      <c r="I1957" t="s">
        <v>189</v>
      </c>
      <c r="L1957" t="s">
        <v>5472</v>
      </c>
    </row>
    <row r="1958" spans="1:40" x14ac:dyDescent="0.35">
      <c r="A1958">
        <v>6422864</v>
      </c>
      <c r="B1958" t="s">
        <v>5473</v>
      </c>
      <c r="C1958" t="str">
        <f>"9783319301198"</f>
        <v>9783319301198</v>
      </c>
      <c r="D1958" t="str">
        <f>"9783319301204"</f>
        <v>9783319301204</v>
      </c>
      <c r="E1958" t="s">
        <v>2289</v>
      </c>
      <c r="F1958" t="s">
        <v>2290</v>
      </c>
      <c r="G1958" s="1">
        <v>42473</v>
      </c>
      <c r="H1958" s="1">
        <v>44210</v>
      </c>
      <c r="I1958" t="s">
        <v>189</v>
      </c>
      <c r="K1958" t="s">
        <v>4712</v>
      </c>
      <c r="L1958" t="s">
        <v>5474</v>
      </c>
    </row>
    <row r="1959" spans="1:40" x14ac:dyDescent="0.35">
      <c r="A1959">
        <v>6422866</v>
      </c>
      <c r="B1959" t="s">
        <v>5475</v>
      </c>
      <c r="C1959" t="str">
        <f>"9783319096643"</f>
        <v>9783319096643</v>
      </c>
      <c r="D1959" t="str">
        <f>"9783319096650"</f>
        <v>9783319096650</v>
      </c>
      <c r="E1959" t="s">
        <v>2289</v>
      </c>
      <c r="F1959" t="s">
        <v>2290</v>
      </c>
      <c r="G1959" s="1">
        <v>42017</v>
      </c>
      <c r="H1959" s="1">
        <v>44210</v>
      </c>
      <c r="I1959" t="s">
        <v>189</v>
      </c>
      <c r="K1959" t="s">
        <v>5476</v>
      </c>
      <c r="L1959" t="s">
        <v>5477</v>
      </c>
    </row>
    <row r="1960" spans="1:40" x14ac:dyDescent="0.35">
      <c r="A1960">
        <v>6422869</v>
      </c>
      <c r="B1960" t="s">
        <v>5478</v>
      </c>
      <c r="C1960" t="str">
        <f>"9783319456195"</f>
        <v>9783319456195</v>
      </c>
      <c r="D1960" t="str">
        <f>"9783319456201"</f>
        <v>9783319456201</v>
      </c>
      <c r="E1960" t="s">
        <v>2289</v>
      </c>
      <c r="F1960" t="s">
        <v>2290</v>
      </c>
      <c r="G1960" s="1">
        <v>42676</v>
      </c>
      <c r="H1960" s="1">
        <v>44210</v>
      </c>
      <c r="I1960" t="s">
        <v>189</v>
      </c>
      <c r="K1960" t="s">
        <v>5455</v>
      </c>
      <c r="L1960" t="s">
        <v>5456</v>
      </c>
      <c r="M1960" t="s">
        <v>249</v>
      </c>
      <c r="N1960" t="s">
        <v>5418</v>
      </c>
      <c r="Q1960" t="s">
        <v>260</v>
      </c>
      <c r="R1960" t="s">
        <v>261</v>
      </c>
      <c r="S1960" t="s">
        <v>261</v>
      </c>
      <c r="T1960" t="s">
        <v>261</v>
      </c>
      <c r="U1960" t="s">
        <v>262</v>
      </c>
      <c r="V1960" t="s">
        <v>262</v>
      </c>
      <c r="W1960" t="s">
        <v>261</v>
      </c>
      <c r="X1960" t="s">
        <v>262</v>
      </c>
      <c r="Y1960" t="s">
        <v>261</v>
      </c>
      <c r="Z1960" t="s">
        <v>409</v>
      </c>
      <c r="AA1960" t="s">
        <v>409</v>
      </c>
      <c r="AB1960" t="s">
        <v>409</v>
      </c>
      <c r="AC1960" t="s">
        <v>409</v>
      </c>
      <c r="AD1960" t="s">
        <v>261</v>
      </c>
      <c r="AH1960" t="s">
        <v>262</v>
      </c>
      <c r="AI1960" t="s">
        <v>262</v>
      </c>
      <c r="AJ1960" t="s">
        <v>261</v>
      </c>
      <c r="AK1960" t="s">
        <v>261</v>
      </c>
      <c r="AM1960" t="s">
        <v>262</v>
      </c>
      <c r="AN1960" t="s">
        <v>5479</v>
      </c>
    </row>
    <row r="1961" spans="1:40" x14ac:dyDescent="0.35">
      <c r="A1961">
        <v>6422870</v>
      </c>
      <c r="B1961" t="s">
        <v>5480</v>
      </c>
      <c r="C1961" t="str">
        <f>"9789811008856"</f>
        <v>9789811008856</v>
      </c>
      <c r="D1961" t="str">
        <f>"9789811008863"</f>
        <v>9789811008863</v>
      </c>
      <c r="E1961" t="s">
        <v>3404</v>
      </c>
      <c r="F1961" t="s">
        <v>2290</v>
      </c>
      <c r="G1961" s="1">
        <v>42572</v>
      </c>
      <c r="H1961" s="1">
        <v>44210</v>
      </c>
      <c r="I1961" t="s">
        <v>189</v>
      </c>
      <c r="L1961" t="s">
        <v>5481</v>
      </c>
      <c r="M1961" t="s">
        <v>239</v>
      </c>
    </row>
    <row r="1962" spans="1:40" x14ac:dyDescent="0.35">
      <c r="A1962">
        <v>6422872</v>
      </c>
      <c r="B1962" t="s">
        <v>5482</v>
      </c>
      <c r="C1962" t="str">
        <f>"9783658061944"</f>
        <v>9783658061944</v>
      </c>
      <c r="D1962" t="str">
        <f>"9783658064303"</f>
        <v>9783658064303</v>
      </c>
      <c r="E1962" t="s">
        <v>3972</v>
      </c>
      <c r="F1962" t="s">
        <v>3972</v>
      </c>
      <c r="G1962" s="1">
        <v>41904</v>
      </c>
      <c r="H1962" s="1">
        <v>44210</v>
      </c>
      <c r="I1962" t="s">
        <v>189</v>
      </c>
      <c r="L1962" t="s">
        <v>5483</v>
      </c>
      <c r="M1962" t="s">
        <v>847</v>
      </c>
    </row>
    <row r="1963" spans="1:40" x14ac:dyDescent="0.35">
      <c r="A1963">
        <v>6422875</v>
      </c>
      <c r="B1963" t="s">
        <v>5484</v>
      </c>
      <c r="C1963" t="str">
        <f>"9783319205908"</f>
        <v>9783319205908</v>
      </c>
      <c r="D1963" t="str">
        <f>"9783319205915"</f>
        <v>9783319205915</v>
      </c>
      <c r="E1963" t="s">
        <v>2289</v>
      </c>
      <c r="F1963" t="s">
        <v>2290</v>
      </c>
      <c r="G1963" s="1">
        <v>42290</v>
      </c>
      <c r="H1963" s="1">
        <v>44210</v>
      </c>
      <c r="I1963" t="s">
        <v>189</v>
      </c>
      <c r="K1963" t="s">
        <v>5485</v>
      </c>
      <c r="L1963" t="s">
        <v>5486</v>
      </c>
    </row>
    <row r="1964" spans="1:40" x14ac:dyDescent="0.35">
      <c r="A1964">
        <v>6422876</v>
      </c>
      <c r="B1964" t="s">
        <v>5487</v>
      </c>
      <c r="C1964" t="str">
        <f>"9783319152776"</f>
        <v>9783319152776</v>
      </c>
      <c r="D1964" t="str">
        <f>"9783319152783"</f>
        <v>9783319152783</v>
      </c>
      <c r="E1964" t="s">
        <v>2289</v>
      </c>
      <c r="F1964" t="s">
        <v>2290</v>
      </c>
      <c r="G1964" s="1">
        <v>42180</v>
      </c>
      <c r="H1964" s="1">
        <v>44210</v>
      </c>
      <c r="I1964" t="s">
        <v>189</v>
      </c>
      <c r="K1964" t="s">
        <v>4912</v>
      </c>
      <c r="L1964" t="s">
        <v>5488</v>
      </c>
      <c r="M1964" t="s">
        <v>323</v>
      </c>
      <c r="N1964" t="s">
        <v>5489</v>
      </c>
      <c r="O1964">
        <v>374</v>
      </c>
      <c r="Q1964" t="s">
        <v>260</v>
      </c>
      <c r="R1964" t="s">
        <v>261</v>
      </c>
      <c r="S1964" t="s">
        <v>261</v>
      </c>
      <c r="T1964" t="s">
        <v>261</v>
      </c>
      <c r="U1964" t="s">
        <v>262</v>
      </c>
      <c r="V1964" t="s">
        <v>262</v>
      </c>
      <c r="W1964" t="s">
        <v>261</v>
      </c>
      <c r="X1964" t="s">
        <v>262</v>
      </c>
      <c r="Y1964" t="s">
        <v>261</v>
      </c>
      <c r="Z1964" t="s">
        <v>409</v>
      </c>
      <c r="AA1964" t="s">
        <v>409</v>
      </c>
      <c r="AB1964" t="s">
        <v>409</v>
      </c>
      <c r="AC1964" t="s">
        <v>409</v>
      </c>
      <c r="AD1964" t="s">
        <v>261</v>
      </c>
      <c r="AH1964" t="s">
        <v>262</v>
      </c>
      <c r="AI1964" t="s">
        <v>262</v>
      </c>
      <c r="AJ1964" t="s">
        <v>261</v>
      </c>
      <c r="AK1964" t="s">
        <v>261</v>
      </c>
      <c r="AM1964" t="s">
        <v>262</v>
      </c>
      <c r="AN1964" t="s">
        <v>5490</v>
      </c>
    </row>
    <row r="1965" spans="1:40" x14ac:dyDescent="0.35">
      <c r="A1965">
        <v>6422877</v>
      </c>
      <c r="B1965" t="s">
        <v>5491</v>
      </c>
      <c r="C1965" t="str">
        <f>"9783319697710"</f>
        <v>9783319697710</v>
      </c>
      <c r="D1965" t="str">
        <f>"9783319697727"</f>
        <v>9783319697727</v>
      </c>
      <c r="E1965" t="s">
        <v>2289</v>
      </c>
      <c r="F1965" t="s">
        <v>2663</v>
      </c>
      <c r="G1965" s="1">
        <v>43131</v>
      </c>
      <c r="H1965" s="1">
        <v>44210</v>
      </c>
      <c r="I1965" t="s">
        <v>189</v>
      </c>
      <c r="L1965" t="s">
        <v>5492</v>
      </c>
      <c r="M1965" t="s">
        <v>282</v>
      </c>
    </row>
    <row r="1966" spans="1:40" x14ac:dyDescent="0.35">
      <c r="A1966">
        <v>6422878</v>
      </c>
      <c r="B1966" t="s">
        <v>5493</v>
      </c>
      <c r="C1966" t="str">
        <f>"9783662459140"</f>
        <v>9783662459140</v>
      </c>
      <c r="D1966" t="str">
        <f>"9783662459157"</f>
        <v>9783662459157</v>
      </c>
      <c r="E1966" t="s">
        <v>4047</v>
      </c>
      <c r="F1966" t="s">
        <v>4084</v>
      </c>
      <c r="G1966" s="1">
        <v>41995</v>
      </c>
      <c r="H1966" s="1">
        <v>44210</v>
      </c>
      <c r="I1966" t="s">
        <v>189</v>
      </c>
      <c r="L1966" t="s">
        <v>5494</v>
      </c>
    </row>
    <row r="1967" spans="1:40" x14ac:dyDescent="0.35">
      <c r="A1967">
        <v>6422879</v>
      </c>
      <c r="B1967" t="s">
        <v>5495</v>
      </c>
      <c r="C1967" t="str">
        <f>"9789811075476"</f>
        <v>9789811075476</v>
      </c>
      <c r="D1967" t="str">
        <f>"9789811075483"</f>
        <v>9789811075483</v>
      </c>
      <c r="E1967" t="s">
        <v>3404</v>
      </c>
      <c r="F1967" t="s">
        <v>2290</v>
      </c>
      <c r="G1967" s="1">
        <v>43143</v>
      </c>
      <c r="H1967" s="1">
        <v>44210</v>
      </c>
      <c r="I1967" t="s">
        <v>189</v>
      </c>
      <c r="L1967" t="s">
        <v>5496</v>
      </c>
      <c r="M1967" t="s">
        <v>847</v>
      </c>
    </row>
    <row r="1968" spans="1:40" x14ac:dyDescent="0.35">
      <c r="A1968">
        <v>6422880</v>
      </c>
      <c r="B1968" t="s">
        <v>5497</v>
      </c>
      <c r="C1968" t="str">
        <f>"9783662586556"</f>
        <v>9783662586556</v>
      </c>
      <c r="D1968" t="str">
        <f>"9783662586563"</f>
        <v>9783662586563</v>
      </c>
      <c r="E1968" t="s">
        <v>4047</v>
      </c>
      <c r="F1968" t="s">
        <v>2290</v>
      </c>
      <c r="G1968" s="1">
        <v>43767</v>
      </c>
      <c r="H1968" s="1">
        <v>44210</v>
      </c>
      <c r="I1968" t="s">
        <v>189</v>
      </c>
      <c r="L1968" t="s">
        <v>5498</v>
      </c>
    </row>
    <row r="1969" spans="1:40" x14ac:dyDescent="0.35">
      <c r="A1969">
        <v>6422881</v>
      </c>
      <c r="B1969" t="s">
        <v>5499</v>
      </c>
      <c r="C1969" t="str">
        <f>"9783319654324"</f>
        <v>9783319654324</v>
      </c>
      <c r="D1969" t="str">
        <f>"9783319654331"</f>
        <v>9783319654331</v>
      </c>
      <c r="E1969" t="s">
        <v>2289</v>
      </c>
      <c r="F1969" t="s">
        <v>2290</v>
      </c>
      <c r="G1969" s="1">
        <v>43031</v>
      </c>
      <c r="H1969" s="1">
        <v>44210</v>
      </c>
      <c r="I1969" t="s">
        <v>189</v>
      </c>
      <c r="K1969" t="s">
        <v>4787</v>
      </c>
      <c r="L1969" t="s">
        <v>5500</v>
      </c>
      <c r="M1969" t="s">
        <v>249</v>
      </c>
      <c r="N1969" t="s">
        <v>4310</v>
      </c>
      <c r="Q1969" t="s">
        <v>260</v>
      </c>
      <c r="R1969" t="s">
        <v>261</v>
      </c>
      <c r="S1969" t="s">
        <v>261</v>
      </c>
      <c r="T1969" t="s">
        <v>261</v>
      </c>
      <c r="U1969" t="s">
        <v>262</v>
      </c>
      <c r="V1969" t="s">
        <v>262</v>
      </c>
      <c r="W1969" t="s">
        <v>261</v>
      </c>
      <c r="X1969" t="s">
        <v>262</v>
      </c>
      <c r="Y1969" t="s">
        <v>261</v>
      </c>
      <c r="Z1969" t="s">
        <v>409</v>
      </c>
      <c r="AA1969" t="s">
        <v>409</v>
      </c>
      <c r="AB1969" t="s">
        <v>409</v>
      </c>
      <c r="AC1969" t="s">
        <v>409</v>
      </c>
      <c r="AD1969" t="s">
        <v>261</v>
      </c>
      <c r="AH1969" t="s">
        <v>262</v>
      </c>
      <c r="AI1969" t="s">
        <v>262</v>
      </c>
      <c r="AJ1969" t="s">
        <v>261</v>
      </c>
      <c r="AK1969" t="s">
        <v>261</v>
      </c>
      <c r="AM1969" t="s">
        <v>262</v>
      </c>
      <c r="AN1969" t="s">
        <v>5501</v>
      </c>
    </row>
    <row r="1970" spans="1:40" x14ac:dyDescent="0.35">
      <c r="A1970">
        <v>6422882</v>
      </c>
      <c r="B1970" t="s">
        <v>5502</v>
      </c>
      <c r="C1970" t="str">
        <f>"9783662604861"</f>
        <v>9783662604861</v>
      </c>
      <c r="D1970" t="str">
        <f>"9783662604878"</f>
        <v>9783662604878</v>
      </c>
      <c r="E1970" t="s">
        <v>4047</v>
      </c>
      <c r="F1970" t="s">
        <v>2290</v>
      </c>
      <c r="G1970" s="1">
        <v>43910</v>
      </c>
      <c r="H1970" s="1">
        <v>44210</v>
      </c>
      <c r="I1970" t="s">
        <v>189</v>
      </c>
      <c r="L1970" t="s">
        <v>63</v>
      </c>
    </row>
    <row r="1971" spans="1:40" x14ac:dyDescent="0.35">
      <c r="A1971">
        <v>6422883</v>
      </c>
      <c r="B1971" t="s">
        <v>5503</v>
      </c>
      <c r="C1971" t="str">
        <f>"9783319954196"</f>
        <v>9783319954196</v>
      </c>
      <c r="D1971" t="str">
        <f>"9783319954202"</f>
        <v>9783319954202</v>
      </c>
      <c r="E1971" t="s">
        <v>2289</v>
      </c>
      <c r="F1971" t="s">
        <v>2290</v>
      </c>
      <c r="G1971" s="1">
        <v>43402</v>
      </c>
      <c r="H1971" s="1">
        <v>44210</v>
      </c>
      <c r="I1971" t="s">
        <v>189</v>
      </c>
      <c r="K1971" t="s">
        <v>4227</v>
      </c>
      <c r="L1971" t="s">
        <v>5504</v>
      </c>
    </row>
    <row r="1972" spans="1:40" x14ac:dyDescent="0.35">
      <c r="A1972">
        <v>6422884</v>
      </c>
      <c r="B1972" t="s">
        <v>5505</v>
      </c>
      <c r="C1972" t="str">
        <f>"9781137506795"</f>
        <v>9781137506795</v>
      </c>
      <c r="D1972" t="str">
        <f>"9781137506801"</f>
        <v>9781137506801</v>
      </c>
      <c r="E1972" t="s">
        <v>4183</v>
      </c>
      <c r="F1972" t="s">
        <v>2663</v>
      </c>
      <c r="G1972" s="1">
        <v>42251</v>
      </c>
      <c r="H1972" s="1">
        <v>44210</v>
      </c>
      <c r="I1972" t="s">
        <v>189</v>
      </c>
      <c r="L1972" t="s">
        <v>5506</v>
      </c>
    </row>
    <row r="1973" spans="1:40" x14ac:dyDescent="0.35">
      <c r="A1973">
        <v>6422885</v>
      </c>
      <c r="B1973" t="s">
        <v>5507</v>
      </c>
      <c r="C1973" t="str">
        <f>"9783662602959"</f>
        <v>9783662602959</v>
      </c>
      <c r="D1973" t="str">
        <f>"9783662602966"</f>
        <v>9783662602966</v>
      </c>
      <c r="E1973" t="s">
        <v>4047</v>
      </c>
      <c r="F1973" t="s">
        <v>4084</v>
      </c>
      <c r="G1973" s="1">
        <v>43860</v>
      </c>
      <c r="H1973" s="1">
        <v>44210</v>
      </c>
      <c r="I1973" t="s">
        <v>189</v>
      </c>
      <c r="L1973" t="s">
        <v>5508</v>
      </c>
      <c r="M1973" t="s">
        <v>847</v>
      </c>
    </row>
    <row r="1974" spans="1:40" x14ac:dyDescent="0.35">
      <c r="A1974">
        <v>6422886</v>
      </c>
      <c r="B1974" t="s">
        <v>5509</v>
      </c>
      <c r="C1974" t="str">
        <f>"9783319535005"</f>
        <v>9783319535005</v>
      </c>
      <c r="D1974" t="str">
        <f>"9783319594699"</f>
        <v>9783319594699</v>
      </c>
      <c r="E1974" t="s">
        <v>2289</v>
      </c>
      <c r="F1974" t="s">
        <v>2290</v>
      </c>
      <c r="G1974" s="1">
        <v>42872</v>
      </c>
      <c r="H1974" s="1">
        <v>44210</v>
      </c>
      <c r="I1974" t="s">
        <v>189</v>
      </c>
      <c r="L1974" t="s">
        <v>5510</v>
      </c>
    </row>
    <row r="1975" spans="1:40" x14ac:dyDescent="0.35">
      <c r="A1975">
        <v>6422887</v>
      </c>
      <c r="B1975" t="s">
        <v>5511</v>
      </c>
      <c r="C1975" t="str">
        <f>"9783662528532"</f>
        <v>9783662528532</v>
      </c>
      <c r="D1975" t="str">
        <f>"9783662528549"</f>
        <v>9783662528549</v>
      </c>
      <c r="E1975" t="s">
        <v>4047</v>
      </c>
      <c r="F1975" t="s">
        <v>4084</v>
      </c>
      <c r="G1975" s="1">
        <v>42650</v>
      </c>
      <c r="H1975" s="1">
        <v>44210</v>
      </c>
      <c r="I1975" t="s">
        <v>189</v>
      </c>
      <c r="L1975" t="s">
        <v>4670</v>
      </c>
      <c r="M1975" t="s">
        <v>847</v>
      </c>
    </row>
    <row r="1976" spans="1:40" x14ac:dyDescent="0.35">
      <c r="A1976">
        <v>6422889</v>
      </c>
      <c r="B1976" t="s">
        <v>5512</v>
      </c>
      <c r="C1976" t="str">
        <f>"9783658291662"</f>
        <v>9783658291662</v>
      </c>
      <c r="D1976" t="str">
        <f>"9783658291679"</f>
        <v>9783658291679</v>
      </c>
      <c r="E1976" t="s">
        <v>3972</v>
      </c>
      <c r="F1976" t="s">
        <v>3972</v>
      </c>
      <c r="G1976" s="1">
        <v>43860</v>
      </c>
      <c r="H1976" s="1">
        <v>44210</v>
      </c>
      <c r="I1976" t="s">
        <v>189</v>
      </c>
      <c r="K1976" t="s">
        <v>5513</v>
      </c>
      <c r="L1976" t="s">
        <v>5514</v>
      </c>
      <c r="M1976" t="s">
        <v>249</v>
      </c>
      <c r="N1976" t="s">
        <v>3975</v>
      </c>
      <c r="Q1976" t="s">
        <v>408</v>
      </c>
      <c r="R1976" t="s">
        <v>261</v>
      </c>
      <c r="S1976" t="s">
        <v>261</v>
      </c>
      <c r="T1976" t="s">
        <v>261</v>
      </c>
      <c r="U1976" t="s">
        <v>262</v>
      </c>
      <c r="V1976" t="s">
        <v>262</v>
      </c>
      <c r="W1976" t="s">
        <v>261</v>
      </c>
      <c r="X1976" t="s">
        <v>262</v>
      </c>
      <c r="Y1976" t="s">
        <v>261</v>
      </c>
      <c r="Z1976" t="s">
        <v>409</v>
      </c>
      <c r="AA1976" t="s">
        <v>409</v>
      </c>
      <c r="AB1976" t="s">
        <v>409</v>
      </c>
      <c r="AC1976" t="s">
        <v>409</v>
      </c>
      <c r="AD1976" t="s">
        <v>261</v>
      </c>
      <c r="AH1976" t="s">
        <v>262</v>
      </c>
      <c r="AI1976" t="s">
        <v>262</v>
      </c>
      <c r="AJ1976" t="s">
        <v>261</v>
      </c>
      <c r="AK1976" t="s">
        <v>261</v>
      </c>
      <c r="AM1976" t="s">
        <v>262</v>
      </c>
      <c r="AN1976" t="s">
        <v>5515</v>
      </c>
    </row>
    <row r="1977" spans="1:40" x14ac:dyDescent="0.35">
      <c r="A1977">
        <v>6422890</v>
      </c>
      <c r="B1977" t="s">
        <v>5516</v>
      </c>
      <c r="C1977" t="str">
        <f>"9789811049552"</f>
        <v>9789811049552</v>
      </c>
      <c r="D1977" t="str">
        <f>"9789811049569"</f>
        <v>9789811049569</v>
      </c>
      <c r="E1977" t="s">
        <v>3404</v>
      </c>
      <c r="F1977" t="s">
        <v>2290</v>
      </c>
      <c r="G1977" s="1">
        <v>42992</v>
      </c>
      <c r="H1977" s="1">
        <v>44210</v>
      </c>
      <c r="I1977" t="s">
        <v>189</v>
      </c>
      <c r="L1977" t="s">
        <v>5517</v>
      </c>
    </row>
    <row r="1978" spans="1:40" x14ac:dyDescent="0.35">
      <c r="A1978">
        <v>6422891</v>
      </c>
      <c r="B1978" t="s">
        <v>5518</v>
      </c>
      <c r="C1978" t="str">
        <f>"9783662492635"</f>
        <v>9783662492635</v>
      </c>
      <c r="D1978" t="str">
        <f>"9783662492642"</f>
        <v>9783662492642</v>
      </c>
      <c r="E1978" t="s">
        <v>4047</v>
      </c>
      <c r="F1978" t="s">
        <v>2290</v>
      </c>
      <c r="G1978" s="1">
        <v>42429</v>
      </c>
      <c r="H1978" s="1">
        <v>44210</v>
      </c>
      <c r="I1978" t="s">
        <v>189</v>
      </c>
      <c r="L1978" t="s">
        <v>5519</v>
      </c>
    </row>
    <row r="1979" spans="1:40" x14ac:dyDescent="0.35">
      <c r="A1979">
        <v>6422893</v>
      </c>
      <c r="B1979" t="s">
        <v>5520</v>
      </c>
      <c r="C1979" t="str">
        <f>"9783319234243"</f>
        <v>9783319234243</v>
      </c>
      <c r="D1979" t="str">
        <f>"9783319234250"</f>
        <v>9783319234250</v>
      </c>
      <c r="E1979" t="s">
        <v>2289</v>
      </c>
      <c r="F1979" t="s">
        <v>2290</v>
      </c>
      <c r="G1979" s="1">
        <v>42318</v>
      </c>
      <c r="H1979" s="1">
        <v>44210</v>
      </c>
      <c r="I1979" t="s">
        <v>189</v>
      </c>
      <c r="K1979" t="s">
        <v>4249</v>
      </c>
      <c r="L1979" t="s">
        <v>5521</v>
      </c>
    </row>
    <row r="1980" spans="1:40" x14ac:dyDescent="0.35">
      <c r="A1980">
        <v>6422895</v>
      </c>
      <c r="B1980" t="s">
        <v>5522</v>
      </c>
      <c r="C1980" t="str">
        <f>"9789400770607"</f>
        <v>9789400770607</v>
      </c>
      <c r="D1980" t="str">
        <f>"9789400770614"</f>
        <v>9789400770614</v>
      </c>
      <c r="E1980" t="s">
        <v>4164</v>
      </c>
      <c r="F1980" t="s">
        <v>2290</v>
      </c>
      <c r="G1980" s="1">
        <v>41515</v>
      </c>
      <c r="H1980" s="1">
        <v>44210</v>
      </c>
      <c r="I1980" t="s">
        <v>189</v>
      </c>
      <c r="L1980" t="s">
        <v>70</v>
      </c>
    </row>
    <row r="1981" spans="1:40" x14ac:dyDescent="0.35">
      <c r="A1981">
        <v>6422896</v>
      </c>
      <c r="B1981" t="s">
        <v>5523</v>
      </c>
      <c r="C1981" t="str">
        <f>"9789811040528"</f>
        <v>9789811040528</v>
      </c>
      <c r="D1981" t="str">
        <f>"9789811040535"</f>
        <v>9789811040535</v>
      </c>
      <c r="E1981" t="s">
        <v>3404</v>
      </c>
      <c r="F1981" t="s">
        <v>2663</v>
      </c>
      <c r="G1981" s="1">
        <v>43090</v>
      </c>
      <c r="H1981" s="1">
        <v>44210</v>
      </c>
      <c r="I1981" t="s">
        <v>189</v>
      </c>
      <c r="K1981" t="s">
        <v>5524</v>
      </c>
      <c r="L1981" t="s">
        <v>5525</v>
      </c>
    </row>
    <row r="1982" spans="1:40" x14ac:dyDescent="0.35">
      <c r="A1982">
        <v>6422897</v>
      </c>
      <c r="B1982" t="s">
        <v>5526</v>
      </c>
      <c r="C1982" t="str">
        <f>"9783030456221"</f>
        <v>9783030456221</v>
      </c>
      <c r="D1982" t="str">
        <f>"9783030456238"</f>
        <v>9783030456238</v>
      </c>
      <c r="E1982" t="s">
        <v>2289</v>
      </c>
      <c r="F1982" t="s">
        <v>2290</v>
      </c>
      <c r="G1982" s="1">
        <v>44049</v>
      </c>
      <c r="H1982" s="1">
        <v>44210</v>
      </c>
      <c r="I1982" t="s">
        <v>189</v>
      </c>
      <c r="L1982" t="s">
        <v>5527</v>
      </c>
    </row>
    <row r="1983" spans="1:40" x14ac:dyDescent="0.35">
      <c r="A1983">
        <v>6422898</v>
      </c>
      <c r="B1983" t="s">
        <v>5528</v>
      </c>
      <c r="C1983" t="str">
        <f>"9783030528805"</f>
        <v>9783030528805</v>
      </c>
      <c r="D1983" t="str">
        <f>"9783030528812"</f>
        <v>9783030528812</v>
      </c>
      <c r="E1983" t="s">
        <v>2289</v>
      </c>
      <c r="F1983" t="s">
        <v>2290</v>
      </c>
      <c r="G1983" s="1">
        <v>44173</v>
      </c>
      <c r="H1983" s="1">
        <v>44210</v>
      </c>
      <c r="I1983" t="s">
        <v>189</v>
      </c>
      <c r="K1983" t="s">
        <v>5529</v>
      </c>
      <c r="L1983" t="s">
        <v>5530</v>
      </c>
    </row>
    <row r="1984" spans="1:40" x14ac:dyDescent="0.35">
      <c r="A1984">
        <v>6422899</v>
      </c>
      <c r="B1984" t="s">
        <v>5531</v>
      </c>
      <c r="C1984" t="str">
        <f>"9783319916880"</f>
        <v>9783319916880</v>
      </c>
      <c r="D1984" t="str">
        <f>"9783319916897"</f>
        <v>9783319916897</v>
      </c>
      <c r="E1984" t="s">
        <v>2289</v>
      </c>
      <c r="F1984" t="s">
        <v>2290</v>
      </c>
      <c r="G1984" s="1">
        <v>43431</v>
      </c>
      <c r="H1984" s="1">
        <v>44210</v>
      </c>
      <c r="I1984" t="s">
        <v>189</v>
      </c>
      <c r="K1984" t="s">
        <v>5532</v>
      </c>
      <c r="L1984" t="s">
        <v>5533</v>
      </c>
      <c r="M1984" t="s">
        <v>535</v>
      </c>
    </row>
    <row r="1985" spans="1:40" x14ac:dyDescent="0.35">
      <c r="A1985">
        <v>6422900</v>
      </c>
      <c r="B1985" t="s">
        <v>5534</v>
      </c>
      <c r="C1985" t="str">
        <f>"9783319426105"</f>
        <v>9783319426105</v>
      </c>
      <c r="D1985" t="str">
        <f>"9783319426112"</f>
        <v>9783319426112</v>
      </c>
      <c r="E1985" t="s">
        <v>2289</v>
      </c>
      <c r="F1985" t="s">
        <v>2290</v>
      </c>
      <c r="G1985" s="1">
        <v>42692</v>
      </c>
      <c r="H1985" s="1">
        <v>44210</v>
      </c>
      <c r="I1985" t="s">
        <v>189</v>
      </c>
      <c r="K1985" t="s">
        <v>4712</v>
      </c>
      <c r="L1985" t="s">
        <v>5535</v>
      </c>
    </row>
    <row r="1986" spans="1:40" x14ac:dyDescent="0.35">
      <c r="A1986">
        <v>6422901</v>
      </c>
      <c r="B1986" t="s">
        <v>5536</v>
      </c>
      <c r="C1986" t="str">
        <f>"9783319157917"</f>
        <v>9783319157917</v>
      </c>
      <c r="D1986" t="str">
        <f>"9783319161044"</f>
        <v>9783319161044</v>
      </c>
      <c r="E1986" t="s">
        <v>2289</v>
      </c>
      <c r="F1986" t="s">
        <v>2290</v>
      </c>
      <c r="G1986" s="1">
        <v>42143</v>
      </c>
      <c r="H1986" s="1">
        <v>44210</v>
      </c>
      <c r="I1986" t="s">
        <v>189</v>
      </c>
      <c r="L1986" t="s">
        <v>5537</v>
      </c>
    </row>
    <row r="1987" spans="1:40" x14ac:dyDescent="0.35">
      <c r="A1987">
        <v>6422902</v>
      </c>
      <c r="B1987" t="s">
        <v>5538</v>
      </c>
      <c r="C1987" t="str">
        <f>"9783642208973"</f>
        <v>9783642208973</v>
      </c>
      <c r="D1987" t="str">
        <f>"9783642208980"</f>
        <v>9783642208980</v>
      </c>
      <c r="E1987" t="s">
        <v>4047</v>
      </c>
      <c r="F1987" t="s">
        <v>2290</v>
      </c>
      <c r="G1987" s="1">
        <v>40673</v>
      </c>
      <c r="H1987" s="1">
        <v>44210</v>
      </c>
      <c r="I1987" t="s">
        <v>189</v>
      </c>
      <c r="K1987" t="s">
        <v>4008</v>
      </c>
      <c r="L1987" t="s">
        <v>75</v>
      </c>
    </row>
    <row r="1988" spans="1:40" x14ac:dyDescent="0.35">
      <c r="A1988">
        <v>6422903</v>
      </c>
      <c r="B1988" t="s">
        <v>5539</v>
      </c>
      <c r="C1988" t="str">
        <f>"9783662553787"</f>
        <v>9783662553787</v>
      </c>
      <c r="D1988" t="str">
        <f>"9783662553794"</f>
        <v>9783662553794</v>
      </c>
      <c r="E1988" t="s">
        <v>4047</v>
      </c>
      <c r="F1988" t="s">
        <v>4048</v>
      </c>
      <c r="G1988" s="1">
        <v>43041</v>
      </c>
      <c r="H1988" s="1">
        <v>44210</v>
      </c>
      <c r="I1988" t="s">
        <v>189</v>
      </c>
      <c r="L1988" t="s">
        <v>5540</v>
      </c>
    </row>
    <row r="1989" spans="1:40" x14ac:dyDescent="0.35">
      <c r="A1989">
        <v>6422904</v>
      </c>
      <c r="B1989" t="s">
        <v>5541</v>
      </c>
      <c r="C1989" t="str">
        <f>"9783662594056"</f>
        <v>9783662594056</v>
      </c>
      <c r="D1989" t="str">
        <f>"9783662594063"</f>
        <v>9783662594063</v>
      </c>
      <c r="E1989" t="s">
        <v>4047</v>
      </c>
      <c r="F1989" t="s">
        <v>4084</v>
      </c>
      <c r="G1989" s="1">
        <v>43811</v>
      </c>
      <c r="H1989" s="1">
        <v>44210</v>
      </c>
      <c r="I1989" t="s">
        <v>189</v>
      </c>
      <c r="L1989" t="s">
        <v>5542</v>
      </c>
    </row>
    <row r="1990" spans="1:40" x14ac:dyDescent="0.35">
      <c r="A1990">
        <v>6422905</v>
      </c>
      <c r="B1990" t="s">
        <v>5543</v>
      </c>
      <c r="C1990" t="str">
        <f>"9781430268390"</f>
        <v>9781430268390</v>
      </c>
      <c r="D1990" t="str">
        <f>"9781430268383"</f>
        <v>9781430268383</v>
      </c>
      <c r="E1990" t="s">
        <v>4514</v>
      </c>
      <c r="F1990" t="s">
        <v>4514</v>
      </c>
      <c r="G1990" s="1">
        <v>42000</v>
      </c>
      <c r="H1990" s="1">
        <v>44210</v>
      </c>
      <c r="I1990" t="s">
        <v>189</v>
      </c>
      <c r="L1990" t="s">
        <v>5544</v>
      </c>
      <c r="M1990" t="s">
        <v>249</v>
      </c>
      <c r="N1990" t="s">
        <v>5545</v>
      </c>
      <c r="Q1990" t="s">
        <v>260</v>
      </c>
      <c r="R1990" t="s">
        <v>261</v>
      </c>
      <c r="S1990" t="s">
        <v>261</v>
      </c>
      <c r="T1990" t="s">
        <v>261</v>
      </c>
      <c r="U1990" t="s">
        <v>262</v>
      </c>
      <c r="V1990" t="s">
        <v>262</v>
      </c>
      <c r="W1990" t="s">
        <v>261</v>
      </c>
      <c r="X1990" t="s">
        <v>262</v>
      </c>
      <c r="Y1990" t="s">
        <v>261</v>
      </c>
      <c r="Z1990" t="s">
        <v>409</v>
      </c>
      <c r="AA1990" t="s">
        <v>409</v>
      </c>
      <c r="AB1990" t="s">
        <v>409</v>
      </c>
      <c r="AC1990" t="s">
        <v>409</v>
      </c>
      <c r="AD1990" t="s">
        <v>261</v>
      </c>
      <c r="AH1990" t="s">
        <v>262</v>
      </c>
      <c r="AI1990" t="s">
        <v>262</v>
      </c>
      <c r="AJ1990" t="s">
        <v>261</v>
      </c>
      <c r="AK1990" t="s">
        <v>261</v>
      </c>
      <c r="AM1990" t="s">
        <v>262</v>
      </c>
      <c r="AN1990" t="s">
        <v>5546</v>
      </c>
    </row>
    <row r="1991" spans="1:40" x14ac:dyDescent="0.35">
      <c r="A1991">
        <v>6422906</v>
      </c>
      <c r="B1991" t="s">
        <v>5547</v>
      </c>
      <c r="C1991" t="str">
        <f>"9783658316860"</f>
        <v>9783658316860</v>
      </c>
      <c r="D1991" t="str">
        <f>"9783658316877"</f>
        <v>9783658316877</v>
      </c>
      <c r="E1991" t="s">
        <v>3972</v>
      </c>
      <c r="F1991" t="s">
        <v>3972</v>
      </c>
      <c r="G1991" s="1">
        <v>44201</v>
      </c>
      <c r="H1991" s="1">
        <v>44210</v>
      </c>
      <c r="I1991" t="s">
        <v>189</v>
      </c>
      <c r="L1991" t="s">
        <v>5548</v>
      </c>
      <c r="M1991" t="s">
        <v>249</v>
      </c>
      <c r="N1991" t="s">
        <v>4509</v>
      </c>
      <c r="Q1991" t="s">
        <v>408</v>
      </c>
      <c r="R1991" t="s">
        <v>261</v>
      </c>
      <c r="S1991" t="s">
        <v>261</v>
      </c>
      <c r="T1991" t="s">
        <v>261</v>
      </c>
      <c r="U1991" t="s">
        <v>262</v>
      </c>
      <c r="V1991" t="s">
        <v>262</v>
      </c>
      <c r="W1991" t="s">
        <v>261</v>
      </c>
      <c r="X1991" t="s">
        <v>261</v>
      </c>
      <c r="Y1991" t="s">
        <v>261</v>
      </c>
      <c r="Z1991" t="s">
        <v>409</v>
      </c>
      <c r="AA1991" t="s">
        <v>409</v>
      </c>
      <c r="AB1991" t="s">
        <v>409</v>
      </c>
      <c r="AC1991" t="s">
        <v>409</v>
      </c>
      <c r="AD1991" t="s">
        <v>261</v>
      </c>
      <c r="AH1991" t="s">
        <v>262</v>
      </c>
      <c r="AI1991" t="s">
        <v>262</v>
      </c>
      <c r="AJ1991" t="s">
        <v>261</v>
      </c>
      <c r="AK1991" t="s">
        <v>261</v>
      </c>
      <c r="AM1991" t="s">
        <v>262</v>
      </c>
      <c r="AN1991" t="s">
        <v>5549</v>
      </c>
    </row>
    <row r="1992" spans="1:40" x14ac:dyDescent="0.35">
      <c r="A1992">
        <v>6422907</v>
      </c>
      <c r="B1992" t="s">
        <v>5550</v>
      </c>
      <c r="C1992" t="str">
        <f>"9783319511023"</f>
        <v>9783319511023</v>
      </c>
      <c r="D1992" t="str">
        <f>"9783319511030"</f>
        <v>9783319511030</v>
      </c>
      <c r="E1992" t="s">
        <v>2289</v>
      </c>
      <c r="F1992" t="s">
        <v>2290</v>
      </c>
      <c r="G1992" s="1">
        <v>42796</v>
      </c>
      <c r="H1992" s="1">
        <v>44210</v>
      </c>
      <c r="I1992" t="s">
        <v>189</v>
      </c>
      <c r="K1992" t="s">
        <v>5551</v>
      </c>
      <c r="L1992" t="s">
        <v>5552</v>
      </c>
    </row>
    <row r="1993" spans="1:40" x14ac:dyDescent="0.35">
      <c r="A1993">
        <v>6422908</v>
      </c>
      <c r="B1993" t="s">
        <v>5553</v>
      </c>
      <c r="C1993" t="str">
        <f>"9783319238463"</f>
        <v>9783319238463</v>
      </c>
      <c r="D1993" t="str">
        <f>"9783319238470"</f>
        <v>9783319238470</v>
      </c>
      <c r="E1993" t="s">
        <v>2289</v>
      </c>
      <c r="F1993" t="s">
        <v>2290</v>
      </c>
      <c r="G1993" s="1">
        <v>42480</v>
      </c>
      <c r="H1993" s="1">
        <v>44210</v>
      </c>
      <c r="I1993" t="s">
        <v>189</v>
      </c>
      <c r="K1993" t="s">
        <v>4435</v>
      </c>
      <c r="L1993" t="s">
        <v>5554</v>
      </c>
    </row>
    <row r="1994" spans="1:40" x14ac:dyDescent="0.35">
      <c r="A1994">
        <v>6422909</v>
      </c>
      <c r="B1994" t="s">
        <v>5555</v>
      </c>
      <c r="C1994" t="str">
        <f>"9783319586489"</f>
        <v>9783319586489</v>
      </c>
      <c r="D1994" t="str">
        <f>"9783319586502"</f>
        <v>9783319586502</v>
      </c>
      <c r="E1994" t="s">
        <v>2289</v>
      </c>
      <c r="F1994" t="s">
        <v>2290</v>
      </c>
      <c r="G1994" s="1">
        <v>43025</v>
      </c>
      <c r="H1994" s="1">
        <v>44210</v>
      </c>
      <c r="I1994" t="s">
        <v>189</v>
      </c>
      <c r="K1994" t="s">
        <v>5556</v>
      </c>
      <c r="L1994" t="s">
        <v>5557</v>
      </c>
    </row>
    <row r="1995" spans="1:40" x14ac:dyDescent="0.35">
      <c r="A1995">
        <v>6422910</v>
      </c>
      <c r="B1995" t="s">
        <v>5558</v>
      </c>
      <c r="C1995" t="str">
        <f>"9783319296692"</f>
        <v>9783319296692</v>
      </c>
      <c r="D1995" t="str">
        <f>"9783319296715"</f>
        <v>9783319296715</v>
      </c>
      <c r="E1995" t="s">
        <v>2289</v>
      </c>
      <c r="F1995" t="s">
        <v>2290</v>
      </c>
      <c r="G1995" s="1">
        <v>42513</v>
      </c>
      <c r="H1995" s="1">
        <v>44210</v>
      </c>
      <c r="I1995" t="s">
        <v>189</v>
      </c>
      <c r="L1995" t="s">
        <v>5559</v>
      </c>
    </row>
    <row r="1996" spans="1:40" x14ac:dyDescent="0.35">
      <c r="A1996">
        <v>6422911</v>
      </c>
      <c r="B1996" t="s">
        <v>5560</v>
      </c>
      <c r="C1996" t="str">
        <f>"9783319692982"</f>
        <v>9783319692982</v>
      </c>
      <c r="D1996" t="str">
        <f>"9783319692999"</f>
        <v>9783319692999</v>
      </c>
      <c r="E1996" t="s">
        <v>2289</v>
      </c>
      <c r="F1996" t="s">
        <v>2663</v>
      </c>
      <c r="G1996" s="1">
        <v>43124</v>
      </c>
      <c r="H1996" s="1">
        <v>44210</v>
      </c>
      <c r="I1996" t="s">
        <v>189</v>
      </c>
      <c r="L1996" t="s">
        <v>5561</v>
      </c>
      <c r="M1996" t="s">
        <v>282</v>
      </c>
    </row>
    <row r="1997" spans="1:40" x14ac:dyDescent="0.35">
      <c r="A1997">
        <v>6422918</v>
      </c>
      <c r="B1997" t="s">
        <v>5562</v>
      </c>
      <c r="C1997" t="str">
        <f>"9789027207739"</f>
        <v>9789027207739</v>
      </c>
      <c r="D1997" t="str">
        <f>"9789027260598"</f>
        <v>9789027260598</v>
      </c>
      <c r="E1997" t="s">
        <v>1372</v>
      </c>
      <c r="F1997" t="s">
        <v>1372</v>
      </c>
      <c r="G1997" s="1">
        <v>44175</v>
      </c>
      <c r="H1997" s="1">
        <v>44196</v>
      </c>
      <c r="I1997" t="s">
        <v>189</v>
      </c>
      <c r="J1997">
        <v>1</v>
      </c>
      <c r="K1997" t="s">
        <v>1373</v>
      </c>
      <c r="L1997" t="s">
        <v>5563</v>
      </c>
    </row>
    <row r="1998" spans="1:40" x14ac:dyDescent="0.35">
      <c r="A1998">
        <v>6423981</v>
      </c>
      <c r="B1998" t="s">
        <v>5564</v>
      </c>
      <c r="C1998" t="str">
        <f>"9783030478513"</f>
        <v>9783030478513</v>
      </c>
      <c r="D1998" t="str">
        <f>"9783030478520"</f>
        <v>9783030478520</v>
      </c>
      <c r="E1998" t="s">
        <v>2289</v>
      </c>
      <c r="F1998" t="s">
        <v>2290</v>
      </c>
      <c r="G1998" s="1">
        <v>44177</v>
      </c>
      <c r="H1998" s="1">
        <v>44210</v>
      </c>
      <c r="I1998" t="s">
        <v>189</v>
      </c>
      <c r="L1998" t="s">
        <v>5565</v>
      </c>
    </row>
    <row r="1999" spans="1:40" x14ac:dyDescent="0.35">
      <c r="A1999">
        <v>6424372</v>
      </c>
      <c r="B1999" t="s">
        <v>5566</v>
      </c>
      <c r="C1999" t="str">
        <f>""</f>
        <v/>
      </c>
      <c r="D1999" t="str">
        <f>"9789048551064"</f>
        <v>9789048551064</v>
      </c>
      <c r="E1999" t="s">
        <v>361</v>
      </c>
      <c r="F1999" t="s">
        <v>361</v>
      </c>
      <c r="G1999" s="1">
        <v>44188</v>
      </c>
      <c r="H1999" s="1">
        <v>44178</v>
      </c>
      <c r="I1999" t="s">
        <v>189</v>
      </c>
      <c r="J1999">
        <v>1</v>
      </c>
      <c r="K1999" t="s">
        <v>5567</v>
      </c>
      <c r="L1999" t="s">
        <v>5568</v>
      </c>
    </row>
    <row r="2000" spans="1:40" x14ac:dyDescent="0.35">
      <c r="A2000">
        <v>6425455</v>
      </c>
      <c r="B2000" t="s">
        <v>5569</v>
      </c>
      <c r="C2000" t="str">
        <f>"9783030536138"</f>
        <v>9783030536138</v>
      </c>
      <c r="D2000" t="str">
        <f>"9783030536145"</f>
        <v>9783030536145</v>
      </c>
      <c r="E2000" t="s">
        <v>2289</v>
      </c>
      <c r="F2000" t="s">
        <v>2663</v>
      </c>
      <c r="G2000" s="1">
        <v>44181</v>
      </c>
      <c r="H2000" s="1">
        <v>44210</v>
      </c>
      <c r="I2000" t="s">
        <v>189</v>
      </c>
      <c r="K2000" t="s">
        <v>5570</v>
      </c>
      <c r="L2000" t="s">
        <v>5571</v>
      </c>
    </row>
    <row r="2001" spans="1:40" x14ac:dyDescent="0.35">
      <c r="A2001">
        <v>6425456</v>
      </c>
      <c r="B2001" t="s">
        <v>5572</v>
      </c>
      <c r="C2001" t="str">
        <f>"9783030549589"</f>
        <v>9783030549589</v>
      </c>
      <c r="D2001" t="str">
        <f>"9783030549596"</f>
        <v>9783030549596</v>
      </c>
      <c r="E2001" t="s">
        <v>2289</v>
      </c>
      <c r="F2001" t="s">
        <v>2663</v>
      </c>
      <c r="G2001" s="1">
        <v>44180</v>
      </c>
      <c r="H2001" s="1">
        <v>44210</v>
      </c>
      <c r="I2001" t="s">
        <v>189</v>
      </c>
      <c r="K2001" t="s">
        <v>5573</v>
      </c>
      <c r="L2001" t="s">
        <v>5574</v>
      </c>
      <c r="M2001" t="s">
        <v>329</v>
      </c>
      <c r="N2001" t="s">
        <v>4064</v>
      </c>
      <c r="O2001" t="s">
        <v>5575</v>
      </c>
      <c r="Q2001" t="s">
        <v>260</v>
      </c>
      <c r="R2001" t="s">
        <v>261</v>
      </c>
      <c r="S2001" t="s">
        <v>261</v>
      </c>
      <c r="T2001" t="s">
        <v>261</v>
      </c>
      <c r="U2001" t="s">
        <v>262</v>
      </c>
      <c r="V2001" t="s">
        <v>262</v>
      </c>
      <c r="W2001" t="s">
        <v>261</v>
      </c>
      <c r="X2001" t="s">
        <v>261</v>
      </c>
      <c r="Y2001" t="s">
        <v>261</v>
      </c>
      <c r="Z2001" t="s">
        <v>409</v>
      </c>
      <c r="AA2001" t="s">
        <v>409</v>
      </c>
      <c r="AB2001" t="s">
        <v>409</v>
      </c>
      <c r="AC2001" t="s">
        <v>409</v>
      </c>
      <c r="AD2001" t="s">
        <v>261</v>
      </c>
      <c r="AH2001" t="s">
        <v>262</v>
      </c>
      <c r="AI2001" t="s">
        <v>262</v>
      </c>
      <c r="AJ2001" t="s">
        <v>261</v>
      </c>
      <c r="AK2001" t="s">
        <v>261</v>
      </c>
      <c r="AM2001" t="s">
        <v>262</v>
      </c>
      <c r="AN2001" t="s">
        <v>5576</v>
      </c>
    </row>
    <row r="2002" spans="1:40" x14ac:dyDescent="0.35">
      <c r="A2002">
        <v>6425457</v>
      </c>
      <c r="B2002" t="s">
        <v>5577</v>
      </c>
      <c r="C2002" t="str">
        <f>"9783030603953"</f>
        <v>9783030603953</v>
      </c>
      <c r="D2002" t="str">
        <f>"9783030603960"</f>
        <v>9783030603960</v>
      </c>
      <c r="E2002" t="s">
        <v>2289</v>
      </c>
      <c r="F2002" t="s">
        <v>2290</v>
      </c>
      <c r="G2002" s="1">
        <v>44180</v>
      </c>
      <c r="H2002" s="1">
        <v>44210</v>
      </c>
      <c r="I2002" t="s">
        <v>189</v>
      </c>
      <c r="K2002" t="s">
        <v>5578</v>
      </c>
      <c r="L2002" t="s">
        <v>5579</v>
      </c>
    </row>
    <row r="2003" spans="1:40" x14ac:dyDescent="0.35">
      <c r="A2003">
        <v>6425458</v>
      </c>
      <c r="B2003" t="s">
        <v>5580</v>
      </c>
      <c r="C2003" t="str">
        <f>"9783030640217"</f>
        <v>9783030640217</v>
      </c>
      <c r="D2003" t="str">
        <f>"9783030640224"</f>
        <v>9783030640224</v>
      </c>
      <c r="E2003" t="s">
        <v>2289</v>
      </c>
      <c r="F2003" t="s">
        <v>2290</v>
      </c>
      <c r="G2003" s="1">
        <v>44181</v>
      </c>
      <c r="H2003" s="1">
        <v>44210</v>
      </c>
      <c r="I2003" t="s">
        <v>189</v>
      </c>
      <c r="K2003" t="s">
        <v>5581</v>
      </c>
      <c r="L2003" t="s">
        <v>5582</v>
      </c>
      <c r="M2003" t="s">
        <v>323</v>
      </c>
      <c r="N2003" t="s">
        <v>5583</v>
      </c>
      <c r="Q2003" t="s">
        <v>260</v>
      </c>
      <c r="R2003" t="s">
        <v>261</v>
      </c>
      <c r="S2003" t="s">
        <v>261</v>
      </c>
      <c r="T2003" t="s">
        <v>261</v>
      </c>
      <c r="U2003" t="s">
        <v>262</v>
      </c>
      <c r="V2003" t="s">
        <v>262</v>
      </c>
      <c r="W2003" t="s">
        <v>261</v>
      </c>
      <c r="X2003" t="s">
        <v>261</v>
      </c>
      <c r="Y2003" t="s">
        <v>261</v>
      </c>
      <c r="Z2003" t="s">
        <v>409</v>
      </c>
      <c r="AA2003" t="s">
        <v>409</v>
      </c>
      <c r="AB2003" t="s">
        <v>409</v>
      </c>
      <c r="AC2003" t="s">
        <v>409</v>
      </c>
      <c r="AD2003" t="s">
        <v>261</v>
      </c>
      <c r="AH2003" t="s">
        <v>262</v>
      </c>
      <c r="AI2003" t="s">
        <v>262</v>
      </c>
      <c r="AJ2003" t="s">
        <v>261</v>
      </c>
      <c r="AK2003" t="s">
        <v>261</v>
      </c>
      <c r="AM2003" t="s">
        <v>262</v>
      </c>
      <c r="AN2003" t="s">
        <v>5584</v>
      </c>
    </row>
    <row r="2004" spans="1:40" x14ac:dyDescent="0.35">
      <c r="A2004">
        <v>6425459</v>
      </c>
      <c r="B2004" t="s">
        <v>5585</v>
      </c>
      <c r="C2004" t="str">
        <f>"9783030482985"</f>
        <v>9783030482985</v>
      </c>
      <c r="D2004" t="str">
        <f>"9783030482992"</f>
        <v>9783030482992</v>
      </c>
      <c r="E2004" t="s">
        <v>2289</v>
      </c>
      <c r="F2004" t="s">
        <v>2290</v>
      </c>
      <c r="G2004" s="1">
        <v>44180</v>
      </c>
      <c r="H2004" s="1">
        <v>44210</v>
      </c>
      <c r="I2004" t="s">
        <v>189</v>
      </c>
      <c r="K2004" t="s">
        <v>5586</v>
      </c>
      <c r="L2004" t="s">
        <v>5587</v>
      </c>
    </row>
    <row r="2005" spans="1:40" x14ac:dyDescent="0.35">
      <c r="A2005">
        <v>6425460</v>
      </c>
      <c r="B2005" t="s">
        <v>5588</v>
      </c>
      <c r="C2005" t="str">
        <f>"9783030591960"</f>
        <v>9783030591960</v>
      </c>
      <c r="D2005" t="str">
        <f>"9783030591977"</f>
        <v>9783030591977</v>
      </c>
      <c r="E2005" t="s">
        <v>2289</v>
      </c>
      <c r="F2005" t="s">
        <v>2290</v>
      </c>
      <c r="G2005" s="1">
        <v>44180</v>
      </c>
      <c r="H2005" s="1">
        <v>44210</v>
      </c>
      <c r="I2005" t="s">
        <v>189</v>
      </c>
      <c r="L2005" t="s">
        <v>5589</v>
      </c>
    </row>
    <row r="2006" spans="1:40" x14ac:dyDescent="0.35">
      <c r="A2006">
        <v>6425461</v>
      </c>
      <c r="B2006" t="s">
        <v>5590</v>
      </c>
      <c r="C2006" t="str">
        <f>"9783030621353"</f>
        <v>9783030621353</v>
      </c>
      <c r="D2006" t="str">
        <f>"9783030621360"</f>
        <v>9783030621360</v>
      </c>
      <c r="E2006" t="s">
        <v>2289</v>
      </c>
      <c r="F2006" t="s">
        <v>2290</v>
      </c>
      <c r="G2006" s="1">
        <v>44180</v>
      </c>
      <c r="H2006" s="1">
        <v>44210</v>
      </c>
      <c r="I2006" t="s">
        <v>189</v>
      </c>
      <c r="L2006" t="s">
        <v>5591</v>
      </c>
    </row>
    <row r="2007" spans="1:40" x14ac:dyDescent="0.35">
      <c r="A2007">
        <v>6425462</v>
      </c>
      <c r="B2007" t="s">
        <v>5592</v>
      </c>
      <c r="C2007" t="str">
        <f>"9783658319939"</f>
        <v>9783658319939</v>
      </c>
      <c r="D2007" t="str">
        <f>"9783658319946"</f>
        <v>9783658319946</v>
      </c>
      <c r="E2007" t="s">
        <v>3972</v>
      </c>
      <c r="F2007" t="s">
        <v>3998</v>
      </c>
      <c r="G2007" s="1">
        <v>44181</v>
      </c>
      <c r="H2007" s="1">
        <v>44210</v>
      </c>
      <c r="I2007" t="s">
        <v>189</v>
      </c>
      <c r="L2007" t="s">
        <v>5593</v>
      </c>
    </row>
    <row r="2008" spans="1:40" x14ac:dyDescent="0.35">
      <c r="A2008">
        <v>6425463</v>
      </c>
      <c r="B2008" t="s">
        <v>5594</v>
      </c>
      <c r="C2008" t="str">
        <f>"9783030631420"</f>
        <v>9783030631420</v>
      </c>
      <c r="D2008" t="str">
        <f>"9783030631437"</f>
        <v>9783030631437</v>
      </c>
      <c r="E2008" t="s">
        <v>2289</v>
      </c>
      <c r="F2008" t="s">
        <v>2663</v>
      </c>
      <c r="G2008" s="1">
        <v>44180</v>
      </c>
      <c r="H2008" s="1">
        <v>44210</v>
      </c>
      <c r="I2008" t="s">
        <v>189</v>
      </c>
      <c r="L2008" t="s">
        <v>5595</v>
      </c>
      <c r="M2008" t="s">
        <v>316</v>
      </c>
    </row>
    <row r="2009" spans="1:40" x14ac:dyDescent="0.35">
      <c r="A2009">
        <v>6425464</v>
      </c>
      <c r="B2009" t="s">
        <v>5596</v>
      </c>
      <c r="C2009" t="str">
        <f>"9783030428549"</f>
        <v>9783030428549</v>
      </c>
      <c r="D2009" t="str">
        <f>"9783030428556"</f>
        <v>9783030428556</v>
      </c>
      <c r="E2009" t="s">
        <v>2289</v>
      </c>
      <c r="F2009" t="s">
        <v>2663</v>
      </c>
      <c r="G2009" s="1">
        <v>44181</v>
      </c>
      <c r="H2009" s="1">
        <v>44210</v>
      </c>
      <c r="I2009" t="s">
        <v>189</v>
      </c>
      <c r="L2009" t="s">
        <v>5597</v>
      </c>
    </row>
    <row r="2010" spans="1:40" x14ac:dyDescent="0.35">
      <c r="A2010">
        <v>6425652</v>
      </c>
      <c r="B2010" t="s">
        <v>5598</v>
      </c>
      <c r="C2010" t="str">
        <f>"9783030546175"</f>
        <v>9783030546175</v>
      </c>
      <c r="D2010" t="str">
        <f>"9783030546182"</f>
        <v>9783030546182</v>
      </c>
      <c r="E2010" t="s">
        <v>2289</v>
      </c>
      <c r="F2010" t="s">
        <v>2663</v>
      </c>
      <c r="G2010" s="1">
        <v>44180</v>
      </c>
      <c r="H2010" s="1">
        <v>44210</v>
      </c>
      <c r="I2010" t="s">
        <v>189</v>
      </c>
      <c r="L2010" t="s">
        <v>5599</v>
      </c>
    </row>
    <row r="2011" spans="1:40" x14ac:dyDescent="0.35">
      <c r="A2011">
        <v>6425716</v>
      </c>
      <c r="B2011" t="s">
        <v>5600</v>
      </c>
      <c r="C2011" t="str">
        <f>"9781783748341"</f>
        <v>9781783748341</v>
      </c>
      <c r="D2011" t="str">
        <f>"9781783748358"</f>
        <v>9781783748358</v>
      </c>
      <c r="E2011" t="s">
        <v>1807</v>
      </c>
      <c r="F2011" t="s">
        <v>1807</v>
      </c>
      <c r="G2011" s="1">
        <v>44116</v>
      </c>
      <c r="H2011" s="1">
        <v>44181</v>
      </c>
      <c r="I2011" t="s">
        <v>189</v>
      </c>
      <c r="J2011">
        <v>1</v>
      </c>
      <c r="K2011" t="s">
        <v>3204</v>
      </c>
      <c r="L2011" t="s">
        <v>2125</v>
      </c>
    </row>
    <row r="2012" spans="1:40" x14ac:dyDescent="0.35">
      <c r="A2012">
        <v>6425717</v>
      </c>
      <c r="B2012" t="s">
        <v>5601</v>
      </c>
      <c r="C2012" t="str">
        <f>"9781800640849"</f>
        <v>9781800640849</v>
      </c>
      <c r="D2012" t="str">
        <f>"9781800640856"</f>
        <v>9781800640856</v>
      </c>
      <c r="E2012" t="s">
        <v>1807</v>
      </c>
      <c r="F2012" t="s">
        <v>1807</v>
      </c>
      <c r="G2012" s="1">
        <v>44165</v>
      </c>
      <c r="H2012" s="1">
        <v>44181</v>
      </c>
      <c r="I2012" t="s">
        <v>189</v>
      </c>
      <c r="J2012">
        <v>1</v>
      </c>
      <c r="L2012" t="s">
        <v>5602</v>
      </c>
    </row>
    <row r="2013" spans="1:40" x14ac:dyDescent="0.35">
      <c r="A2013">
        <v>6425718</v>
      </c>
      <c r="B2013" t="s">
        <v>5603</v>
      </c>
      <c r="C2013" t="str">
        <f>"9781800640788"</f>
        <v>9781800640788</v>
      </c>
      <c r="D2013" t="str">
        <f>"9781800640795"</f>
        <v>9781800640795</v>
      </c>
      <c r="E2013" t="s">
        <v>1807</v>
      </c>
      <c r="F2013" t="s">
        <v>1807</v>
      </c>
      <c r="G2013" s="1">
        <v>44165</v>
      </c>
      <c r="H2013" s="1">
        <v>44181</v>
      </c>
      <c r="I2013" t="s">
        <v>189</v>
      </c>
      <c r="J2013">
        <v>1</v>
      </c>
      <c r="L2013" t="s">
        <v>3506</v>
      </c>
      <c r="M2013" t="s">
        <v>239</v>
      </c>
      <c r="Q2013" t="s">
        <v>260</v>
      </c>
      <c r="R2013" t="s">
        <v>261</v>
      </c>
      <c r="S2013" t="s">
        <v>261</v>
      </c>
      <c r="T2013" t="s">
        <v>261</v>
      </c>
      <c r="U2013" t="s">
        <v>261</v>
      </c>
      <c r="V2013" t="s">
        <v>262</v>
      </c>
      <c r="W2013" t="s">
        <v>261</v>
      </c>
      <c r="X2013" t="s">
        <v>261</v>
      </c>
      <c r="Y2013" t="s">
        <v>261</v>
      </c>
      <c r="Z2013" t="s">
        <v>409</v>
      </c>
      <c r="AA2013" t="s">
        <v>409</v>
      </c>
      <c r="AB2013" t="s">
        <v>409</v>
      </c>
      <c r="AC2013" t="s">
        <v>409</v>
      </c>
      <c r="AD2013" t="s">
        <v>262</v>
      </c>
      <c r="AH2013" t="s">
        <v>262</v>
      </c>
      <c r="AI2013" t="s">
        <v>262</v>
      </c>
      <c r="AJ2013" t="s">
        <v>261</v>
      </c>
      <c r="AK2013" t="s">
        <v>261</v>
      </c>
      <c r="AM2013" t="s">
        <v>262</v>
      </c>
      <c r="AN2013" t="s">
        <v>5604</v>
      </c>
    </row>
    <row r="2014" spans="1:40" x14ac:dyDescent="0.35">
      <c r="A2014">
        <v>6425719</v>
      </c>
      <c r="B2014" t="s">
        <v>5605</v>
      </c>
      <c r="C2014" t="str">
        <f>"9781783749607"</f>
        <v>9781783749607</v>
      </c>
      <c r="D2014" t="str">
        <f>"9781800641259"</f>
        <v>9781800641259</v>
      </c>
      <c r="E2014" t="s">
        <v>1807</v>
      </c>
      <c r="F2014" t="s">
        <v>1807</v>
      </c>
      <c r="G2014" s="1">
        <v>44127</v>
      </c>
      <c r="H2014" s="1">
        <v>44181</v>
      </c>
      <c r="I2014" t="s">
        <v>189</v>
      </c>
      <c r="J2014">
        <v>1</v>
      </c>
      <c r="K2014" t="s">
        <v>5606</v>
      </c>
      <c r="L2014" t="s">
        <v>5607</v>
      </c>
    </row>
    <row r="2015" spans="1:40" x14ac:dyDescent="0.35">
      <c r="A2015">
        <v>6425957</v>
      </c>
      <c r="B2015" t="s">
        <v>5608</v>
      </c>
      <c r="C2015" t="str">
        <f>"9783662628119"</f>
        <v>9783662628119</v>
      </c>
      <c r="D2015" t="str">
        <f>"9783662628126"</f>
        <v>9783662628126</v>
      </c>
      <c r="E2015" t="s">
        <v>5118</v>
      </c>
      <c r="F2015" t="s">
        <v>5118</v>
      </c>
      <c r="G2015" s="1">
        <v>44182</v>
      </c>
      <c r="H2015" s="1">
        <v>44210</v>
      </c>
      <c r="I2015" t="s">
        <v>189</v>
      </c>
      <c r="L2015" t="s">
        <v>5609</v>
      </c>
      <c r="M2015" t="s">
        <v>676</v>
      </c>
      <c r="N2015" t="s">
        <v>5610</v>
      </c>
      <c r="Q2015" t="s">
        <v>408</v>
      </c>
      <c r="R2015" t="s">
        <v>261</v>
      </c>
      <c r="S2015" t="s">
        <v>261</v>
      </c>
      <c r="T2015" t="s">
        <v>261</v>
      </c>
      <c r="U2015" t="s">
        <v>262</v>
      </c>
      <c r="V2015" t="s">
        <v>262</v>
      </c>
      <c r="W2015" t="s">
        <v>261</v>
      </c>
      <c r="X2015" t="s">
        <v>261</v>
      </c>
      <c r="Y2015" t="s">
        <v>261</v>
      </c>
      <c r="Z2015" t="s">
        <v>409</v>
      </c>
      <c r="AA2015" t="s">
        <v>409</v>
      </c>
      <c r="AB2015" t="s">
        <v>409</v>
      </c>
      <c r="AC2015" t="s">
        <v>409</v>
      </c>
      <c r="AD2015" t="s">
        <v>261</v>
      </c>
      <c r="AH2015" t="s">
        <v>262</v>
      </c>
      <c r="AI2015" t="s">
        <v>262</v>
      </c>
      <c r="AJ2015" t="s">
        <v>261</v>
      </c>
      <c r="AK2015" t="s">
        <v>261</v>
      </c>
      <c r="AM2015" t="s">
        <v>262</v>
      </c>
      <c r="AN2015" t="s">
        <v>5611</v>
      </c>
    </row>
    <row r="2016" spans="1:40" x14ac:dyDescent="0.35">
      <c r="A2016">
        <v>6426640</v>
      </c>
      <c r="B2016" t="s">
        <v>5612</v>
      </c>
      <c r="C2016" t="str">
        <f>"9789811598326"</f>
        <v>9789811598326</v>
      </c>
      <c r="D2016" t="str">
        <f>"9789811598333"</f>
        <v>9789811598333</v>
      </c>
      <c r="E2016" t="s">
        <v>2290</v>
      </c>
      <c r="F2016" t="s">
        <v>2290</v>
      </c>
      <c r="G2016" s="1">
        <v>44183</v>
      </c>
      <c r="H2016" s="1">
        <v>44210</v>
      </c>
      <c r="I2016" t="s">
        <v>189</v>
      </c>
      <c r="K2016" t="s">
        <v>5613</v>
      </c>
      <c r="L2016" t="s">
        <v>5614</v>
      </c>
    </row>
    <row r="2017" spans="1:40" x14ac:dyDescent="0.35">
      <c r="A2017">
        <v>6427619</v>
      </c>
      <c r="B2017" t="s">
        <v>5615</v>
      </c>
      <c r="C2017" t="str">
        <f>""</f>
        <v/>
      </c>
      <c r="D2017" t="str">
        <f>"9789179297121"</f>
        <v>9789179297121</v>
      </c>
      <c r="E2017" t="s">
        <v>3642</v>
      </c>
      <c r="F2017" t="s">
        <v>3642</v>
      </c>
      <c r="G2017" s="1">
        <v>44181</v>
      </c>
      <c r="H2017" s="1">
        <v>44207</v>
      </c>
      <c r="I2017" t="s">
        <v>189</v>
      </c>
      <c r="J2017">
        <v>1</v>
      </c>
      <c r="L2017" t="s">
        <v>5616</v>
      </c>
      <c r="Q2017" t="s">
        <v>260</v>
      </c>
      <c r="R2017" t="s">
        <v>261</v>
      </c>
      <c r="S2017" t="s">
        <v>261</v>
      </c>
      <c r="T2017" t="s">
        <v>261</v>
      </c>
      <c r="U2017" t="s">
        <v>261</v>
      </c>
      <c r="V2017" t="s">
        <v>262</v>
      </c>
      <c r="W2017" t="s">
        <v>261</v>
      </c>
      <c r="X2017" t="s">
        <v>261</v>
      </c>
      <c r="Y2017" t="s">
        <v>261</v>
      </c>
      <c r="AD2017" t="s">
        <v>261</v>
      </c>
      <c r="AH2017" t="s">
        <v>262</v>
      </c>
      <c r="AI2017" t="s">
        <v>261</v>
      </c>
      <c r="AJ2017" t="s">
        <v>261</v>
      </c>
      <c r="AK2017" t="s">
        <v>261</v>
      </c>
      <c r="AM2017" t="s">
        <v>262</v>
      </c>
      <c r="AN2017" t="s">
        <v>5617</v>
      </c>
    </row>
    <row r="2018" spans="1:40" x14ac:dyDescent="0.35">
      <c r="A2018">
        <v>6427620</v>
      </c>
      <c r="B2018" t="s">
        <v>5618</v>
      </c>
      <c r="C2018" t="str">
        <f>""</f>
        <v/>
      </c>
      <c r="D2018" t="str">
        <f>"9789179297442"</f>
        <v>9789179297442</v>
      </c>
      <c r="E2018" t="s">
        <v>3642</v>
      </c>
      <c r="F2018" t="s">
        <v>3642</v>
      </c>
      <c r="G2018" s="1">
        <v>44158</v>
      </c>
      <c r="H2018" s="1">
        <v>44186</v>
      </c>
      <c r="I2018" t="s">
        <v>189</v>
      </c>
      <c r="J2018">
        <v>1</v>
      </c>
      <c r="L2018" t="s">
        <v>5619</v>
      </c>
      <c r="Q2018" t="s">
        <v>260</v>
      </c>
      <c r="R2018" t="s">
        <v>261</v>
      </c>
      <c r="S2018" t="s">
        <v>261</v>
      </c>
      <c r="T2018" t="s">
        <v>261</v>
      </c>
      <c r="U2018" t="s">
        <v>261</v>
      </c>
      <c r="V2018" t="s">
        <v>262</v>
      </c>
      <c r="W2018" t="s">
        <v>261</v>
      </c>
      <c r="X2018" t="s">
        <v>261</v>
      </c>
      <c r="Y2018" t="s">
        <v>261</v>
      </c>
      <c r="AD2018" t="s">
        <v>261</v>
      </c>
      <c r="AH2018" t="s">
        <v>262</v>
      </c>
      <c r="AI2018" t="s">
        <v>261</v>
      </c>
      <c r="AJ2018" t="s">
        <v>261</v>
      </c>
      <c r="AK2018" t="s">
        <v>261</v>
      </c>
      <c r="AM2018" t="s">
        <v>262</v>
      </c>
      <c r="AN2018" t="s">
        <v>5620</v>
      </c>
    </row>
    <row r="2019" spans="1:40" x14ac:dyDescent="0.35">
      <c r="A2019">
        <v>6427621</v>
      </c>
      <c r="B2019" t="s">
        <v>5621</v>
      </c>
      <c r="C2019" t="str">
        <f>""</f>
        <v/>
      </c>
      <c r="D2019" t="str">
        <f>"9789179297367"</f>
        <v>9789179297367</v>
      </c>
      <c r="E2019" t="s">
        <v>3642</v>
      </c>
      <c r="F2019" t="s">
        <v>3642</v>
      </c>
      <c r="G2019" s="1">
        <v>44179</v>
      </c>
      <c r="H2019" s="1">
        <v>44186</v>
      </c>
      <c r="I2019" t="s">
        <v>189</v>
      </c>
      <c r="J2019">
        <v>1</v>
      </c>
      <c r="L2019" t="s">
        <v>5622</v>
      </c>
      <c r="Q2019" t="s">
        <v>260</v>
      </c>
      <c r="R2019" t="s">
        <v>261</v>
      </c>
      <c r="S2019" t="s">
        <v>261</v>
      </c>
      <c r="T2019" t="s">
        <v>261</v>
      </c>
      <c r="U2019" t="s">
        <v>261</v>
      </c>
      <c r="V2019" t="s">
        <v>262</v>
      </c>
      <c r="W2019" t="s">
        <v>261</v>
      </c>
      <c r="X2019" t="s">
        <v>261</v>
      </c>
      <c r="Y2019" t="s">
        <v>261</v>
      </c>
      <c r="AD2019" t="s">
        <v>261</v>
      </c>
      <c r="AH2019" t="s">
        <v>262</v>
      </c>
      <c r="AI2019" t="s">
        <v>261</v>
      </c>
      <c r="AJ2019" t="s">
        <v>261</v>
      </c>
      <c r="AK2019" t="s">
        <v>261</v>
      </c>
      <c r="AM2019" t="s">
        <v>262</v>
      </c>
      <c r="AN2019" t="s">
        <v>5623</v>
      </c>
    </row>
    <row r="2020" spans="1:40" x14ac:dyDescent="0.35">
      <c r="A2020">
        <v>6427622</v>
      </c>
      <c r="B2020" t="s">
        <v>5624</v>
      </c>
      <c r="C2020" t="str">
        <f>""</f>
        <v/>
      </c>
      <c r="D2020" t="str">
        <f>"9789179297282"</f>
        <v>9789179297282</v>
      </c>
      <c r="E2020" t="s">
        <v>3642</v>
      </c>
      <c r="F2020" t="s">
        <v>3642</v>
      </c>
      <c r="G2020" s="1">
        <v>44181</v>
      </c>
      <c r="H2020" s="1">
        <v>44186</v>
      </c>
      <c r="I2020" t="s">
        <v>189</v>
      </c>
      <c r="J2020">
        <v>1</v>
      </c>
      <c r="L2020" t="s">
        <v>5625</v>
      </c>
      <c r="Q2020" t="s">
        <v>260</v>
      </c>
      <c r="R2020" t="s">
        <v>261</v>
      </c>
      <c r="S2020" t="s">
        <v>261</v>
      </c>
      <c r="T2020" t="s">
        <v>261</v>
      </c>
      <c r="U2020" t="s">
        <v>261</v>
      </c>
      <c r="V2020" t="s">
        <v>262</v>
      </c>
      <c r="W2020" t="s">
        <v>261</v>
      </c>
      <c r="X2020" t="s">
        <v>261</v>
      </c>
      <c r="Y2020" t="s">
        <v>261</v>
      </c>
      <c r="AD2020" t="s">
        <v>261</v>
      </c>
      <c r="AH2020" t="s">
        <v>262</v>
      </c>
      <c r="AI2020" t="s">
        <v>261</v>
      </c>
      <c r="AJ2020" t="s">
        <v>261</v>
      </c>
      <c r="AK2020" t="s">
        <v>261</v>
      </c>
      <c r="AM2020" t="s">
        <v>262</v>
      </c>
      <c r="AN2020" t="s">
        <v>5626</v>
      </c>
    </row>
    <row r="2021" spans="1:40" x14ac:dyDescent="0.35">
      <c r="A2021">
        <v>6427623</v>
      </c>
      <c r="B2021" t="s">
        <v>5627</v>
      </c>
      <c r="C2021" t="str">
        <f>""</f>
        <v/>
      </c>
      <c r="D2021" t="str">
        <f>"9789179297428"</f>
        <v>9789179297428</v>
      </c>
      <c r="E2021" t="s">
        <v>3642</v>
      </c>
      <c r="F2021" t="s">
        <v>3642</v>
      </c>
      <c r="G2021" s="1">
        <v>44180</v>
      </c>
      <c r="H2021" s="1">
        <v>44186</v>
      </c>
      <c r="I2021" t="s">
        <v>189</v>
      </c>
      <c r="J2021">
        <v>1</v>
      </c>
      <c r="L2021" t="s">
        <v>5628</v>
      </c>
      <c r="Q2021" t="s">
        <v>260</v>
      </c>
      <c r="R2021" t="s">
        <v>261</v>
      </c>
      <c r="S2021" t="s">
        <v>261</v>
      </c>
      <c r="T2021" t="s">
        <v>261</v>
      </c>
      <c r="U2021" t="s">
        <v>261</v>
      </c>
      <c r="V2021" t="s">
        <v>262</v>
      </c>
      <c r="W2021" t="s">
        <v>261</v>
      </c>
      <c r="X2021" t="s">
        <v>261</v>
      </c>
      <c r="Y2021" t="s">
        <v>261</v>
      </c>
      <c r="AD2021" t="s">
        <v>261</v>
      </c>
      <c r="AH2021" t="s">
        <v>262</v>
      </c>
      <c r="AI2021" t="s">
        <v>261</v>
      </c>
      <c r="AJ2021" t="s">
        <v>261</v>
      </c>
      <c r="AK2021" t="s">
        <v>261</v>
      </c>
      <c r="AM2021" t="s">
        <v>262</v>
      </c>
      <c r="AN2021" t="s">
        <v>5629</v>
      </c>
    </row>
    <row r="2022" spans="1:40" x14ac:dyDescent="0.35">
      <c r="A2022">
        <v>6427624</v>
      </c>
      <c r="B2022" t="s">
        <v>5630</v>
      </c>
      <c r="C2022" t="str">
        <f>""</f>
        <v/>
      </c>
      <c r="D2022" t="str">
        <f>"9789179298012"</f>
        <v>9789179298012</v>
      </c>
      <c r="E2022" t="s">
        <v>3642</v>
      </c>
      <c r="F2022" t="s">
        <v>3642</v>
      </c>
      <c r="G2022" s="1">
        <v>44176</v>
      </c>
      <c r="H2022" s="1">
        <v>44186</v>
      </c>
      <c r="I2022" t="s">
        <v>189</v>
      </c>
      <c r="J2022">
        <v>1</v>
      </c>
      <c r="L2022" t="s">
        <v>5631</v>
      </c>
      <c r="Q2022" t="s">
        <v>260</v>
      </c>
      <c r="R2022" t="s">
        <v>261</v>
      </c>
      <c r="S2022" t="s">
        <v>261</v>
      </c>
      <c r="T2022" t="s">
        <v>261</v>
      </c>
      <c r="U2022" t="s">
        <v>261</v>
      </c>
      <c r="V2022" t="s">
        <v>262</v>
      </c>
      <c r="W2022" t="s">
        <v>261</v>
      </c>
      <c r="X2022" t="s">
        <v>261</v>
      </c>
      <c r="Y2022" t="s">
        <v>261</v>
      </c>
      <c r="AD2022" t="s">
        <v>261</v>
      </c>
      <c r="AH2022" t="s">
        <v>262</v>
      </c>
      <c r="AI2022" t="s">
        <v>261</v>
      </c>
      <c r="AJ2022" t="s">
        <v>261</v>
      </c>
      <c r="AK2022" t="s">
        <v>261</v>
      </c>
      <c r="AM2022" t="s">
        <v>262</v>
      </c>
      <c r="AN2022" t="s">
        <v>5632</v>
      </c>
    </row>
    <row r="2023" spans="1:40" x14ac:dyDescent="0.35">
      <c r="A2023">
        <v>6427625</v>
      </c>
      <c r="B2023" t="s">
        <v>5633</v>
      </c>
      <c r="C2023" t="str">
        <f>""</f>
        <v/>
      </c>
      <c r="D2023" t="str">
        <f>"9789179297169"</f>
        <v>9789179297169</v>
      </c>
      <c r="E2023" t="s">
        <v>3642</v>
      </c>
      <c r="F2023" t="s">
        <v>3642</v>
      </c>
      <c r="G2023" s="1">
        <v>44182</v>
      </c>
      <c r="H2023" s="1">
        <v>44214</v>
      </c>
      <c r="I2023" t="s">
        <v>189</v>
      </c>
      <c r="J2023">
        <v>1</v>
      </c>
      <c r="L2023" t="s">
        <v>5634</v>
      </c>
      <c r="Q2023" t="s">
        <v>260</v>
      </c>
      <c r="R2023" t="s">
        <v>261</v>
      </c>
      <c r="S2023" t="s">
        <v>261</v>
      </c>
      <c r="T2023" t="s">
        <v>261</v>
      </c>
      <c r="U2023" t="s">
        <v>261</v>
      </c>
      <c r="V2023" t="s">
        <v>262</v>
      </c>
      <c r="W2023" t="s">
        <v>261</v>
      </c>
      <c r="X2023" t="s">
        <v>261</v>
      </c>
      <c r="Y2023" t="s">
        <v>261</v>
      </c>
      <c r="AD2023" t="s">
        <v>261</v>
      </c>
      <c r="AH2023" t="s">
        <v>262</v>
      </c>
      <c r="AI2023" t="s">
        <v>261</v>
      </c>
      <c r="AJ2023" t="s">
        <v>261</v>
      </c>
      <c r="AK2023" t="s">
        <v>261</v>
      </c>
      <c r="AM2023" t="s">
        <v>262</v>
      </c>
      <c r="AN2023" t="s">
        <v>5635</v>
      </c>
    </row>
    <row r="2024" spans="1:40" x14ac:dyDescent="0.35">
      <c r="A2024">
        <v>6436125</v>
      </c>
      <c r="B2024" t="s">
        <v>5636</v>
      </c>
      <c r="C2024" t="str">
        <f>"9783662627457"</f>
        <v>9783662627457</v>
      </c>
      <c r="D2024" t="str">
        <f>"9783662627464"</f>
        <v>9783662627464</v>
      </c>
      <c r="E2024" t="s">
        <v>4047</v>
      </c>
      <c r="F2024" t="s">
        <v>4084</v>
      </c>
      <c r="G2024" s="1">
        <v>44189</v>
      </c>
      <c r="H2024" s="1">
        <v>44210</v>
      </c>
      <c r="I2024" t="s">
        <v>189</v>
      </c>
      <c r="K2024" t="s">
        <v>5285</v>
      </c>
      <c r="L2024" t="s">
        <v>5637</v>
      </c>
    </row>
    <row r="2025" spans="1:40" x14ac:dyDescent="0.35">
      <c r="A2025">
        <v>6437858</v>
      </c>
      <c r="B2025" t="s">
        <v>5638</v>
      </c>
      <c r="C2025" t="str">
        <f>"9783662622308"</f>
        <v>9783662622308</v>
      </c>
      <c r="D2025" t="str">
        <f>"9783662622315"</f>
        <v>9783662622315</v>
      </c>
      <c r="E2025" t="s">
        <v>4047</v>
      </c>
      <c r="F2025" t="s">
        <v>4084</v>
      </c>
      <c r="G2025" s="1">
        <v>44190</v>
      </c>
      <c r="H2025" s="1">
        <v>44210</v>
      </c>
      <c r="I2025" t="s">
        <v>189</v>
      </c>
      <c r="L2025" t="s">
        <v>80</v>
      </c>
    </row>
    <row r="2026" spans="1:40" x14ac:dyDescent="0.35">
      <c r="A2026">
        <v>6437859</v>
      </c>
      <c r="B2026" t="s">
        <v>5639</v>
      </c>
      <c r="C2026" t="str">
        <f>"9783658324445"</f>
        <v>9783658324445</v>
      </c>
      <c r="D2026" t="str">
        <f>"9783658324452"</f>
        <v>9783658324452</v>
      </c>
      <c r="E2026" t="s">
        <v>3972</v>
      </c>
      <c r="F2026" t="s">
        <v>3998</v>
      </c>
      <c r="G2026" s="1">
        <v>44223</v>
      </c>
      <c r="H2026" s="1">
        <v>44210</v>
      </c>
      <c r="I2026" t="s">
        <v>189</v>
      </c>
      <c r="L2026" t="s">
        <v>5640</v>
      </c>
      <c r="M2026" t="s">
        <v>329</v>
      </c>
      <c r="N2026" t="s">
        <v>4064</v>
      </c>
      <c r="Q2026" t="s">
        <v>408</v>
      </c>
      <c r="R2026" t="s">
        <v>261</v>
      </c>
      <c r="S2026" t="s">
        <v>261</v>
      </c>
      <c r="T2026" t="s">
        <v>261</v>
      </c>
      <c r="U2026" t="s">
        <v>262</v>
      </c>
      <c r="V2026" t="s">
        <v>262</v>
      </c>
      <c r="W2026" t="s">
        <v>261</v>
      </c>
      <c r="X2026" t="s">
        <v>261</v>
      </c>
      <c r="Y2026" t="s">
        <v>261</v>
      </c>
      <c r="Z2026" t="s">
        <v>409</v>
      </c>
      <c r="AA2026" t="s">
        <v>409</v>
      </c>
      <c r="AB2026" t="s">
        <v>409</v>
      </c>
      <c r="AC2026" t="s">
        <v>409</v>
      </c>
      <c r="AD2026" t="s">
        <v>261</v>
      </c>
      <c r="AH2026" t="s">
        <v>262</v>
      </c>
      <c r="AI2026" t="s">
        <v>262</v>
      </c>
      <c r="AJ2026" t="s">
        <v>261</v>
      </c>
      <c r="AK2026" t="s">
        <v>261</v>
      </c>
      <c r="AM2026" t="s">
        <v>262</v>
      </c>
      <c r="AN2026" t="s">
        <v>5641</v>
      </c>
    </row>
    <row r="2027" spans="1:40" x14ac:dyDescent="0.35">
      <c r="A2027">
        <v>6446328</v>
      </c>
      <c r="B2027" t="s">
        <v>5642</v>
      </c>
      <c r="C2027" t="str">
        <f>""</f>
        <v/>
      </c>
      <c r="D2027" t="str">
        <f>"9789179297435"</f>
        <v>9789179297435</v>
      </c>
      <c r="E2027" t="s">
        <v>3642</v>
      </c>
      <c r="F2027" t="s">
        <v>3642</v>
      </c>
      <c r="G2027" s="1">
        <v>44181</v>
      </c>
      <c r="H2027" s="1">
        <v>44193</v>
      </c>
      <c r="I2027" t="s">
        <v>189</v>
      </c>
      <c r="J2027">
        <v>1</v>
      </c>
      <c r="L2027" t="s">
        <v>5643</v>
      </c>
      <c r="Q2027" t="s">
        <v>260</v>
      </c>
      <c r="R2027" t="s">
        <v>261</v>
      </c>
      <c r="S2027" t="s">
        <v>261</v>
      </c>
      <c r="T2027" t="s">
        <v>261</v>
      </c>
      <c r="U2027" t="s">
        <v>261</v>
      </c>
      <c r="V2027" t="s">
        <v>262</v>
      </c>
      <c r="W2027" t="s">
        <v>261</v>
      </c>
      <c r="X2027" t="s">
        <v>261</v>
      </c>
      <c r="Y2027" t="s">
        <v>261</v>
      </c>
      <c r="AD2027" t="s">
        <v>261</v>
      </c>
      <c r="AH2027" t="s">
        <v>262</v>
      </c>
      <c r="AI2027" t="s">
        <v>261</v>
      </c>
      <c r="AJ2027" t="s">
        <v>261</v>
      </c>
      <c r="AK2027" t="s">
        <v>261</v>
      </c>
      <c r="AM2027" t="s">
        <v>262</v>
      </c>
      <c r="AN2027" t="s">
        <v>5644</v>
      </c>
    </row>
    <row r="2028" spans="1:40" x14ac:dyDescent="0.35">
      <c r="A2028">
        <v>6446329</v>
      </c>
      <c r="B2028" t="s">
        <v>5645</v>
      </c>
      <c r="C2028" t="str">
        <f>""</f>
        <v/>
      </c>
      <c r="D2028" t="str">
        <f>"9789179297114"</f>
        <v>9789179297114</v>
      </c>
      <c r="E2028" t="s">
        <v>3642</v>
      </c>
      <c r="F2028" t="s">
        <v>3642</v>
      </c>
      <c r="G2028" s="1">
        <v>44179</v>
      </c>
      <c r="H2028" s="1">
        <v>44193</v>
      </c>
      <c r="I2028" t="s">
        <v>189</v>
      </c>
      <c r="J2028">
        <v>1</v>
      </c>
      <c r="L2028" t="s">
        <v>5646</v>
      </c>
      <c r="Q2028" t="s">
        <v>260</v>
      </c>
      <c r="R2028" t="s">
        <v>261</v>
      </c>
      <c r="S2028" t="s">
        <v>261</v>
      </c>
      <c r="T2028" t="s">
        <v>261</v>
      </c>
      <c r="U2028" t="s">
        <v>261</v>
      </c>
      <c r="V2028" t="s">
        <v>262</v>
      </c>
      <c r="W2028" t="s">
        <v>261</v>
      </c>
      <c r="X2028" t="s">
        <v>261</v>
      </c>
      <c r="Y2028" t="s">
        <v>261</v>
      </c>
      <c r="AD2028" t="s">
        <v>261</v>
      </c>
      <c r="AH2028" t="s">
        <v>262</v>
      </c>
      <c r="AI2028" t="s">
        <v>261</v>
      </c>
      <c r="AJ2028" t="s">
        <v>261</v>
      </c>
      <c r="AK2028" t="s">
        <v>261</v>
      </c>
      <c r="AM2028" t="s">
        <v>262</v>
      </c>
      <c r="AN2028" t="s">
        <v>5647</v>
      </c>
    </row>
    <row r="2029" spans="1:40" x14ac:dyDescent="0.35">
      <c r="A2029">
        <v>6448939</v>
      </c>
      <c r="B2029" t="s">
        <v>5648</v>
      </c>
      <c r="C2029" t="str">
        <f>"9781478010401"</f>
        <v>9781478010401</v>
      </c>
      <c r="D2029" t="str">
        <f>"9781478012955"</f>
        <v>9781478012955</v>
      </c>
      <c r="E2029" t="s">
        <v>687</v>
      </c>
      <c r="F2029" t="s">
        <v>687</v>
      </c>
      <c r="G2029" s="1">
        <v>44232</v>
      </c>
      <c r="H2029" s="1">
        <v>44196</v>
      </c>
      <c r="I2029" t="s">
        <v>189</v>
      </c>
      <c r="J2029">
        <v>1</v>
      </c>
      <c r="L2029" t="s">
        <v>5649</v>
      </c>
      <c r="M2029" t="s">
        <v>323</v>
      </c>
      <c r="N2029" t="s">
        <v>5650</v>
      </c>
      <c r="O2029">
        <v>378</v>
      </c>
      <c r="Q2029" t="s">
        <v>260</v>
      </c>
      <c r="R2029" t="s">
        <v>261</v>
      </c>
      <c r="S2029" t="s">
        <v>261</v>
      </c>
      <c r="T2029" t="s">
        <v>261</v>
      </c>
      <c r="U2029" t="s">
        <v>261</v>
      </c>
      <c r="V2029" t="s">
        <v>262</v>
      </c>
      <c r="W2029" t="s">
        <v>261</v>
      </c>
      <c r="X2029" t="s">
        <v>261</v>
      </c>
      <c r="Y2029" t="s">
        <v>261</v>
      </c>
      <c r="Z2029" t="s">
        <v>409</v>
      </c>
      <c r="AB2029" t="s">
        <v>409</v>
      </c>
      <c r="AC2029" t="s">
        <v>409</v>
      </c>
      <c r="AD2029" t="s">
        <v>262</v>
      </c>
      <c r="AH2029" t="s">
        <v>262</v>
      </c>
      <c r="AI2029" t="s">
        <v>262</v>
      </c>
      <c r="AJ2029" t="s">
        <v>261</v>
      </c>
      <c r="AK2029" t="s">
        <v>261</v>
      </c>
      <c r="AM2029" t="s">
        <v>262</v>
      </c>
      <c r="AN2029" t="s">
        <v>5651</v>
      </c>
    </row>
    <row r="2030" spans="1:40" x14ac:dyDescent="0.35">
      <c r="A2030">
        <v>6449030</v>
      </c>
      <c r="B2030" t="s">
        <v>5652</v>
      </c>
      <c r="C2030" t="str">
        <f>"9783030635046"</f>
        <v>9783030635046</v>
      </c>
      <c r="D2030" t="str">
        <f>"9783030635053"</f>
        <v>9783030635053</v>
      </c>
      <c r="E2030" t="s">
        <v>2289</v>
      </c>
      <c r="F2030" t="s">
        <v>2290</v>
      </c>
      <c r="G2030" s="1">
        <v>44196</v>
      </c>
      <c r="H2030" s="1">
        <v>44210</v>
      </c>
      <c r="I2030" t="s">
        <v>189</v>
      </c>
      <c r="K2030" t="s">
        <v>5653</v>
      </c>
      <c r="L2030" t="s">
        <v>5654</v>
      </c>
    </row>
    <row r="2031" spans="1:40" x14ac:dyDescent="0.35">
      <c r="A2031">
        <v>6449031</v>
      </c>
      <c r="B2031" t="s">
        <v>5655</v>
      </c>
      <c r="C2031" t="str">
        <f>"9789811575976"</f>
        <v>9789811575976</v>
      </c>
      <c r="D2031" t="str">
        <f>"9789811575983"</f>
        <v>9789811575983</v>
      </c>
      <c r="E2031" t="s">
        <v>3404</v>
      </c>
      <c r="F2031" t="s">
        <v>2290</v>
      </c>
      <c r="G2031" s="1">
        <v>44196</v>
      </c>
      <c r="H2031" s="1">
        <v>44210</v>
      </c>
      <c r="I2031" t="s">
        <v>189</v>
      </c>
      <c r="K2031" t="s">
        <v>5656</v>
      </c>
      <c r="L2031" t="s">
        <v>5657</v>
      </c>
    </row>
    <row r="2032" spans="1:40" x14ac:dyDescent="0.35">
      <c r="A2032">
        <v>6449033</v>
      </c>
      <c r="B2032" t="s">
        <v>5658</v>
      </c>
      <c r="C2032" t="str">
        <f>"9783030570309"</f>
        <v>9783030570309</v>
      </c>
      <c r="D2032" t="str">
        <f>"9783030570316"</f>
        <v>9783030570316</v>
      </c>
      <c r="E2032" t="s">
        <v>2289</v>
      </c>
      <c r="F2032" t="s">
        <v>2290</v>
      </c>
      <c r="G2032" s="1">
        <v>44195</v>
      </c>
      <c r="H2032" s="1">
        <v>44210</v>
      </c>
      <c r="I2032" t="s">
        <v>189</v>
      </c>
      <c r="K2032" t="s">
        <v>5659</v>
      </c>
      <c r="L2032" t="s">
        <v>5660</v>
      </c>
      <c r="M2032" t="s">
        <v>944</v>
      </c>
    </row>
    <row r="2033" spans="1:40" x14ac:dyDescent="0.35">
      <c r="A2033">
        <v>6449034</v>
      </c>
      <c r="B2033" t="s">
        <v>5661</v>
      </c>
      <c r="C2033" t="str">
        <f>"9783658323882"</f>
        <v>9783658323882</v>
      </c>
      <c r="D2033" t="str">
        <f>"9783658323899"</f>
        <v>9783658323899</v>
      </c>
      <c r="E2033" t="s">
        <v>3972</v>
      </c>
      <c r="F2033" t="s">
        <v>3972</v>
      </c>
      <c r="G2033" s="1">
        <v>44195</v>
      </c>
      <c r="H2033" s="1">
        <v>44210</v>
      </c>
      <c r="I2033" t="s">
        <v>189</v>
      </c>
      <c r="L2033" t="s">
        <v>5662</v>
      </c>
      <c r="M2033" t="s">
        <v>249</v>
      </c>
      <c r="N2033" t="s">
        <v>3975</v>
      </c>
      <c r="Q2033" t="s">
        <v>408</v>
      </c>
      <c r="R2033" t="s">
        <v>261</v>
      </c>
      <c r="S2033" t="s">
        <v>261</v>
      </c>
      <c r="T2033" t="s">
        <v>261</v>
      </c>
      <c r="U2033" t="s">
        <v>262</v>
      </c>
      <c r="V2033" t="s">
        <v>262</v>
      </c>
      <c r="W2033" t="s">
        <v>261</v>
      </c>
      <c r="X2033" t="s">
        <v>261</v>
      </c>
      <c r="Y2033" t="s">
        <v>261</v>
      </c>
      <c r="Z2033" t="s">
        <v>409</v>
      </c>
      <c r="AA2033" t="s">
        <v>409</v>
      </c>
      <c r="AB2033" t="s">
        <v>409</v>
      </c>
      <c r="AC2033" t="s">
        <v>409</v>
      </c>
      <c r="AD2033" t="s">
        <v>261</v>
      </c>
      <c r="AH2033" t="s">
        <v>262</v>
      </c>
      <c r="AI2033" t="s">
        <v>262</v>
      </c>
      <c r="AJ2033" t="s">
        <v>261</v>
      </c>
      <c r="AK2033" t="s">
        <v>261</v>
      </c>
      <c r="AM2033" t="s">
        <v>262</v>
      </c>
      <c r="AN2033" t="s">
        <v>5663</v>
      </c>
    </row>
    <row r="2034" spans="1:40" x14ac:dyDescent="0.35">
      <c r="A2034">
        <v>6449885</v>
      </c>
      <c r="B2034" t="s">
        <v>5664</v>
      </c>
      <c r="C2034" t="str">
        <f>"9783030599508"</f>
        <v>9783030599508</v>
      </c>
      <c r="D2034" t="str">
        <f>"9783030599515"</f>
        <v>9783030599515</v>
      </c>
      <c r="E2034" t="s">
        <v>2289</v>
      </c>
      <c r="F2034" t="s">
        <v>2290</v>
      </c>
      <c r="G2034" s="1">
        <v>44197</v>
      </c>
      <c r="H2034" s="1">
        <v>44210</v>
      </c>
      <c r="I2034" t="s">
        <v>189</v>
      </c>
      <c r="K2034" t="s">
        <v>5665</v>
      </c>
      <c r="L2034" t="s">
        <v>5666</v>
      </c>
      <c r="M2034" t="s">
        <v>329</v>
      </c>
      <c r="N2034" t="s">
        <v>5667</v>
      </c>
      <c r="Q2034" t="s">
        <v>260</v>
      </c>
      <c r="R2034" t="s">
        <v>261</v>
      </c>
      <c r="S2034" t="s">
        <v>261</v>
      </c>
      <c r="T2034" t="s">
        <v>261</v>
      </c>
      <c r="U2034" t="s">
        <v>262</v>
      </c>
      <c r="V2034" t="s">
        <v>262</v>
      </c>
      <c r="W2034" t="s">
        <v>261</v>
      </c>
      <c r="X2034" t="s">
        <v>261</v>
      </c>
      <c r="Y2034" t="s">
        <v>261</v>
      </c>
      <c r="Z2034" t="s">
        <v>409</v>
      </c>
      <c r="AA2034" t="s">
        <v>409</v>
      </c>
      <c r="AB2034" t="s">
        <v>409</v>
      </c>
      <c r="AC2034" t="s">
        <v>409</v>
      </c>
      <c r="AD2034" t="s">
        <v>261</v>
      </c>
      <c r="AH2034" t="s">
        <v>262</v>
      </c>
      <c r="AI2034" t="s">
        <v>262</v>
      </c>
      <c r="AJ2034" t="s">
        <v>261</v>
      </c>
      <c r="AK2034" t="s">
        <v>261</v>
      </c>
      <c r="AM2034" t="s">
        <v>262</v>
      </c>
      <c r="AN2034" t="s">
        <v>5668</v>
      </c>
    </row>
    <row r="2035" spans="1:40" x14ac:dyDescent="0.35">
      <c r="A2035">
        <v>6449894</v>
      </c>
      <c r="B2035" t="s">
        <v>5669</v>
      </c>
      <c r="C2035" t="str">
        <f>""</f>
        <v/>
      </c>
      <c r="D2035" t="str">
        <f>"9789179297299"</f>
        <v>9789179297299</v>
      </c>
      <c r="E2035" t="s">
        <v>3642</v>
      </c>
      <c r="F2035" t="s">
        <v>3642</v>
      </c>
      <c r="G2035" s="1">
        <v>44194</v>
      </c>
      <c r="H2035" s="1">
        <v>44214</v>
      </c>
      <c r="I2035" t="s">
        <v>189</v>
      </c>
      <c r="J2035">
        <v>1</v>
      </c>
      <c r="L2035" t="s">
        <v>5670</v>
      </c>
      <c r="Q2035" t="s">
        <v>260</v>
      </c>
      <c r="R2035" t="s">
        <v>261</v>
      </c>
      <c r="S2035" t="s">
        <v>261</v>
      </c>
      <c r="T2035" t="s">
        <v>261</v>
      </c>
      <c r="U2035" t="s">
        <v>261</v>
      </c>
      <c r="V2035" t="s">
        <v>262</v>
      </c>
      <c r="W2035" t="s">
        <v>261</v>
      </c>
      <c r="X2035" t="s">
        <v>261</v>
      </c>
      <c r="Y2035" t="s">
        <v>261</v>
      </c>
      <c r="AD2035" t="s">
        <v>261</v>
      </c>
      <c r="AH2035" t="s">
        <v>262</v>
      </c>
      <c r="AI2035" t="s">
        <v>261</v>
      </c>
      <c r="AJ2035" t="s">
        <v>261</v>
      </c>
      <c r="AK2035" t="s">
        <v>261</v>
      </c>
      <c r="AM2035" t="s">
        <v>262</v>
      </c>
      <c r="AN2035" t="s">
        <v>5671</v>
      </c>
    </row>
    <row r="2036" spans="1:40" x14ac:dyDescent="0.35">
      <c r="A2036">
        <v>6449895</v>
      </c>
      <c r="B2036" t="s">
        <v>5672</v>
      </c>
      <c r="C2036" t="str">
        <f>""</f>
        <v/>
      </c>
      <c r="D2036" t="str">
        <f>"9789179297138"</f>
        <v>9789179297138</v>
      </c>
      <c r="E2036" t="s">
        <v>3642</v>
      </c>
      <c r="F2036" t="s">
        <v>3642</v>
      </c>
      <c r="G2036" s="1">
        <v>44194</v>
      </c>
      <c r="H2036" s="1">
        <v>44200</v>
      </c>
      <c r="I2036" t="s">
        <v>189</v>
      </c>
      <c r="J2036">
        <v>1</v>
      </c>
      <c r="L2036" t="s">
        <v>5673</v>
      </c>
      <c r="Q2036" t="s">
        <v>260</v>
      </c>
      <c r="R2036" t="s">
        <v>261</v>
      </c>
      <c r="S2036" t="s">
        <v>261</v>
      </c>
      <c r="T2036" t="s">
        <v>261</v>
      </c>
      <c r="U2036" t="s">
        <v>261</v>
      </c>
      <c r="V2036" t="s">
        <v>262</v>
      </c>
      <c r="W2036" t="s">
        <v>261</v>
      </c>
      <c r="X2036" t="s">
        <v>261</v>
      </c>
      <c r="Y2036" t="s">
        <v>261</v>
      </c>
      <c r="AD2036" t="s">
        <v>261</v>
      </c>
      <c r="AH2036" t="s">
        <v>262</v>
      </c>
      <c r="AI2036" t="s">
        <v>261</v>
      </c>
      <c r="AJ2036" t="s">
        <v>261</v>
      </c>
      <c r="AK2036" t="s">
        <v>261</v>
      </c>
      <c r="AM2036" t="s">
        <v>262</v>
      </c>
      <c r="AN2036" t="s">
        <v>5674</v>
      </c>
    </row>
    <row r="2037" spans="1:40" x14ac:dyDescent="0.35">
      <c r="A2037">
        <v>6449897</v>
      </c>
      <c r="B2037" t="s">
        <v>5675</v>
      </c>
      <c r="C2037" t="str">
        <f>""</f>
        <v/>
      </c>
      <c r="D2037" t="str">
        <f>"9789179297213"</f>
        <v>9789179297213</v>
      </c>
      <c r="E2037" t="s">
        <v>3642</v>
      </c>
      <c r="F2037" t="s">
        <v>3642</v>
      </c>
      <c r="G2037" s="1">
        <v>44193</v>
      </c>
      <c r="H2037" s="1">
        <v>44200</v>
      </c>
      <c r="I2037" t="s">
        <v>189</v>
      </c>
      <c r="J2037">
        <v>1</v>
      </c>
      <c r="L2037" t="s">
        <v>5676</v>
      </c>
      <c r="Q2037" t="s">
        <v>260</v>
      </c>
      <c r="R2037" t="s">
        <v>261</v>
      </c>
      <c r="S2037" t="s">
        <v>261</v>
      </c>
      <c r="T2037" t="s">
        <v>261</v>
      </c>
      <c r="U2037" t="s">
        <v>261</v>
      </c>
      <c r="V2037" t="s">
        <v>262</v>
      </c>
      <c r="W2037" t="s">
        <v>261</v>
      </c>
      <c r="X2037" t="s">
        <v>261</v>
      </c>
      <c r="Y2037" t="s">
        <v>261</v>
      </c>
      <c r="AD2037" t="s">
        <v>261</v>
      </c>
      <c r="AH2037" t="s">
        <v>262</v>
      </c>
      <c r="AI2037" t="s">
        <v>261</v>
      </c>
      <c r="AJ2037" t="s">
        <v>261</v>
      </c>
      <c r="AK2037" t="s">
        <v>261</v>
      </c>
      <c r="AM2037" t="s">
        <v>262</v>
      </c>
      <c r="AN2037" t="s">
        <v>5677</v>
      </c>
    </row>
    <row r="2038" spans="1:40" x14ac:dyDescent="0.35">
      <c r="A2038">
        <v>6451165</v>
      </c>
      <c r="B2038" t="s">
        <v>5678</v>
      </c>
      <c r="C2038" t="str">
        <f>"9789811583223"</f>
        <v>9789811583223</v>
      </c>
      <c r="D2038" t="str">
        <f>"9789811583230"</f>
        <v>9789811583230</v>
      </c>
      <c r="E2038" t="s">
        <v>3404</v>
      </c>
      <c r="F2038" t="s">
        <v>2290</v>
      </c>
      <c r="G2038" s="1">
        <v>44202</v>
      </c>
      <c r="H2038" s="1">
        <v>44210</v>
      </c>
      <c r="I2038" t="s">
        <v>189</v>
      </c>
      <c r="L2038" t="s">
        <v>5679</v>
      </c>
    </row>
    <row r="2039" spans="1:40" x14ac:dyDescent="0.35">
      <c r="A2039">
        <v>6451166</v>
      </c>
      <c r="B2039" t="s">
        <v>5680</v>
      </c>
      <c r="C2039" t="str">
        <f>"9783030558772"</f>
        <v>9783030558772</v>
      </c>
      <c r="D2039" t="str">
        <f>"9783030558789"</f>
        <v>9783030558789</v>
      </c>
      <c r="E2039" t="s">
        <v>2289</v>
      </c>
      <c r="F2039" t="s">
        <v>2290</v>
      </c>
      <c r="G2039" s="1">
        <v>44202</v>
      </c>
      <c r="H2039" s="1">
        <v>44210</v>
      </c>
      <c r="I2039" t="s">
        <v>189</v>
      </c>
      <c r="L2039" t="s">
        <v>134</v>
      </c>
    </row>
    <row r="2040" spans="1:40" x14ac:dyDescent="0.35">
      <c r="A2040">
        <v>6451167</v>
      </c>
      <c r="B2040" t="s">
        <v>5681</v>
      </c>
      <c r="C2040" t="str">
        <f>"9783662623169"</f>
        <v>9783662623169</v>
      </c>
      <c r="D2040" t="str">
        <f>"9783662623176"</f>
        <v>9783662623176</v>
      </c>
      <c r="E2040" t="s">
        <v>4047</v>
      </c>
      <c r="F2040" t="s">
        <v>2290</v>
      </c>
      <c r="G2040" s="1">
        <v>44202</v>
      </c>
      <c r="H2040" s="1">
        <v>44210</v>
      </c>
      <c r="I2040" t="s">
        <v>189</v>
      </c>
      <c r="K2040" t="s">
        <v>5682</v>
      </c>
      <c r="L2040" t="s">
        <v>5683</v>
      </c>
    </row>
    <row r="2041" spans="1:40" x14ac:dyDescent="0.35">
      <c r="A2041">
        <v>6451168</v>
      </c>
      <c r="B2041" t="s">
        <v>5684</v>
      </c>
      <c r="C2041" t="str">
        <f>"9783030493875"</f>
        <v>9783030493875</v>
      </c>
      <c r="D2041" t="str">
        <f>"9783030493882"</f>
        <v>9783030493882</v>
      </c>
      <c r="E2041" t="s">
        <v>2289</v>
      </c>
      <c r="F2041" t="s">
        <v>2290</v>
      </c>
      <c r="G2041" s="1">
        <v>44202</v>
      </c>
      <c r="H2041" s="1">
        <v>44210</v>
      </c>
      <c r="I2041" t="s">
        <v>189</v>
      </c>
      <c r="K2041" t="s">
        <v>5685</v>
      </c>
      <c r="L2041" t="s">
        <v>5686</v>
      </c>
    </row>
    <row r="2042" spans="1:40" x14ac:dyDescent="0.35">
      <c r="A2042">
        <v>6451944</v>
      </c>
      <c r="B2042" t="s">
        <v>5687</v>
      </c>
      <c r="C2042" t="str">
        <f>"9789811595974"</f>
        <v>9789811595974</v>
      </c>
      <c r="D2042" t="str">
        <f>"9789811595981"</f>
        <v>9789811595981</v>
      </c>
      <c r="E2042" t="s">
        <v>3404</v>
      </c>
      <c r="F2042" t="s">
        <v>2663</v>
      </c>
      <c r="G2042" s="1">
        <v>44204</v>
      </c>
      <c r="H2042" s="1">
        <v>44210</v>
      </c>
      <c r="I2042" t="s">
        <v>189</v>
      </c>
      <c r="L2042" t="s">
        <v>5688</v>
      </c>
      <c r="M2042" t="s">
        <v>249</v>
      </c>
      <c r="N2042" t="s">
        <v>5689</v>
      </c>
      <c r="Q2042" t="s">
        <v>260</v>
      </c>
      <c r="R2042" t="s">
        <v>261</v>
      </c>
      <c r="S2042" t="s">
        <v>261</v>
      </c>
      <c r="T2042" t="s">
        <v>261</v>
      </c>
      <c r="U2042" t="s">
        <v>262</v>
      </c>
      <c r="V2042" t="s">
        <v>262</v>
      </c>
      <c r="W2042" t="s">
        <v>261</v>
      </c>
      <c r="X2042" t="s">
        <v>261</v>
      </c>
      <c r="Y2042" t="s">
        <v>261</v>
      </c>
      <c r="Z2042" t="s">
        <v>409</v>
      </c>
      <c r="AA2042" t="s">
        <v>409</v>
      </c>
      <c r="AB2042" t="s">
        <v>409</v>
      </c>
      <c r="AC2042" t="s">
        <v>409</v>
      </c>
      <c r="AD2042" t="s">
        <v>261</v>
      </c>
      <c r="AH2042" t="s">
        <v>262</v>
      </c>
      <c r="AI2042" t="s">
        <v>262</v>
      </c>
      <c r="AJ2042" t="s">
        <v>261</v>
      </c>
      <c r="AK2042" t="s">
        <v>261</v>
      </c>
      <c r="AM2042" t="s">
        <v>262</v>
      </c>
      <c r="AN2042" t="s">
        <v>5690</v>
      </c>
    </row>
    <row r="2043" spans="1:40" x14ac:dyDescent="0.35">
      <c r="A2043">
        <v>6452454</v>
      </c>
      <c r="B2043" t="s">
        <v>5691</v>
      </c>
      <c r="C2043" t="str">
        <f>"9783030663025"</f>
        <v>9783030663025</v>
      </c>
      <c r="D2043" t="str">
        <f>"9783030663032"</f>
        <v>9783030663032</v>
      </c>
      <c r="E2043" t="s">
        <v>2289</v>
      </c>
      <c r="F2043" t="s">
        <v>2290</v>
      </c>
      <c r="G2043" s="1">
        <v>44204</v>
      </c>
      <c r="H2043" s="1">
        <v>44210</v>
      </c>
      <c r="I2043" t="s">
        <v>189</v>
      </c>
      <c r="K2043" t="s">
        <v>5586</v>
      </c>
      <c r="L2043" t="s">
        <v>5692</v>
      </c>
      <c r="M2043" t="s">
        <v>329</v>
      </c>
      <c r="N2043" t="s">
        <v>5693</v>
      </c>
      <c r="Q2043" t="s">
        <v>260</v>
      </c>
      <c r="R2043" t="s">
        <v>261</v>
      </c>
      <c r="S2043" t="s">
        <v>261</v>
      </c>
      <c r="T2043" t="s">
        <v>261</v>
      </c>
      <c r="U2043" t="s">
        <v>262</v>
      </c>
      <c r="V2043" t="s">
        <v>262</v>
      </c>
      <c r="W2043" t="s">
        <v>261</v>
      </c>
      <c r="X2043" t="s">
        <v>261</v>
      </c>
      <c r="Y2043" t="s">
        <v>261</v>
      </c>
      <c r="Z2043" t="s">
        <v>409</v>
      </c>
      <c r="AA2043" t="s">
        <v>409</v>
      </c>
      <c r="AB2043" t="s">
        <v>409</v>
      </c>
      <c r="AC2043" t="s">
        <v>409</v>
      </c>
      <c r="AD2043" t="s">
        <v>261</v>
      </c>
      <c r="AH2043" t="s">
        <v>262</v>
      </c>
      <c r="AI2043" t="s">
        <v>262</v>
      </c>
      <c r="AJ2043" t="s">
        <v>261</v>
      </c>
      <c r="AK2043" t="s">
        <v>261</v>
      </c>
      <c r="AM2043" t="s">
        <v>262</v>
      </c>
      <c r="AN2043" t="s">
        <v>5694</v>
      </c>
    </row>
    <row r="2044" spans="1:40" x14ac:dyDescent="0.35">
      <c r="A2044">
        <v>6452779</v>
      </c>
      <c r="B2044" t="s">
        <v>5695</v>
      </c>
      <c r="C2044" t="str">
        <f>""</f>
        <v/>
      </c>
      <c r="D2044" t="str">
        <f>"9789179297275"</f>
        <v>9789179297275</v>
      </c>
      <c r="E2044" t="s">
        <v>3642</v>
      </c>
      <c r="F2044" t="s">
        <v>3642</v>
      </c>
      <c r="G2044" s="1">
        <v>44201</v>
      </c>
      <c r="H2044" s="1">
        <v>44228</v>
      </c>
      <c r="I2044" t="s">
        <v>189</v>
      </c>
      <c r="J2044">
        <v>1</v>
      </c>
      <c r="L2044" t="s">
        <v>5696</v>
      </c>
      <c r="Q2044" t="s">
        <v>260</v>
      </c>
      <c r="R2044" t="s">
        <v>261</v>
      </c>
      <c r="S2044" t="s">
        <v>261</v>
      </c>
      <c r="T2044" t="s">
        <v>261</v>
      </c>
      <c r="U2044" t="s">
        <v>261</v>
      </c>
      <c r="V2044" t="s">
        <v>262</v>
      </c>
      <c r="W2044" t="s">
        <v>261</v>
      </c>
      <c r="X2044" t="s">
        <v>261</v>
      </c>
      <c r="Y2044" t="s">
        <v>261</v>
      </c>
      <c r="AD2044" t="s">
        <v>261</v>
      </c>
      <c r="AH2044" t="s">
        <v>262</v>
      </c>
      <c r="AI2044" t="s">
        <v>261</v>
      </c>
      <c r="AJ2044" t="s">
        <v>261</v>
      </c>
      <c r="AK2044" t="s">
        <v>261</v>
      </c>
      <c r="AM2044" t="s">
        <v>262</v>
      </c>
      <c r="AN2044" t="s">
        <v>5697</v>
      </c>
    </row>
    <row r="2045" spans="1:40" x14ac:dyDescent="0.35">
      <c r="A2045">
        <v>6452780</v>
      </c>
      <c r="B2045" t="s">
        <v>5698</v>
      </c>
      <c r="C2045" t="str">
        <f>""</f>
        <v/>
      </c>
      <c r="D2045" t="str">
        <f>"9789179297992"</f>
        <v>9789179297992</v>
      </c>
      <c r="E2045" t="s">
        <v>3642</v>
      </c>
      <c r="F2045" t="s">
        <v>3642</v>
      </c>
      <c r="G2045" s="1">
        <v>44204</v>
      </c>
      <c r="H2045" s="1">
        <v>44207</v>
      </c>
      <c r="I2045" t="s">
        <v>189</v>
      </c>
      <c r="J2045">
        <v>1</v>
      </c>
      <c r="L2045" t="s">
        <v>5699</v>
      </c>
      <c r="Q2045" t="s">
        <v>260</v>
      </c>
      <c r="R2045" t="s">
        <v>261</v>
      </c>
      <c r="S2045" t="s">
        <v>261</v>
      </c>
      <c r="T2045" t="s">
        <v>261</v>
      </c>
      <c r="U2045" t="s">
        <v>261</v>
      </c>
      <c r="V2045" t="s">
        <v>262</v>
      </c>
      <c r="W2045" t="s">
        <v>261</v>
      </c>
      <c r="X2045" t="s">
        <v>261</v>
      </c>
      <c r="Y2045" t="s">
        <v>261</v>
      </c>
      <c r="AD2045" t="s">
        <v>261</v>
      </c>
      <c r="AH2045" t="s">
        <v>262</v>
      </c>
      <c r="AI2045" t="s">
        <v>261</v>
      </c>
      <c r="AJ2045" t="s">
        <v>261</v>
      </c>
      <c r="AK2045" t="s">
        <v>261</v>
      </c>
      <c r="AM2045" t="s">
        <v>262</v>
      </c>
      <c r="AN2045" t="s">
        <v>5700</v>
      </c>
    </row>
    <row r="2046" spans="1:40" x14ac:dyDescent="0.35">
      <c r="A2046">
        <v>6454116</v>
      </c>
      <c r="B2046" t="s">
        <v>5701</v>
      </c>
      <c r="C2046" t="str">
        <f>"9789811580130"</f>
        <v>9789811580130</v>
      </c>
      <c r="D2046" t="str">
        <f>"9789811580147"</f>
        <v>9789811580147</v>
      </c>
      <c r="E2046" t="s">
        <v>3404</v>
      </c>
      <c r="F2046" t="s">
        <v>2290</v>
      </c>
      <c r="G2046" s="1">
        <v>44208</v>
      </c>
      <c r="H2046" s="1">
        <v>44210</v>
      </c>
      <c r="I2046" t="s">
        <v>189</v>
      </c>
      <c r="L2046" t="s">
        <v>5702</v>
      </c>
    </row>
    <row r="2047" spans="1:40" x14ac:dyDescent="0.35">
      <c r="A2047">
        <v>6454117</v>
      </c>
      <c r="B2047" t="s">
        <v>5703</v>
      </c>
      <c r="C2047" t="str">
        <f>"9783030582777"</f>
        <v>9783030582777</v>
      </c>
      <c r="D2047" t="str">
        <f>"9783030582784"</f>
        <v>9783030582784</v>
      </c>
      <c r="E2047" t="s">
        <v>2289</v>
      </c>
      <c r="F2047" t="s">
        <v>2290</v>
      </c>
      <c r="G2047" s="1">
        <v>44208</v>
      </c>
      <c r="H2047" s="1">
        <v>44210</v>
      </c>
      <c r="I2047" t="s">
        <v>189</v>
      </c>
      <c r="L2047" t="s">
        <v>5704</v>
      </c>
    </row>
    <row r="2048" spans="1:40" x14ac:dyDescent="0.35">
      <c r="A2048">
        <v>6454149</v>
      </c>
      <c r="B2048" t="s">
        <v>5705</v>
      </c>
      <c r="C2048" t="str">
        <f>"9781526101495"</f>
        <v>9781526101495</v>
      </c>
      <c r="D2048" t="str">
        <f>"9781526101501"</f>
        <v>9781526101501</v>
      </c>
      <c r="E2048" t="s">
        <v>188</v>
      </c>
      <c r="F2048" t="s">
        <v>188</v>
      </c>
      <c r="G2048" s="1">
        <v>44175</v>
      </c>
      <c r="H2048" s="1">
        <v>44208</v>
      </c>
      <c r="I2048" t="s">
        <v>189</v>
      </c>
      <c r="J2048">
        <v>1</v>
      </c>
      <c r="K2048" t="s">
        <v>5706</v>
      </c>
      <c r="L2048" t="s">
        <v>5707</v>
      </c>
    </row>
    <row r="2049" spans="1:40" x14ac:dyDescent="0.35">
      <c r="A2049">
        <v>6454799</v>
      </c>
      <c r="B2049" t="s">
        <v>5708</v>
      </c>
      <c r="C2049" t="str">
        <f>""</f>
        <v/>
      </c>
      <c r="D2049" t="str">
        <f>"9789027212030"</f>
        <v>9789027212030</v>
      </c>
      <c r="E2049" t="s">
        <v>1372</v>
      </c>
      <c r="F2049" t="s">
        <v>1372</v>
      </c>
      <c r="G2049" s="1">
        <v>41360</v>
      </c>
      <c r="H2049" s="1">
        <v>44210</v>
      </c>
      <c r="I2049" t="s">
        <v>189</v>
      </c>
      <c r="J2049">
        <v>1</v>
      </c>
      <c r="L2049" t="s">
        <v>5709</v>
      </c>
    </row>
    <row r="2050" spans="1:40" x14ac:dyDescent="0.35">
      <c r="A2050">
        <v>6454806</v>
      </c>
      <c r="B2050" t="s">
        <v>5710</v>
      </c>
      <c r="C2050" t="str">
        <f>"9781800640429"</f>
        <v>9781800640429</v>
      </c>
      <c r="D2050" t="str">
        <f>"9781800640436"</f>
        <v>9781800640436</v>
      </c>
      <c r="E2050" t="s">
        <v>1807</v>
      </c>
      <c r="F2050" t="s">
        <v>1807</v>
      </c>
      <c r="G2050" s="1">
        <v>44200</v>
      </c>
      <c r="H2050" s="1">
        <v>44209</v>
      </c>
      <c r="I2050" t="s">
        <v>189</v>
      </c>
      <c r="J2050">
        <v>1</v>
      </c>
      <c r="K2050" t="s">
        <v>5606</v>
      </c>
      <c r="L2050" t="s">
        <v>5711</v>
      </c>
      <c r="M2050" t="s">
        <v>2413</v>
      </c>
    </row>
    <row r="2051" spans="1:40" x14ac:dyDescent="0.35">
      <c r="A2051">
        <v>6454807</v>
      </c>
      <c r="B2051" t="s">
        <v>5712</v>
      </c>
      <c r="C2051" t="str">
        <f>"9781783749157"</f>
        <v>9781783749157</v>
      </c>
      <c r="D2051" t="str">
        <f>"9781783749164"</f>
        <v>9781783749164</v>
      </c>
      <c r="E2051" t="s">
        <v>1807</v>
      </c>
      <c r="F2051" t="s">
        <v>1807</v>
      </c>
      <c r="G2051" s="1">
        <v>44211</v>
      </c>
      <c r="H2051" s="1">
        <v>44209</v>
      </c>
      <c r="I2051" t="s">
        <v>189</v>
      </c>
      <c r="J2051">
        <v>1</v>
      </c>
      <c r="L2051" t="s">
        <v>5713</v>
      </c>
      <c r="M2051" t="s">
        <v>329</v>
      </c>
    </row>
    <row r="2052" spans="1:40" x14ac:dyDescent="0.35">
      <c r="A2052">
        <v>6454864</v>
      </c>
      <c r="B2052" t="s">
        <v>5714</v>
      </c>
      <c r="C2052" t="str">
        <f>"9783030657840"</f>
        <v>9783030657840</v>
      </c>
      <c r="D2052" t="str">
        <f>"9783030657857"</f>
        <v>9783030657857</v>
      </c>
      <c r="E2052" t="s">
        <v>2289</v>
      </c>
      <c r="F2052" t="s">
        <v>2290</v>
      </c>
      <c r="G2052" s="1">
        <v>44208</v>
      </c>
      <c r="H2052" s="1">
        <v>44210</v>
      </c>
      <c r="I2052" t="s">
        <v>189</v>
      </c>
      <c r="L2052" t="s">
        <v>5715</v>
      </c>
    </row>
    <row r="2053" spans="1:40" x14ac:dyDescent="0.35">
      <c r="A2053">
        <v>6455780</v>
      </c>
      <c r="B2053" t="s">
        <v>5716</v>
      </c>
      <c r="C2053" t="str">
        <f>"9783030585044"</f>
        <v>9783030585044</v>
      </c>
      <c r="D2053" t="str">
        <f>"9783030585051"</f>
        <v>9783030585051</v>
      </c>
      <c r="E2053" t="s">
        <v>2289</v>
      </c>
      <c r="F2053" t="s">
        <v>2290</v>
      </c>
      <c r="G2053" s="1">
        <v>44211</v>
      </c>
      <c r="H2053" s="1">
        <v>44217</v>
      </c>
      <c r="I2053" t="s">
        <v>189</v>
      </c>
      <c r="L2053" t="s">
        <v>5717</v>
      </c>
      <c r="M2053" t="s">
        <v>339</v>
      </c>
      <c r="N2053" t="s">
        <v>5718</v>
      </c>
      <c r="Q2053" t="s">
        <v>260</v>
      </c>
      <c r="R2053" t="s">
        <v>261</v>
      </c>
      <c r="S2053" t="s">
        <v>261</v>
      </c>
      <c r="T2053" t="s">
        <v>261</v>
      </c>
      <c r="U2053" t="s">
        <v>262</v>
      </c>
      <c r="V2053" t="s">
        <v>262</v>
      </c>
      <c r="W2053" t="s">
        <v>261</v>
      </c>
      <c r="X2053" t="s">
        <v>261</v>
      </c>
      <c r="Y2053" t="s">
        <v>261</v>
      </c>
      <c r="Z2053" t="s">
        <v>409</v>
      </c>
      <c r="AA2053" t="s">
        <v>409</v>
      </c>
      <c r="AB2053" t="s">
        <v>409</v>
      </c>
      <c r="AC2053" t="s">
        <v>409</v>
      </c>
      <c r="AD2053" t="s">
        <v>261</v>
      </c>
      <c r="AH2053" t="s">
        <v>262</v>
      </c>
      <c r="AI2053" t="s">
        <v>262</v>
      </c>
      <c r="AJ2053" t="s">
        <v>261</v>
      </c>
      <c r="AK2053" t="s">
        <v>261</v>
      </c>
      <c r="AM2053" t="s">
        <v>262</v>
      </c>
      <c r="AN2053" t="s">
        <v>5719</v>
      </c>
    </row>
    <row r="2054" spans="1:40" x14ac:dyDescent="0.35">
      <c r="A2054">
        <v>6455781</v>
      </c>
      <c r="B2054" t="s">
        <v>5720</v>
      </c>
      <c r="C2054" t="str">
        <f>"9783030105907"</f>
        <v>9783030105907</v>
      </c>
      <c r="D2054" t="str">
        <f>"9783030105914"</f>
        <v>9783030105914</v>
      </c>
      <c r="E2054" t="s">
        <v>2289</v>
      </c>
      <c r="F2054" t="s">
        <v>2290</v>
      </c>
      <c r="G2054" s="1">
        <v>44211</v>
      </c>
      <c r="H2054" s="1">
        <v>44217</v>
      </c>
      <c r="I2054" t="s">
        <v>189</v>
      </c>
      <c r="L2054" t="s">
        <v>5721</v>
      </c>
    </row>
    <row r="2055" spans="1:40" x14ac:dyDescent="0.35">
      <c r="A2055">
        <v>6455782</v>
      </c>
      <c r="B2055" t="s">
        <v>5722</v>
      </c>
      <c r="C2055" t="str">
        <f>"9783030471491"</f>
        <v>9783030471491</v>
      </c>
      <c r="D2055" t="str">
        <f>"9783030471507"</f>
        <v>9783030471507</v>
      </c>
      <c r="E2055" t="s">
        <v>2289</v>
      </c>
      <c r="F2055" t="s">
        <v>2290</v>
      </c>
      <c r="G2055" s="1">
        <v>44211</v>
      </c>
      <c r="H2055" s="1">
        <v>44217</v>
      </c>
      <c r="I2055" t="s">
        <v>189</v>
      </c>
      <c r="K2055" t="s">
        <v>4864</v>
      </c>
      <c r="L2055" t="s">
        <v>5435</v>
      </c>
    </row>
    <row r="2056" spans="1:40" x14ac:dyDescent="0.35">
      <c r="A2056">
        <v>6455966</v>
      </c>
      <c r="B2056" t="s">
        <v>5723</v>
      </c>
      <c r="C2056" t="str">
        <f>"9783030594022"</f>
        <v>9783030594022</v>
      </c>
      <c r="D2056" t="str">
        <f>"9783030594039"</f>
        <v>9783030594039</v>
      </c>
      <c r="E2056" t="s">
        <v>2289</v>
      </c>
      <c r="F2056" t="s">
        <v>2290</v>
      </c>
      <c r="G2056" s="1">
        <v>44180</v>
      </c>
      <c r="H2056" s="1">
        <v>44224</v>
      </c>
      <c r="I2056" t="s">
        <v>189</v>
      </c>
      <c r="L2056" t="s">
        <v>5724</v>
      </c>
    </row>
    <row r="2057" spans="1:40" x14ac:dyDescent="0.35">
      <c r="A2057">
        <v>6457818</v>
      </c>
      <c r="B2057" t="s">
        <v>5725</v>
      </c>
      <c r="C2057" t="str">
        <f>"9781478009917"</f>
        <v>9781478009917</v>
      </c>
      <c r="D2057" t="str">
        <f>"9781478012504"</f>
        <v>9781478012504</v>
      </c>
      <c r="E2057" t="s">
        <v>687</v>
      </c>
      <c r="F2057" t="s">
        <v>687</v>
      </c>
      <c r="G2057" s="1">
        <v>44204</v>
      </c>
      <c r="H2057" s="1">
        <v>44212</v>
      </c>
      <c r="I2057" t="s">
        <v>189</v>
      </c>
      <c r="J2057">
        <v>1</v>
      </c>
      <c r="L2057" t="s">
        <v>5726</v>
      </c>
      <c r="M2057" t="s">
        <v>239</v>
      </c>
    </row>
    <row r="2058" spans="1:40" x14ac:dyDescent="0.35">
      <c r="A2058">
        <v>6458190</v>
      </c>
      <c r="B2058" t="s">
        <v>5727</v>
      </c>
      <c r="C2058" t="str">
        <f>""</f>
        <v/>
      </c>
      <c r="D2058" t="str">
        <f>"9789179297343"</f>
        <v>9789179297343</v>
      </c>
      <c r="E2058" t="s">
        <v>3642</v>
      </c>
      <c r="F2058" t="s">
        <v>3642</v>
      </c>
      <c r="G2058" s="1">
        <v>44209</v>
      </c>
      <c r="H2058" s="1">
        <v>44221</v>
      </c>
      <c r="I2058" t="s">
        <v>189</v>
      </c>
      <c r="J2058">
        <v>1</v>
      </c>
      <c r="L2058" t="s">
        <v>5728</v>
      </c>
      <c r="Q2058" t="s">
        <v>3775</v>
      </c>
      <c r="R2058" t="s">
        <v>261</v>
      </c>
      <c r="S2058" t="s">
        <v>261</v>
      </c>
      <c r="T2058" t="s">
        <v>261</v>
      </c>
      <c r="U2058" t="s">
        <v>261</v>
      </c>
      <c r="V2058" t="s">
        <v>262</v>
      </c>
      <c r="W2058" t="s">
        <v>261</v>
      </c>
      <c r="X2058" t="s">
        <v>261</v>
      </c>
      <c r="Y2058" t="s">
        <v>261</v>
      </c>
      <c r="AD2058" t="s">
        <v>261</v>
      </c>
      <c r="AH2058" t="s">
        <v>262</v>
      </c>
      <c r="AI2058" t="s">
        <v>261</v>
      </c>
      <c r="AJ2058" t="s">
        <v>261</v>
      </c>
      <c r="AK2058" t="s">
        <v>261</v>
      </c>
      <c r="AM2058" t="s">
        <v>262</v>
      </c>
      <c r="AN2058" t="s">
        <v>5729</v>
      </c>
    </row>
    <row r="2059" spans="1:40" x14ac:dyDescent="0.35">
      <c r="A2059">
        <v>6458192</v>
      </c>
      <c r="B2059" t="s">
        <v>5730</v>
      </c>
      <c r="C2059" t="str">
        <f>""</f>
        <v/>
      </c>
      <c r="D2059" t="str">
        <f>"9789179297381"</f>
        <v>9789179297381</v>
      </c>
      <c r="E2059" t="s">
        <v>3642</v>
      </c>
      <c r="F2059" t="s">
        <v>3642</v>
      </c>
      <c r="G2059" s="1">
        <v>44175</v>
      </c>
      <c r="H2059" s="1">
        <v>44221</v>
      </c>
      <c r="I2059" t="s">
        <v>189</v>
      </c>
      <c r="J2059">
        <v>1</v>
      </c>
      <c r="L2059" t="s">
        <v>5731</v>
      </c>
      <c r="Q2059" t="s">
        <v>3775</v>
      </c>
      <c r="R2059" t="s">
        <v>261</v>
      </c>
      <c r="S2059" t="s">
        <v>261</v>
      </c>
      <c r="T2059" t="s">
        <v>261</v>
      </c>
      <c r="U2059" t="s">
        <v>261</v>
      </c>
      <c r="V2059" t="s">
        <v>262</v>
      </c>
      <c r="W2059" t="s">
        <v>261</v>
      </c>
      <c r="X2059" t="s">
        <v>261</v>
      </c>
      <c r="Y2059" t="s">
        <v>261</v>
      </c>
      <c r="AD2059" t="s">
        <v>261</v>
      </c>
      <c r="AH2059" t="s">
        <v>262</v>
      </c>
      <c r="AI2059" t="s">
        <v>261</v>
      </c>
      <c r="AJ2059" t="s">
        <v>261</v>
      </c>
      <c r="AK2059" t="s">
        <v>261</v>
      </c>
      <c r="AM2059" t="s">
        <v>262</v>
      </c>
      <c r="AN2059" t="s">
        <v>5732</v>
      </c>
    </row>
    <row r="2060" spans="1:40" x14ac:dyDescent="0.35">
      <c r="A2060">
        <v>6458353</v>
      </c>
      <c r="B2060" t="s">
        <v>5733</v>
      </c>
      <c r="C2060" t="str">
        <f>"9789813349216"</f>
        <v>9789813349216</v>
      </c>
      <c r="D2060" t="str">
        <f>"9789813349223"</f>
        <v>9789813349223</v>
      </c>
      <c r="E2060" t="s">
        <v>3404</v>
      </c>
      <c r="F2060" t="s">
        <v>2290</v>
      </c>
      <c r="G2060" s="1">
        <v>44215</v>
      </c>
      <c r="H2060" s="1">
        <v>44217</v>
      </c>
      <c r="I2060" t="s">
        <v>189</v>
      </c>
      <c r="K2060" t="s">
        <v>5734</v>
      </c>
      <c r="L2060" t="s">
        <v>5735</v>
      </c>
    </row>
    <row r="2061" spans="1:40" x14ac:dyDescent="0.35">
      <c r="A2061">
        <v>6458965</v>
      </c>
      <c r="B2061" t="s">
        <v>5736</v>
      </c>
      <c r="C2061" t="str">
        <f>"9783030477745"</f>
        <v>9783030477745</v>
      </c>
      <c r="D2061" t="str">
        <f>"9783030477752"</f>
        <v>9783030477752</v>
      </c>
      <c r="E2061" t="s">
        <v>2289</v>
      </c>
      <c r="F2061" t="s">
        <v>2290</v>
      </c>
      <c r="G2061" s="1">
        <v>44216</v>
      </c>
      <c r="H2061" s="1">
        <v>44217</v>
      </c>
      <c r="I2061" t="s">
        <v>189</v>
      </c>
      <c r="K2061" t="s">
        <v>5737</v>
      </c>
      <c r="L2061" t="s">
        <v>5738</v>
      </c>
    </row>
    <row r="2062" spans="1:40" x14ac:dyDescent="0.35">
      <c r="A2062">
        <v>6458966</v>
      </c>
      <c r="B2062" t="s">
        <v>5739</v>
      </c>
      <c r="C2062" t="str">
        <f>"9783030611590"</f>
        <v>9783030611590</v>
      </c>
      <c r="D2062" t="str">
        <f>"9783030611606"</f>
        <v>9783030611606</v>
      </c>
      <c r="E2062" t="s">
        <v>2289</v>
      </c>
      <c r="F2062" t="s">
        <v>2663</v>
      </c>
      <c r="G2062" s="1">
        <v>44216</v>
      </c>
      <c r="H2062" s="1">
        <v>44217</v>
      </c>
      <c r="I2062" t="s">
        <v>189</v>
      </c>
      <c r="L2062" t="s">
        <v>5740</v>
      </c>
    </row>
    <row r="2063" spans="1:40" x14ac:dyDescent="0.35">
      <c r="A2063">
        <v>6460302</v>
      </c>
      <c r="B2063" t="s">
        <v>5741</v>
      </c>
      <c r="C2063" t="str">
        <f>"9783030632656"</f>
        <v>9783030632656</v>
      </c>
      <c r="D2063" t="str">
        <f>"9783030632663"</f>
        <v>9783030632663</v>
      </c>
      <c r="E2063" t="s">
        <v>2289</v>
      </c>
      <c r="F2063" t="s">
        <v>2663</v>
      </c>
      <c r="G2063" s="1">
        <v>44217</v>
      </c>
      <c r="H2063" s="1">
        <v>44224</v>
      </c>
      <c r="I2063" t="s">
        <v>189</v>
      </c>
      <c r="J2063">
        <v>4</v>
      </c>
      <c r="L2063" t="s">
        <v>5742</v>
      </c>
    </row>
    <row r="2064" spans="1:40" x14ac:dyDescent="0.35">
      <c r="A2064">
        <v>6460904</v>
      </c>
      <c r="B2064" t="s">
        <v>5743</v>
      </c>
      <c r="C2064" t="str">
        <f>"9783658308810"</f>
        <v>9783658308810</v>
      </c>
      <c r="D2064" t="str">
        <f>"9783658308827"</f>
        <v>9783658308827</v>
      </c>
      <c r="E2064" t="s">
        <v>3972</v>
      </c>
      <c r="F2064" t="s">
        <v>3998</v>
      </c>
      <c r="G2064" s="1">
        <v>44218</v>
      </c>
      <c r="H2064" s="1">
        <v>44224</v>
      </c>
      <c r="I2064" t="s">
        <v>189</v>
      </c>
      <c r="L2064" t="s">
        <v>5744</v>
      </c>
    </row>
    <row r="2065" spans="1:40" x14ac:dyDescent="0.35">
      <c r="A2065">
        <v>6460905</v>
      </c>
      <c r="B2065" t="s">
        <v>5745</v>
      </c>
      <c r="C2065" t="str">
        <f>"9783030616472"</f>
        <v>9783030616472</v>
      </c>
      <c r="D2065" t="str">
        <f>"9783030616489"</f>
        <v>9783030616489</v>
      </c>
      <c r="E2065" t="s">
        <v>2289</v>
      </c>
      <c r="F2065" t="s">
        <v>2290</v>
      </c>
      <c r="G2065" s="1">
        <v>44218</v>
      </c>
      <c r="H2065" s="1">
        <v>44224</v>
      </c>
      <c r="I2065" t="s">
        <v>189</v>
      </c>
      <c r="L2065" t="s">
        <v>5746</v>
      </c>
    </row>
    <row r="2066" spans="1:40" x14ac:dyDescent="0.35">
      <c r="A2066">
        <v>6461734</v>
      </c>
      <c r="B2066" t="s">
        <v>5747</v>
      </c>
      <c r="C2066" t="str">
        <f>"9783662626344"</f>
        <v>9783662626344</v>
      </c>
      <c r="D2066" t="str">
        <f>"9783662626351"</f>
        <v>9783662626351</v>
      </c>
      <c r="E2066" t="s">
        <v>5118</v>
      </c>
      <c r="F2066" t="s">
        <v>5118</v>
      </c>
      <c r="G2066" s="1">
        <v>44219</v>
      </c>
      <c r="H2066" s="1">
        <v>44224</v>
      </c>
      <c r="I2066" t="s">
        <v>189</v>
      </c>
      <c r="L2066" t="s">
        <v>5748</v>
      </c>
      <c r="M2066" t="s">
        <v>578</v>
      </c>
      <c r="N2066" t="s">
        <v>5749</v>
      </c>
      <c r="Q2066" t="s">
        <v>408</v>
      </c>
      <c r="R2066" t="s">
        <v>261</v>
      </c>
      <c r="S2066" t="s">
        <v>261</v>
      </c>
      <c r="T2066" t="s">
        <v>261</v>
      </c>
      <c r="U2066" t="s">
        <v>262</v>
      </c>
      <c r="V2066" t="s">
        <v>262</v>
      </c>
      <c r="W2066" t="s">
        <v>261</v>
      </c>
      <c r="X2066" t="s">
        <v>261</v>
      </c>
      <c r="Y2066" t="s">
        <v>261</v>
      </c>
      <c r="Z2066" t="s">
        <v>409</v>
      </c>
      <c r="AA2066" t="s">
        <v>409</v>
      </c>
      <c r="AB2066" t="s">
        <v>409</v>
      </c>
      <c r="AC2066" t="s">
        <v>409</v>
      </c>
      <c r="AD2066" t="s">
        <v>261</v>
      </c>
      <c r="AH2066" t="s">
        <v>262</v>
      </c>
      <c r="AI2066" t="s">
        <v>262</v>
      </c>
      <c r="AJ2066" t="s">
        <v>261</v>
      </c>
      <c r="AK2066" t="s">
        <v>261</v>
      </c>
      <c r="AM2066" t="s">
        <v>262</v>
      </c>
      <c r="AN2066" t="s">
        <v>5750</v>
      </c>
    </row>
    <row r="2067" spans="1:40" x14ac:dyDescent="0.35">
      <c r="A2067">
        <v>6462031</v>
      </c>
      <c r="B2067" t="s">
        <v>5751</v>
      </c>
      <c r="C2067" t="str">
        <f>"9783658324100"</f>
        <v>9783658324100</v>
      </c>
      <c r="D2067" t="str">
        <f>"9783658324117"</f>
        <v>9783658324117</v>
      </c>
      <c r="E2067" t="s">
        <v>3972</v>
      </c>
      <c r="F2067" t="s">
        <v>3998</v>
      </c>
      <c r="G2067" s="1">
        <v>44220</v>
      </c>
      <c r="H2067" s="1">
        <v>44222</v>
      </c>
      <c r="I2067" t="s">
        <v>189</v>
      </c>
      <c r="L2067" t="s">
        <v>5752</v>
      </c>
      <c r="M2067" t="s">
        <v>323</v>
      </c>
      <c r="N2067" t="s">
        <v>5339</v>
      </c>
      <c r="Q2067" t="s">
        <v>408</v>
      </c>
      <c r="R2067" t="s">
        <v>261</v>
      </c>
      <c r="S2067" t="s">
        <v>261</v>
      </c>
      <c r="T2067" t="s">
        <v>261</v>
      </c>
      <c r="U2067" t="s">
        <v>262</v>
      </c>
      <c r="V2067" t="s">
        <v>262</v>
      </c>
      <c r="W2067" t="s">
        <v>261</v>
      </c>
      <c r="X2067" t="s">
        <v>261</v>
      </c>
      <c r="Y2067" t="s">
        <v>261</v>
      </c>
      <c r="Z2067" t="s">
        <v>409</v>
      </c>
      <c r="AA2067" t="s">
        <v>409</v>
      </c>
      <c r="AB2067" t="s">
        <v>409</v>
      </c>
      <c r="AC2067" t="s">
        <v>409</v>
      </c>
      <c r="AD2067" t="s">
        <v>261</v>
      </c>
      <c r="AH2067" t="s">
        <v>262</v>
      </c>
      <c r="AI2067" t="s">
        <v>262</v>
      </c>
      <c r="AJ2067" t="s">
        <v>261</v>
      </c>
      <c r="AK2067" t="s">
        <v>261</v>
      </c>
      <c r="AM2067" t="s">
        <v>262</v>
      </c>
      <c r="AN2067" t="s">
        <v>5753</v>
      </c>
    </row>
    <row r="2068" spans="1:40" x14ac:dyDescent="0.35">
      <c r="A2068">
        <v>6462068</v>
      </c>
      <c r="B2068" t="s">
        <v>5754</v>
      </c>
      <c r="C2068" t="str">
        <f>"9783658330422"</f>
        <v>9783658330422</v>
      </c>
      <c r="D2068" t="str">
        <f>"9783658330439"</f>
        <v>9783658330439</v>
      </c>
      <c r="E2068" t="s">
        <v>3972</v>
      </c>
      <c r="F2068" t="s">
        <v>3998</v>
      </c>
      <c r="G2068" s="1">
        <v>44259</v>
      </c>
      <c r="H2068" s="1">
        <v>44224</v>
      </c>
      <c r="I2068" t="s">
        <v>189</v>
      </c>
      <c r="L2068" t="s">
        <v>5755</v>
      </c>
      <c r="M2068" t="s">
        <v>329</v>
      </c>
      <c r="N2068" t="s">
        <v>4064</v>
      </c>
      <c r="Q2068" t="s">
        <v>408</v>
      </c>
      <c r="R2068" t="s">
        <v>261</v>
      </c>
      <c r="S2068" t="s">
        <v>261</v>
      </c>
      <c r="T2068" t="s">
        <v>261</v>
      </c>
      <c r="U2068" t="s">
        <v>262</v>
      </c>
      <c r="V2068" t="s">
        <v>262</v>
      </c>
      <c r="W2068" t="s">
        <v>261</v>
      </c>
      <c r="X2068" t="s">
        <v>261</v>
      </c>
      <c r="Y2068" t="s">
        <v>261</v>
      </c>
      <c r="Z2068" t="s">
        <v>409</v>
      </c>
      <c r="AA2068" t="s">
        <v>409</v>
      </c>
      <c r="AB2068" t="s">
        <v>409</v>
      </c>
      <c r="AC2068" t="s">
        <v>409</v>
      </c>
      <c r="AD2068" t="s">
        <v>261</v>
      </c>
      <c r="AH2068" t="s">
        <v>262</v>
      </c>
      <c r="AI2068" t="s">
        <v>262</v>
      </c>
      <c r="AJ2068" t="s">
        <v>261</v>
      </c>
      <c r="AK2068" t="s">
        <v>261</v>
      </c>
      <c r="AM2068" t="s">
        <v>262</v>
      </c>
      <c r="AN2068" t="s">
        <v>5756</v>
      </c>
    </row>
    <row r="2069" spans="1:40" x14ac:dyDescent="0.35">
      <c r="A2069">
        <v>6462400</v>
      </c>
      <c r="B2069" t="s">
        <v>5757</v>
      </c>
      <c r="C2069" t="str">
        <f>""</f>
        <v/>
      </c>
      <c r="D2069" t="str">
        <f>"9789179297787"</f>
        <v>9789179297787</v>
      </c>
      <c r="E2069" t="s">
        <v>3642</v>
      </c>
      <c r="F2069" t="s">
        <v>3642</v>
      </c>
      <c r="G2069" s="1">
        <v>44218</v>
      </c>
      <c r="H2069" s="1">
        <v>44221</v>
      </c>
      <c r="I2069" t="s">
        <v>189</v>
      </c>
      <c r="J2069">
        <v>1</v>
      </c>
      <c r="L2069" t="s">
        <v>5758</v>
      </c>
      <c r="Q2069" t="s">
        <v>3775</v>
      </c>
      <c r="R2069" t="s">
        <v>261</v>
      </c>
      <c r="S2069" t="s">
        <v>261</v>
      </c>
      <c r="T2069" t="s">
        <v>261</v>
      </c>
      <c r="U2069" t="s">
        <v>261</v>
      </c>
      <c r="V2069" t="s">
        <v>262</v>
      </c>
      <c r="W2069" t="s">
        <v>261</v>
      </c>
      <c r="X2069" t="s">
        <v>261</v>
      </c>
      <c r="Y2069" t="s">
        <v>261</v>
      </c>
      <c r="AD2069" t="s">
        <v>261</v>
      </c>
      <c r="AH2069" t="s">
        <v>262</v>
      </c>
      <c r="AI2069" t="s">
        <v>261</v>
      </c>
      <c r="AJ2069" t="s">
        <v>261</v>
      </c>
      <c r="AK2069" t="s">
        <v>261</v>
      </c>
      <c r="AM2069" t="s">
        <v>262</v>
      </c>
      <c r="AN2069" t="s">
        <v>5759</v>
      </c>
    </row>
    <row r="2070" spans="1:40" x14ac:dyDescent="0.35">
      <c r="A2070">
        <v>6462401</v>
      </c>
      <c r="B2070" t="s">
        <v>5760</v>
      </c>
      <c r="C2070" t="str">
        <f>""</f>
        <v/>
      </c>
      <c r="D2070" t="str">
        <f>"9789179297541"</f>
        <v>9789179297541</v>
      </c>
      <c r="E2070" t="s">
        <v>3642</v>
      </c>
      <c r="F2070" t="s">
        <v>3642</v>
      </c>
      <c r="G2070" s="1">
        <v>44217</v>
      </c>
      <c r="H2070" s="1">
        <v>44228</v>
      </c>
      <c r="I2070" t="s">
        <v>189</v>
      </c>
      <c r="J2070">
        <v>1</v>
      </c>
      <c r="L2070" t="s">
        <v>5761</v>
      </c>
      <c r="Q2070" t="s">
        <v>3775</v>
      </c>
      <c r="R2070" t="s">
        <v>261</v>
      </c>
      <c r="S2070" t="s">
        <v>261</v>
      </c>
      <c r="T2070" t="s">
        <v>261</v>
      </c>
      <c r="U2070" t="s">
        <v>261</v>
      </c>
      <c r="V2070" t="s">
        <v>262</v>
      </c>
      <c r="W2070" t="s">
        <v>261</v>
      </c>
      <c r="X2070" t="s">
        <v>261</v>
      </c>
      <c r="Y2070" t="s">
        <v>261</v>
      </c>
      <c r="AD2070" t="s">
        <v>261</v>
      </c>
      <c r="AH2070" t="s">
        <v>262</v>
      </c>
      <c r="AI2070" t="s">
        <v>261</v>
      </c>
      <c r="AJ2070" t="s">
        <v>261</v>
      </c>
      <c r="AK2070" t="s">
        <v>261</v>
      </c>
      <c r="AM2070" t="s">
        <v>262</v>
      </c>
      <c r="AN2070" t="s">
        <v>5762</v>
      </c>
    </row>
    <row r="2071" spans="1:40" x14ac:dyDescent="0.35">
      <c r="A2071">
        <v>6462402</v>
      </c>
      <c r="B2071" t="s">
        <v>5763</v>
      </c>
      <c r="C2071" t="str">
        <f>""</f>
        <v/>
      </c>
      <c r="D2071" t="str">
        <f>"9789179297091"</f>
        <v>9789179297091</v>
      </c>
      <c r="E2071" t="s">
        <v>3642</v>
      </c>
      <c r="F2071" t="s">
        <v>3642</v>
      </c>
      <c r="G2071" s="1">
        <v>44217</v>
      </c>
      <c r="H2071" s="1">
        <v>44221</v>
      </c>
      <c r="I2071" t="s">
        <v>189</v>
      </c>
      <c r="J2071">
        <v>1</v>
      </c>
      <c r="L2071" t="s">
        <v>5764</v>
      </c>
      <c r="Q2071" t="s">
        <v>3775</v>
      </c>
      <c r="R2071" t="s">
        <v>261</v>
      </c>
      <c r="S2071" t="s">
        <v>261</v>
      </c>
      <c r="T2071" t="s">
        <v>261</v>
      </c>
      <c r="U2071" t="s">
        <v>261</v>
      </c>
      <c r="V2071" t="s">
        <v>262</v>
      </c>
      <c r="W2071" t="s">
        <v>261</v>
      </c>
      <c r="X2071" t="s">
        <v>261</v>
      </c>
      <c r="Y2071" t="s">
        <v>261</v>
      </c>
      <c r="AD2071" t="s">
        <v>261</v>
      </c>
      <c r="AH2071" t="s">
        <v>262</v>
      </c>
      <c r="AI2071" t="s">
        <v>261</v>
      </c>
      <c r="AJ2071" t="s">
        <v>261</v>
      </c>
      <c r="AK2071" t="s">
        <v>261</v>
      </c>
      <c r="AM2071" t="s">
        <v>262</v>
      </c>
      <c r="AN2071" t="s">
        <v>5765</v>
      </c>
    </row>
    <row r="2072" spans="1:40" x14ac:dyDescent="0.35">
      <c r="A2072">
        <v>6462403</v>
      </c>
      <c r="B2072" t="s">
        <v>5766</v>
      </c>
      <c r="C2072" t="str">
        <f>""</f>
        <v/>
      </c>
      <c r="D2072" t="str">
        <f>"9789179297145"</f>
        <v>9789179297145</v>
      </c>
      <c r="E2072" t="s">
        <v>3642</v>
      </c>
      <c r="F2072" t="s">
        <v>3642</v>
      </c>
      <c r="G2072" s="1">
        <v>44216</v>
      </c>
      <c r="H2072" s="1">
        <v>44249</v>
      </c>
      <c r="I2072" t="s">
        <v>189</v>
      </c>
      <c r="J2072">
        <v>1</v>
      </c>
      <c r="L2072" t="s">
        <v>5767</v>
      </c>
      <c r="Q2072" t="s">
        <v>3775</v>
      </c>
      <c r="R2072" t="s">
        <v>261</v>
      </c>
      <c r="S2072" t="s">
        <v>261</v>
      </c>
      <c r="T2072" t="s">
        <v>261</v>
      </c>
      <c r="U2072" t="s">
        <v>261</v>
      </c>
      <c r="V2072" t="s">
        <v>262</v>
      </c>
      <c r="W2072" t="s">
        <v>261</v>
      </c>
      <c r="X2072" t="s">
        <v>261</v>
      </c>
      <c r="Y2072" t="s">
        <v>261</v>
      </c>
      <c r="AD2072" t="s">
        <v>261</v>
      </c>
      <c r="AH2072" t="s">
        <v>262</v>
      </c>
      <c r="AI2072" t="s">
        <v>261</v>
      </c>
      <c r="AJ2072" t="s">
        <v>261</v>
      </c>
      <c r="AK2072" t="s">
        <v>261</v>
      </c>
      <c r="AM2072" t="s">
        <v>262</v>
      </c>
      <c r="AN2072" t="s">
        <v>5768</v>
      </c>
    </row>
    <row r="2073" spans="1:40" x14ac:dyDescent="0.35">
      <c r="A2073">
        <v>6462405</v>
      </c>
      <c r="B2073" t="s">
        <v>5769</v>
      </c>
      <c r="C2073" t="str">
        <f>""</f>
        <v/>
      </c>
      <c r="D2073" t="str">
        <f>"9789179297336"</f>
        <v>9789179297336</v>
      </c>
      <c r="E2073" t="s">
        <v>3642</v>
      </c>
      <c r="F2073" t="s">
        <v>3642</v>
      </c>
      <c r="G2073" s="1">
        <v>44218</v>
      </c>
      <c r="H2073" s="1">
        <v>44221</v>
      </c>
      <c r="I2073" t="s">
        <v>189</v>
      </c>
      <c r="J2073">
        <v>1</v>
      </c>
      <c r="L2073" t="s">
        <v>5770</v>
      </c>
      <c r="Q2073" t="s">
        <v>3775</v>
      </c>
      <c r="R2073" t="s">
        <v>261</v>
      </c>
      <c r="S2073" t="s">
        <v>261</v>
      </c>
      <c r="T2073" t="s">
        <v>261</v>
      </c>
      <c r="U2073" t="s">
        <v>261</v>
      </c>
      <c r="V2073" t="s">
        <v>262</v>
      </c>
      <c r="W2073" t="s">
        <v>261</v>
      </c>
      <c r="X2073" t="s">
        <v>261</v>
      </c>
      <c r="Y2073" t="s">
        <v>261</v>
      </c>
      <c r="AD2073" t="s">
        <v>261</v>
      </c>
      <c r="AH2073" t="s">
        <v>262</v>
      </c>
      <c r="AI2073" t="s">
        <v>261</v>
      </c>
      <c r="AJ2073" t="s">
        <v>261</v>
      </c>
      <c r="AK2073" t="s">
        <v>261</v>
      </c>
      <c r="AM2073" t="s">
        <v>262</v>
      </c>
      <c r="AN2073" t="s">
        <v>5771</v>
      </c>
    </row>
    <row r="2074" spans="1:40" x14ac:dyDescent="0.35">
      <c r="A2074">
        <v>6462406</v>
      </c>
      <c r="B2074" t="s">
        <v>5772</v>
      </c>
      <c r="C2074" t="str">
        <f>""</f>
        <v/>
      </c>
      <c r="D2074" t="str">
        <f>"9789179297084"</f>
        <v>9789179297084</v>
      </c>
      <c r="E2074" t="s">
        <v>3642</v>
      </c>
      <c r="F2074" t="s">
        <v>3642</v>
      </c>
      <c r="G2074" s="1">
        <v>44214</v>
      </c>
      <c r="H2074" s="1">
        <v>44242</v>
      </c>
      <c r="I2074" t="s">
        <v>189</v>
      </c>
      <c r="J2074">
        <v>1</v>
      </c>
      <c r="L2074" t="s">
        <v>5773</v>
      </c>
      <c r="Q2074" t="s">
        <v>3775</v>
      </c>
      <c r="R2074" t="s">
        <v>261</v>
      </c>
      <c r="S2074" t="s">
        <v>261</v>
      </c>
      <c r="T2074" t="s">
        <v>261</v>
      </c>
      <c r="U2074" t="s">
        <v>261</v>
      </c>
      <c r="V2074" t="s">
        <v>262</v>
      </c>
      <c r="W2074" t="s">
        <v>261</v>
      </c>
      <c r="X2074" t="s">
        <v>261</v>
      </c>
      <c r="Y2074" t="s">
        <v>261</v>
      </c>
      <c r="AD2074" t="s">
        <v>261</v>
      </c>
      <c r="AH2074" t="s">
        <v>262</v>
      </c>
      <c r="AI2074" t="s">
        <v>261</v>
      </c>
      <c r="AJ2074" t="s">
        <v>261</v>
      </c>
      <c r="AK2074" t="s">
        <v>261</v>
      </c>
      <c r="AM2074" t="s">
        <v>262</v>
      </c>
      <c r="AN2074" t="s">
        <v>5774</v>
      </c>
    </row>
    <row r="2075" spans="1:40" x14ac:dyDescent="0.35">
      <c r="A2075">
        <v>6462818</v>
      </c>
      <c r="B2075" t="s">
        <v>5775</v>
      </c>
      <c r="C2075" t="str">
        <f>"9781800640337"</f>
        <v>9781800640337</v>
      </c>
      <c r="D2075" t="str">
        <f>"9781800640344"</f>
        <v>9781800640344</v>
      </c>
      <c r="E2075" t="s">
        <v>1807</v>
      </c>
      <c r="F2075" t="s">
        <v>1807</v>
      </c>
      <c r="G2075" s="1">
        <v>44196</v>
      </c>
      <c r="H2075" s="1">
        <v>44222</v>
      </c>
      <c r="I2075" t="s">
        <v>189</v>
      </c>
      <c r="J2075">
        <v>1</v>
      </c>
      <c r="K2075" t="s">
        <v>3667</v>
      </c>
      <c r="L2075" t="s">
        <v>5776</v>
      </c>
      <c r="M2075" t="s">
        <v>676</v>
      </c>
    </row>
    <row r="2076" spans="1:40" x14ac:dyDescent="0.35">
      <c r="A2076">
        <v>6462819</v>
      </c>
      <c r="B2076" t="s">
        <v>5777</v>
      </c>
      <c r="C2076" t="str">
        <f>"9781783749096"</f>
        <v>9781783749096</v>
      </c>
      <c r="D2076" t="str">
        <f>"9781783749102"</f>
        <v>9781783749102</v>
      </c>
      <c r="E2076" t="s">
        <v>1807</v>
      </c>
      <c r="F2076" t="s">
        <v>1807</v>
      </c>
      <c r="G2076" s="1">
        <v>44180</v>
      </c>
      <c r="H2076" s="1">
        <v>44222</v>
      </c>
      <c r="I2076" t="s">
        <v>189</v>
      </c>
      <c r="J2076">
        <v>1</v>
      </c>
      <c r="L2076" t="s">
        <v>5778</v>
      </c>
    </row>
    <row r="2077" spans="1:40" x14ac:dyDescent="0.35">
      <c r="A2077">
        <v>6462820</v>
      </c>
      <c r="B2077" t="s">
        <v>5779</v>
      </c>
      <c r="C2077" t="str">
        <f>"9781783749485"</f>
        <v>9781783749485</v>
      </c>
      <c r="D2077" t="str">
        <f>"9781783749492"</f>
        <v>9781783749492</v>
      </c>
      <c r="E2077" t="s">
        <v>1807</v>
      </c>
      <c r="F2077" t="s">
        <v>1807</v>
      </c>
      <c r="G2077" s="1">
        <v>44043</v>
      </c>
      <c r="H2077" s="1">
        <v>44222</v>
      </c>
      <c r="I2077" t="s">
        <v>189</v>
      </c>
      <c r="J2077">
        <v>1</v>
      </c>
      <c r="K2077" t="s">
        <v>3667</v>
      </c>
      <c r="L2077" t="s">
        <v>3668</v>
      </c>
    </row>
    <row r="2078" spans="1:40" x14ac:dyDescent="0.35">
      <c r="A2078">
        <v>6462821</v>
      </c>
      <c r="B2078" t="s">
        <v>5780</v>
      </c>
      <c r="C2078" t="str">
        <f>"9781800640368"</f>
        <v>9781800640368</v>
      </c>
      <c r="D2078" t="str">
        <f>"9781800640375"</f>
        <v>9781800640375</v>
      </c>
      <c r="E2078" t="s">
        <v>1807</v>
      </c>
      <c r="F2078" t="s">
        <v>1807</v>
      </c>
      <c r="G2078" s="1">
        <v>44162</v>
      </c>
      <c r="H2078" s="1">
        <v>44222</v>
      </c>
      <c r="I2078" t="s">
        <v>189</v>
      </c>
      <c r="J2078">
        <v>1</v>
      </c>
      <c r="L2078" t="s">
        <v>5781</v>
      </c>
    </row>
    <row r="2079" spans="1:40" x14ac:dyDescent="0.35">
      <c r="A2079">
        <v>6463481</v>
      </c>
      <c r="B2079" t="s">
        <v>5782</v>
      </c>
      <c r="C2079" t="str">
        <f>"9783030609092"</f>
        <v>9783030609092</v>
      </c>
      <c r="D2079" t="str">
        <f>"9783030609108"</f>
        <v>9783030609108</v>
      </c>
      <c r="E2079" t="s">
        <v>2289</v>
      </c>
      <c r="F2079" t="s">
        <v>2290</v>
      </c>
      <c r="G2079" s="1">
        <v>44222</v>
      </c>
      <c r="H2079" s="1">
        <v>44224</v>
      </c>
      <c r="I2079" t="s">
        <v>189</v>
      </c>
      <c r="J2079">
        <v>4</v>
      </c>
      <c r="K2079" t="s">
        <v>5450</v>
      </c>
      <c r="L2079" t="s">
        <v>5783</v>
      </c>
      <c r="M2079" t="s">
        <v>847</v>
      </c>
    </row>
    <row r="2080" spans="1:40" x14ac:dyDescent="0.35">
      <c r="A2080">
        <v>6463794</v>
      </c>
      <c r="B2080" t="s">
        <v>5784</v>
      </c>
      <c r="C2080" t="str">
        <f>"9783030486051"</f>
        <v>9783030486051</v>
      </c>
      <c r="D2080" t="str">
        <f>"9783030486068"</f>
        <v>9783030486068</v>
      </c>
      <c r="E2080" t="s">
        <v>2289</v>
      </c>
      <c r="F2080" t="s">
        <v>2290</v>
      </c>
      <c r="G2080" s="1">
        <v>44223</v>
      </c>
      <c r="H2080" s="1">
        <v>44231</v>
      </c>
      <c r="I2080" t="s">
        <v>189</v>
      </c>
      <c r="K2080" t="s">
        <v>5785</v>
      </c>
      <c r="L2080" t="s">
        <v>5786</v>
      </c>
      <c r="M2080" t="s">
        <v>249</v>
      </c>
      <c r="N2080" t="s">
        <v>5787</v>
      </c>
      <c r="Q2080" t="s">
        <v>260</v>
      </c>
      <c r="R2080" t="s">
        <v>261</v>
      </c>
      <c r="S2080" t="s">
        <v>261</v>
      </c>
      <c r="T2080" t="s">
        <v>261</v>
      </c>
      <c r="U2080" t="s">
        <v>261</v>
      </c>
      <c r="V2080" t="s">
        <v>262</v>
      </c>
      <c r="W2080" t="s">
        <v>261</v>
      </c>
      <c r="X2080" t="s">
        <v>261</v>
      </c>
      <c r="Y2080" t="s">
        <v>261</v>
      </c>
      <c r="AA2080" t="s">
        <v>409</v>
      </c>
      <c r="AB2080" t="s">
        <v>409</v>
      </c>
      <c r="AC2080" t="s">
        <v>409</v>
      </c>
      <c r="AD2080" t="s">
        <v>261</v>
      </c>
      <c r="AH2080" t="s">
        <v>262</v>
      </c>
      <c r="AI2080" t="s">
        <v>262</v>
      </c>
      <c r="AJ2080" t="s">
        <v>261</v>
      </c>
      <c r="AK2080" t="s">
        <v>261</v>
      </c>
      <c r="AM2080" t="s">
        <v>262</v>
      </c>
      <c r="AN2080" t="s">
        <v>5788</v>
      </c>
    </row>
    <row r="2081" spans="1:40" x14ac:dyDescent="0.35">
      <c r="A2081">
        <v>6465590</v>
      </c>
      <c r="B2081" t="s">
        <v>5789</v>
      </c>
      <c r="C2081" t="str">
        <f>"9789813343993"</f>
        <v>9789813343993</v>
      </c>
      <c r="D2081" t="str">
        <f>"9789813344006"</f>
        <v>9789813344006</v>
      </c>
      <c r="E2081" t="s">
        <v>3404</v>
      </c>
      <c r="F2081" t="s">
        <v>2290</v>
      </c>
      <c r="G2081" s="1">
        <v>44225</v>
      </c>
      <c r="H2081" s="1">
        <v>44231</v>
      </c>
      <c r="I2081" t="s">
        <v>189</v>
      </c>
      <c r="L2081" t="s">
        <v>5790</v>
      </c>
    </row>
    <row r="2082" spans="1:40" x14ac:dyDescent="0.35">
      <c r="A2082">
        <v>6465591</v>
      </c>
      <c r="B2082" t="s">
        <v>5791</v>
      </c>
      <c r="C2082" t="str">
        <f>"9783030596934"</f>
        <v>9783030596934</v>
      </c>
      <c r="D2082" t="str">
        <f>"9783030596941"</f>
        <v>9783030596941</v>
      </c>
      <c r="E2082" t="s">
        <v>2289</v>
      </c>
      <c r="F2082" t="s">
        <v>2290</v>
      </c>
      <c r="G2082" s="1">
        <v>44225</v>
      </c>
      <c r="H2082" s="1">
        <v>44231</v>
      </c>
      <c r="I2082" t="s">
        <v>189</v>
      </c>
      <c r="L2082" t="s">
        <v>5792</v>
      </c>
    </row>
    <row r="2083" spans="1:40" x14ac:dyDescent="0.35">
      <c r="A2083">
        <v>6465855</v>
      </c>
      <c r="B2083" t="s">
        <v>5793</v>
      </c>
      <c r="C2083" t="str">
        <f>"9783030536961"</f>
        <v>9783030536961</v>
      </c>
      <c r="D2083" t="str">
        <f>"9783030536978"</f>
        <v>9783030536978</v>
      </c>
      <c r="E2083" t="s">
        <v>2289</v>
      </c>
      <c r="F2083" t="s">
        <v>2663</v>
      </c>
      <c r="G2083" s="1">
        <v>44226</v>
      </c>
      <c r="H2083" s="1">
        <v>44231</v>
      </c>
      <c r="I2083" t="s">
        <v>189</v>
      </c>
      <c r="K2083" t="s">
        <v>5794</v>
      </c>
      <c r="L2083" t="s">
        <v>5795</v>
      </c>
    </row>
    <row r="2084" spans="1:40" x14ac:dyDescent="0.35">
      <c r="A2084">
        <v>6465856</v>
      </c>
      <c r="B2084" t="s">
        <v>5796</v>
      </c>
      <c r="C2084" t="str">
        <f>"9783030542597"</f>
        <v>9783030542597</v>
      </c>
      <c r="D2084" t="str">
        <f>"9783030542603"</f>
        <v>9783030542603</v>
      </c>
      <c r="E2084" t="s">
        <v>2289</v>
      </c>
      <c r="F2084" t="s">
        <v>2290</v>
      </c>
      <c r="G2084" s="1">
        <v>44227</v>
      </c>
      <c r="H2084" s="1">
        <v>44231</v>
      </c>
      <c r="I2084" t="s">
        <v>189</v>
      </c>
      <c r="K2084" t="s">
        <v>5797</v>
      </c>
      <c r="L2084" t="s">
        <v>5798</v>
      </c>
    </row>
    <row r="2085" spans="1:40" x14ac:dyDescent="0.35">
      <c r="A2085">
        <v>6465857</v>
      </c>
      <c r="B2085" t="s">
        <v>5799</v>
      </c>
      <c r="C2085" t="str">
        <f>"9783030553951"</f>
        <v>9783030553951</v>
      </c>
      <c r="D2085" t="str">
        <f>"9783030553968"</f>
        <v>9783030553968</v>
      </c>
      <c r="E2085" t="s">
        <v>2289</v>
      </c>
      <c r="F2085" t="s">
        <v>2290</v>
      </c>
      <c r="G2085" s="1">
        <v>44226</v>
      </c>
      <c r="H2085" s="1">
        <v>44231</v>
      </c>
      <c r="I2085" t="s">
        <v>189</v>
      </c>
      <c r="L2085" t="s">
        <v>4885</v>
      </c>
    </row>
    <row r="2086" spans="1:40" x14ac:dyDescent="0.35">
      <c r="A2086">
        <v>6465859</v>
      </c>
      <c r="B2086" t="s">
        <v>5800</v>
      </c>
      <c r="C2086" t="str">
        <f>"9789811586316"</f>
        <v>9789811586316</v>
      </c>
      <c r="D2086" t="str">
        <f>"9789811586323"</f>
        <v>9789811586323</v>
      </c>
      <c r="E2086" t="s">
        <v>2290</v>
      </c>
      <c r="F2086" t="s">
        <v>2290</v>
      </c>
      <c r="G2086" s="1">
        <v>44226</v>
      </c>
      <c r="H2086" s="1">
        <v>44231</v>
      </c>
      <c r="I2086" t="s">
        <v>189</v>
      </c>
      <c r="L2086" t="s">
        <v>5801</v>
      </c>
      <c r="M2086" t="s">
        <v>535</v>
      </c>
    </row>
    <row r="2087" spans="1:40" x14ac:dyDescent="0.35">
      <c r="A2087">
        <v>6466070</v>
      </c>
      <c r="B2087" t="s">
        <v>5802</v>
      </c>
      <c r="C2087" t="str">
        <f>""</f>
        <v/>
      </c>
      <c r="D2087" t="str">
        <f>"9789179297008"</f>
        <v>9789179297008</v>
      </c>
      <c r="E2087" t="s">
        <v>3642</v>
      </c>
      <c r="F2087" t="s">
        <v>3642</v>
      </c>
      <c r="G2087" s="1">
        <v>44223</v>
      </c>
      <c r="H2087" s="1">
        <v>44235</v>
      </c>
      <c r="I2087" t="s">
        <v>189</v>
      </c>
      <c r="J2087">
        <v>1</v>
      </c>
      <c r="L2087" t="s">
        <v>5803</v>
      </c>
      <c r="Q2087" t="s">
        <v>260</v>
      </c>
      <c r="R2087" t="s">
        <v>261</v>
      </c>
      <c r="S2087" t="s">
        <v>261</v>
      </c>
      <c r="T2087" t="s">
        <v>261</v>
      </c>
      <c r="U2087" t="s">
        <v>261</v>
      </c>
      <c r="V2087" t="s">
        <v>262</v>
      </c>
      <c r="W2087" t="s">
        <v>261</v>
      </c>
      <c r="X2087" t="s">
        <v>261</v>
      </c>
      <c r="Y2087" t="s">
        <v>261</v>
      </c>
      <c r="AD2087" t="s">
        <v>261</v>
      </c>
      <c r="AH2087" t="s">
        <v>262</v>
      </c>
      <c r="AI2087" t="s">
        <v>261</v>
      </c>
      <c r="AJ2087" t="s">
        <v>261</v>
      </c>
      <c r="AK2087" t="s">
        <v>261</v>
      </c>
      <c r="AM2087" t="s">
        <v>262</v>
      </c>
      <c r="AN2087" t="s">
        <v>5804</v>
      </c>
    </row>
    <row r="2088" spans="1:40" x14ac:dyDescent="0.35">
      <c r="A2088">
        <v>6466071</v>
      </c>
      <c r="B2088" t="s">
        <v>5805</v>
      </c>
      <c r="C2088" t="str">
        <f>""</f>
        <v/>
      </c>
      <c r="D2088" t="str">
        <f>"9789179297183"</f>
        <v>9789179297183</v>
      </c>
      <c r="E2088" t="s">
        <v>3642</v>
      </c>
      <c r="F2088" t="s">
        <v>3642</v>
      </c>
      <c r="G2088" s="1">
        <v>44201</v>
      </c>
      <c r="H2088" s="1">
        <v>44228</v>
      </c>
      <c r="I2088" t="s">
        <v>189</v>
      </c>
      <c r="J2088">
        <v>1</v>
      </c>
      <c r="L2088" t="s">
        <v>5806</v>
      </c>
      <c r="Q2088" t="s">
        <v>260</v>
      </c>
      <c r="R2088" t="s">
        <v>261</v>
      </c>
      <c r="S2088" t="s">
        <v>261</v>
      </c>
      <c r="T2088" t="s">
        <v>261</v>
      </c>
      <c r="U2088" t="s">
        <v>261</v>
      </c>
      <c r="V2088" t="s">
        <v>262</v>
      </c>
      <c r="W2088" t="s">
        <v>261</v>
      </c>
      <c r="X2088" t="s">
        <v>261</v>
      </c>
      <c r="Y2088" t="s">
        <v>261</v>
      </c>
      <c r="AD2088" t="s">
        <v>261</v>
      </c>
      <c r="AH2088" t="s">
        <v>262</v>
      </c>
      <c r="AI2088" t="s">
        <v>261</v>
      </c>
      <c r="AJ2088" t="s">
        <v>261</v>
      </c>
      <c r="AK2088" t="s">
        <v>261</v>
      </c>
      <c r="AM2088" t="s">
        <v>262</v>
      </c>
      <c r="AN2088" t="s">
        <v>5807</v>
      </c>
    </row>
    <row r="2089" spans="1:40" x14ac:dyDescent="0.35">
      <c r="A2089">
        <v>6466935</v>
      </c>
      <c r="B2089" t="s">
        <v>5808</v>
      </c>
      <c r="C2089" t="str">
        <f>"9789811588471"</f>
        <v>9789811588471</v>
      </c>
      <c r="D2089" t="str">
        <f>"9789811588488"</f>
        <v>9789811588488</v>
      </c>
      <c r="E2089" t="s">
        <v>3404</v>
      </c>
      <c r="F2089" t="s">
        <v>2290</v>
      </c>
      <c r="G2089" s="1">
        <v>44229</v>
      </c>
      <c r="H2089" s="1">
        <v>44231</v>
      </c>
      <c r="I2089" t="s">
        <v>189</v>
      </c>
      <c r="K2089" t="s">
        <v>5809</v>
      </c>
      <c r="L2089" t="s">
        <v>5810</v>
      </c>
    </row>
    <row r="2090" spans="1:40" x14ac:dyDescent="0.35">
      <c r="A2090">
        <v>6466936</v>
      </c>
      <c r="B2090" t="s">
        <v>5811</v>
      </c>
      <c r="C2090" t="str">
        <f>"9783030453664"</f>
        <v>9783030453664</v>
      </c>
      <c r="D2090" t="str">
        <f>"9783030453671"</f>
        <v>9783030453671</v>
      </c>
      <c r="E2090" t="s">
        <v>2289</v>
      </c>
      <c r="F2090" t="s">
        <v>2290</v>
      </c>
      <c r="G2090" s="1">
        <v>44229</v>
      </c>
      <c r="H2090" s="1">
        <v>44231</v>
      </c>
      <c r="I2090" t="s">
        <v>189</v>
      </c>
      <c r="L2090" t="s">
        <v>5812</v>
      </c>
    </row>
    <row r="2091" spans="1:40" x14ac:dyDescent="0.35">
      <c r="A2091">
        <v>6473547</v>
      </c>
      <c r="B2091" t="s">
        <v>5813</v>
      </c>
      <c r="C2091" t="str">
        <f>""</f>
        <v/>
      </c>
      <c r="D2091" t="str">
        <f>"9789179297473"</f>
        <v>9789179297473</v>
      </c>
      <c r="E2091" t="s">
        <v>3642</v>
      </c>
      <c r="F2091" t="s">
        <v>3642</v>
      </c>
      <c r="G2091" s="1">
        <v>44231</v>
      </c>
      <c r="H2091" s="1">
        <v>44242</v>
      </c>
      <c r="I2091" t="s">
        <v>189</v>
      </c>
      <c r="J2091">
        <v>1</v>
      </c>
      <c r="L2091" t="s">
        <v>5814</v>
      </c>
      <c r="Q2091" t="s">
        <v>260</v>
      </c>
      <c r="R2091" t="s">
        <v>261</v>
      </c>
      <c r="S2091" t="s">
        <v>261</v>
      </c>
      <c r="T2091" t="s">
        <v>261</v>
      </c>
      <c r="U2091" t="s">
        <v>261</v>
      </c>
      <c r="V2091" t="s">
        <v>262</v>
      </c>
      <c r="W2091" t="s">
        <v>261</v>
      </c>
      <c r="X2091" t="s">
        <v>261</v>
      </c>
      <c r="Y2091" t="s">
        <v>261</v>
      </c>
      <c r="AD2091" t="s">
        <v>261</v>
      </c>
      <c r="AH2091" t="s">
        <v>262</v>
      </c>
      <c r="AI2091" t="s">
        <v>261</v>
      </c>
      <c r="AJ2091" t="s">
        <v>261</v>
      </c>
      <c r="AK2091" t="s">
        <v>261</v>
      </c>
      <c r="AM2091" t="s">
        <v>262</v>
      </c>
      <c r="AN2091" t="s">
        <v>5815</v>
      </c>
    </row>
    <row r="2092" spans="1:40" x14ac:dyDescent="0.35">
      <c r="A2092">
        <v>6473548</v>
      </c>
      <c r="B2092" t="s">
        <v>5816</v>
      </c>
      <c r="C2092" t="str">
        <f>""</f>
        <v/>
      </c>
      <c r="D2092" t="str">
        <f>"9789179297510"</f>
        <v>9789179297510</v>
      </c>
      <c r="E2092" t="s">
        <v>3642</v>
      </c>
      <c r="F2092" t="s">
        <v>3642</v>
      </c>
      <c r="G2092" s="1">
        <v>44231</v>
      </c>
      <c r="H2092" s="1">
        <v>44235</v>
      </c>
      <c r="I2092" t="s">
        <v>189</v>
      </c>
      <c r="J2092">
        <v>1</v>
      </c>
      <c r="L2092" t="s">
        <v>5817</v>
      </c>
      <c r="Q2092" t="s">
        <v>260</v>
      </c>
      <c r="R2092" t="s">
        <v>261</v>
      </c>
      <c r="S2092" t="s">
        <v>261</v>
      </c>
      <c r="T2092" t="s">
        <v>261</v>
      </c>
      <c r="U2092" t="s">
        <v>261</v>
      </c>
      <c r="V2092" t="s">
        <v>262</v>
      </c>
      <c r="W2092" t="s">
        <v>261</v>
      </c>
      <c r="X2092" t="s">
        <v>261</v>
      </c>
      <c r="Y2092" t="s">
        <v>261</v>
      </c>
      <c r="AD2092" t="s">
        <v>261</v>
      </c>
      <c r="AH2092" t="s">
        <v>262</v>
      </c>
      <c r="AI2092" t="s">
        <v>261</v>
      </c>
      <c r="AJ2092" t="s">
        <v>261</v>
      </c>
      <c r="AK2092" t="s">
        <v>261</v>
      </c>
      <c r="AM2092" t="s">
        <v>262</v>
      </c>
      <c r="AN2092" t="s">
        <v>5818</v>
      </c>
    </row>
    <row r="2093" spans="1:40" x14ac:dyDescent="0.35">
      <c r="A2093">
        <v>6473956</v>
      </c>
      <c r="B2093" t="s">
        <v>5819</v>
      </c>
      <c r="C2093" t="str">
        <f>"9783030555665"</f>
        <v>9783030555665</v>
      </c>
      <c r="D2093" t="str">
        <f>"9783030555672"</f>
        <v>9783030555672</v>
      </c>
      <c r="E2093" t="s">
        <v>2289</v>
      </c>
      <c r="F2093" t="s">
        <v>2663</v>
      </c>
      <c r="G2093" s="1">
        <v>44236</v>
      </c>
      <c r="H2093" s="1">
        <v>44315</v>
      </c>
      <c r="I2093" t="s">
        <v>189</v>
      </c>
      <c r="L2093" t="s">
        <v>5820</v>
      </c>
    </row>
    <row r="2094" spans="1:40" x14ac:dyDescent="0.35">
      <c r="A2094">
        <v>6473957</v>
      </c>
      <c r="B2094" t="s">
        <v>5821</v>
      </c>
      <c r="C2094" t="str">
        <f>"9783658317348"</f>
        <v>9783658317348</v>
      </c>
      <c r="D2094" t="str">
        <f>"9783658317355"</f>
        <v>9783658317355</v>
      </c>
      <c r="E2094" t="s">
        <v>3972</v>
      </c>
      <c r="F2094" t="s">
        <v>3972</v>
      </c>
      <c r="G2094" s="1">
        <v>44236</v>
      </c>
      <c r="H2094" s="1">
        <v>44315</v>
      </c>
      <c r="I2094" t="s">
        <v>189</v>
      </c>
      <c r="L2094" t="s">
        <v>5089</v>
      </c>
    </row>
    <row r="2095" spans="1:40" x14ac:dyDescent="0.35">
      <c r="A2095">
        <v>6475818</v>
      </c>
      <c r="B2095" t="s">
        <v>5822</v>
      </c>
      <c r="C2095" t="str">
        <f>"9783030577636"</f>
        <v>9783030577636</v>
      </c>
      <c r="D2095" t="str">
        <f>"9783030577643"</f>
        <v>9783030577643</v>
      </c>
      <c r="E2095" t="s">
        <v>2289</v>
      </c>
      <c r="F2095" t="s">
        <v>2290</v>
      </c>
      <c r="G2095" s="1">
        <v>44237</v>
      </c>
      <c r="H2095" s="1">
        <v>44315</v>
      </c>
      <c r="I2095" t="s">
        <v>189</v>
      </c>
      <c r="K2095" t="s">
        <v>5087</v>
      </c>
      <c r="L2095" t="s">
        <v>5823</v>
      </c>
    </row>
    <row r="2096" spans="1:40" x14ac:dyDescent="0.35">
      <c r="A2096">
        <v>6475844</v>
      </c>
      <c r="B2096" t="s">
        <v>5824</v>
      </c>
      <c r="C2096" t="str">
        <f>"9781783749768"</f>
        <v>9781783749768</v>
      </c>
      <c r="D2096" t="str">
        <f>"9781783749775"</f>
        <v>9781783749775</v>
      </c>
      <c r="E2096" t="s">
        <v>1807</v>
      </c>
      <c r="F2096" t="s">
        <v>1807</v>
      </c>
      <c r="G2096" s="1">
        <v>44244</v>
      </c>
      <c r="H2096" s="1">
        <v>44238</v>
      </c>
      <c r="I2096" t="s">
        <v>189</v>
      </c>
      <c r="J2096">
        <v>1</v>
      </c>
      <c r="L2096" t="s">
        <v>5825</v>
      </c>
    </row>
    <row r="2097" spans="1:40" x14ac:dyDescent="0.35">
      <c r="A2097">
        <v>6476011</v>
      </c>
      <c r="B2097" t="s">
        <v>5826</v>
      </c>
      <c r="C2097" t="str">
        <f>"9783030525873"</f>
        <v>9783030525873</v>
      </c>
      <c r="D2097" t="str">
        <f>"9783030525880"</f>
        <v>9783030525880</v>
      </c>
      <c r="E2097" t="s">
        <v>2289</v>
      </c>
      <c r="F2097" t="s">
        <v>2290</v>
      </c>
      <c r="G2097" s="1">
        <v>44236</v>
      </c>
      <c r="H2097" s="1">
        <v>44315</v>
      </c>
      <c r="I2097" t="s">
        <v>189</v>
      </c>
      <c r="L2097" t="s">
        <v>5827</v>
      </c>
    </row>
    <row r="2098" spans="1:40" x14ac:dyDescent="0.35">
      <c r="A2098">
        <v>6476019</v>
      </c>
      <c r="B2098" t="s">
        <v>5828</v>
      </c>
      <c r="C2098" t="str">
        <f>"9789813341258"</f>
        <v>9789813341258</v>
      </c>
      <c r="D2098" t="str">
        <f>"9789813341265"</f>
        <v>9789813341265</v>
      </c>
      <c r="E2098" t="s">
        <v>3404</v>
      </c>
      <c r="F2098" t="s">
        <v>2290</v>
      </c>
      <c r="G2098" s="1">
        <v>44236</v>
      </c>
      <c r="H2098" s="1">
        <v>44315</v>
      </c>
      <c r="I2098" t="s">
        <v>189</v>
      </c>
      <c r="K2098" t="s">
        <v>5829</v>
      </c>
      <c r="L2098" t="s">
        <v>5830</v>
      </c>
    </row>
    <row r="2099" spans="1:40" x14ac:dyDescent="0.35">
      <c r="A2099">
        <v>6476601</v>
      </c>
      <c r="B2099" t="s">
        <v>5831</v>
      </c>
      <c r="C2099" t="str">
        <f>"9783030576684"</f>
        <v>9783030576684</v>
      </c>
      <c r="D2099" t="str">
        <f>"9783030576691"</f>
        <v>9783030576691</v>
      </c>
      <c r="E2099" t="s">
        <v>2289</v>
      </c>
      <c r="F2099" t="s">
        <v>2663</v>
      </c>
      <c r="G2099" s="1">
        <v>44238</v>
      </c>
      <c r="H2099" s="1">
        <v>44315</v>
      </c>
      <c r="I2099" t="s">
        <v>189</v>
      </c>
      <c r="K2099" t="s">
        <v>5832</v>
      </c>
      <c r="L2099" t="s">
        <v>5833</v>
      </c>
    </row>
    <row r="2100" spans="1:40" x14ac:dyDescent="0.35">
      <c r="A2100">
        <v>6476602</v>
      </c>
      <c r="B2100" t="s">
        <v>5834</v>
      </c>
      <c r="C2100" t="str">
        <f>"9783658321055"</f>
        <v>9783658321055</v>
      </c>
      <c r="D2100" t="str">
        <f>"9783658321062"</f>
        <v>9783658321062</v>
      </c>
      <c r="E2100" t="s">
        <v>3972</v>
      </c>
      <c r="F2100" t="s">
        <v>3998</v>
      </c>
      <c r="G2100" s="1">
        <v>44239</v>
      </c>
      <c r="H2100" s="1">
        <v>44315</v>
      </c>
      <c r="I2100" t="s">
        <v>189</v>
      </c>
      <c r="L2100" t="s">
        <v>5835</v>
      </c>
      <c r="M2100" t="s">
        <v>210</v>
      </c>
      <c r="N2100" t="s">
        <v>5836</v>
      </c>
      <c r="Q2100" t="s">
        <v>408</v>
      </c>
      <c r="R2100" t="s">
        <v>261</v>
      </c>
      <c r="S2100" t="s">
        <v>261</v>
      </c>
      <c r="T2100" t="s">
        <v>261</v>
      </c>
      <c r="U2100" t="s">
        <v>262</v>
      </c>
      <c r="V2100" t="s">
        <v>262</v>
      </c>
      <c r="W2100" t="s">
        <v>261</v>
      </c>
      <c r="X2100" t="s">
        <v>261</v>
      </c>
      <c r="Y2100" t="s">
        <v>261</v>
      </c>
      <c r="Z2100" t="s">
        <v>409</v>
      </c>
      <c r="AA2100" t="s">
        <v>409</v>
      </c>
      <c r="AB2100" t="s">
        <v>409</v>
      </c>
      <c r="AC2100" t="s">
        <v>409</v>
      </c>
      <c r="AD2100" t="s">
        <v>261</v>
      </c>
      <c r="AH2100" t="s">
        <v>262</v>
      </c>
      <c r="AI2100" t="s">
        <v>262</v>
      </c>
      <c r="AJ2100" t="s">
        <v>261</v>
      </c>
      <c r="AK2100" t="s">
        <v>261</v>
      </c>
      <c r="AM2100" t="s">
        <v>262</v>
      </c>
      <c r="AN2100" t="s">
        <v>5837</v>
      </c>
    </row>
    <row r="2101" spans="1:40" x14ac:dyDescent="0.35">
      <c r="A2101">
        <v>6478284</v>
      </c>
      <c r="B2101" t="s">
        <v>5838</v>
      </c>
      <c r="C2101" t="str">
        <f>"9783030562144"</f>
        <v>9783030562144</v>
      </c>
      <c r="D2101" t="str">
        <f>"9783030562151"</f>
        <v>9783030562151</v>
      </c>
      <c r="E2101" t="s">
        <v>2289</v>
      </c>
      <c r="F2101" t="s">
        <v>2290</v>
      </c>
      <c r="G2101" s="1">
        <v>44238</v>
      </c>
      <c r="H2101" s="1">
        <v>44315</v>
      </c>
      <c r="I2101" t="s">
        <v>189</v>
      </c>
      <c r="K2101" t="s">
        <v>5839</v>
      </c>
      <c r="L2101" t="s">
        <v>5840</v>
      </c>
    </row>
    <row r="2102" spans="1:40" x14ac:dyDescent="0.35">
      <c r="A2102">
        <v>6478465</v>
      </c>
      <c r="B2102" t="s">
        <v>5841</v>
      </c>
      <c r="C2102" t="str">
        <f>"9783030541729"</f>
        <v>9783030541729</v>
      </c>
      <c r="D2102" t="str">
        <f>"9783030541736"</f>
        <v>9783030541736</v>
      </c>
      <c r="E2102" t="s">
        <v>2289</v>
      </c>
      <c r="F2102" t="s">
        <v>2290</v>
      </c>
      <c r="G2102" s="1">
        <v>44240</v>
      </c>
      <c r="H2102" s="1">
        <v>44315</v>
      </c>
      <c r="I2102" t="s">
        <v>189</v>
      </c>
      <c r="L2102" t="s">
        <v>70</v>
      </c>
    </row>
    <row r="2103" spans="1:40" x14ac:dyDescent="0.35">
      <c r="A2103">
        <v>6478541</v>
      </c>
      <c r="B2103" t="s">
        <v>5842</v>
      </c>
      <c r="C2103" t="str">
        <f>""</f>
        <v/>
      </c>
      <c r="D2103" t="str">
        <f>"9789179297305"</f>
        <v>9789179297305</v>
      </c>
      <c r="E2103" t="s">
        <v>3642</v>
      </c>
      <c r="F2103" t="s">
        <v>3642</v>
      </c>
      <c r="G2103" s="1">
        <v>44235</v>
      </c>
      <c r="H2103" s="1">
        <v>44242</v>
      </c>
      <c r="I2103" t="s">
        <v>189</v>
      </c>
      <c r="J2103">
        <v>1</v>
      </c>
      <c r="L2103" t="s">
        <v>5843</v>
      </c>
      <c r="Q2103" t="s">
        <v>260</v>
      </c>
      <c r="R2103" t="s">
        <v>261</v>
      </c>
      <c r="S2103" t="s">
        <v>261</v>
      </c>
      <c r="T2103" t="s">
        <v>261</v>
      </c>
      <c r="U2103" t="s">
        <v>261</v>
      </c>
      <c r="V2103" t="s">
        <v>262</v>
      </c>
      <c r="W2103" t="s">
        <v>261</v>
      </c>
      <c r="X2103" t="s">
        <v>261</v>
      </c>
      <c r="Y2103" t="s">
        <v>261</v>
      </c>
      <c r="AD2103" t="s">
        <v>261</v>
      </c>
      <c r="AH2103" t="s">
        <v>262</v>
      </c>
      <c r="AI2103" t="s">
        <v>261</v>
      </c>
      <c r="AJ2103" t="s">
        <v>261</v>
      </c>
      <c r="AK2103" t="s">
        <v>261</v>
      </c>
      <c r="AM2103" t="s">
        <v>262</v>
      </c>
      <c r="AN2103" t="s">
        <v>5844</v>
      </c>
    </row>
    <row r="2104" spans="1:40" x14ac:dyDescent="0.35">
      <c r="A2104">
        <v>6478542</v>
      </c>
      <c r="B2104" t="s">
        <v>5845</v>
      </c>
      <c r="C2104" t="str">
        <f>""</f>
        <v/>
      </c>
      <c r="D2104" t="str">
        <f>"9789179296957"</f>
        <v>9789179296957</v>
      </c>
      <c r="E2104" t="s">
        <v>3642</v>
      </c>
      <c r="F2104" t="s">
        <v>3642</v>
      </c>
      <c r="G2104" s="1">
        <v>44238</v>
      </c>
      <c r="H2104" s="1">
        <v>44249</v>
      </c>
      <c r="I2104" t="s">
        <v>189</v>
      </c>
      <c r="J2104">
        <v>1</v>
      </c>
      <c r="L2104" t="s">
        <v>5846</v>
      </c>
      <c r="Q2104" t="s">
        <v>260</v>
      </c>
      <c r="R2104" t="s">
        <v>261</v>
      </c>
      <c r="S2104" t="s">
        <v>261</v>
      </c>
      <c r="T2104" t="s">
        <v>261</v>
      </c>
      <c r="U2104" t="s">
        <v>261</v>
      </c>
      <c r="V2104" t="s">
        <v>262</v>
      </c>
      <c r="W2104" t="s">
        <v>261</v>
      </c>
      <c r="X2104" t="s">
        <v>261</v>
      </c>
      <c r="Y2104" t="s">
        <v>261</v>
      </c>
      <c r="AD2104" t="s">
        <v>261</v>
      </c>
      <c r="AH2104" t="s">
        <v>262</v>
      </c>
      <c r="AI2104" t="s">
        <v>261</v>
      </c>
      <c r="AJ2104" t="s">
        <v>261</v>
      </c>
      <c r="AK2104" t="s">
        <v>261</v>
      </c>
      <c r="AM2104" t="s">
        <v>262</v>
      </c>
      <c r="AN2104" t="s">
        <v>5847</v>
      </c>
    </row>
    <row r="2105" spans="1:40" x14ac:dyDescent="0.35">
      <c r="A2105">
        <v>6478860</v>
      </c>
      <c r="B2105" t="s">
        <v>5848</v>
      </c>
      <c r="C2105" t="str">
        <f>"9781783747184"</f>
        <v>9781783747184</v>
      </c>
      <c r="D2105" t="str">
        <f>"9781783747191"</f>
        <v>9781783747191</v>
      </c>
      <c r="E2105" t="s">
        <v>1807</v>
      </c>
      <c r="F2105" t="s">
        <v>1807</v>
      </c>
      <c r="G2105" s="1">
        <v>43780</v>
      </c>
      <c r="H2105" s="1">
        <v>44246</v>
      </c>
      <c r="I2105" t="s">
        <v>189</v>
      </c>
      <c r="J2105">
        <v>1</v>
      </c>
      <c r="L2105" t="s">
        <v>5849</v>
      </c>
      <c r="M2105" t="s">
        <v>329</v>
      </c>
      <c r="Q2105" t="s">
        <v>260</v>
      </c>
      <c r="R2105" t="s">
        <v>261</v>
      </c>
      <c r="S2105" t="s">
        <v>261</v>
      </c>
      <c r="T2105" t="s">
        <v>261</v>
      </c>
      <c r="U2105" t="s">
        <v>261</v>
      </c>
      <c r="V2105" t="s">
        <v>262</v>
      </c>
      <c r="W2105" t="s">
        <v>261</v>
      </c>
      <c r="X2105" t="s">
        <v>261</v>
      </c>
      <c r="Y2105" t="s">
        <v>261</v>
      </c>
      <c r="Z2105" t="s">
        <v>409</v>
      </c>
      <c r="AA2105" t="s">
        <v>409</v>
      </c>
      <c r="AB2105" t="s">
        <v>409</v>
      </c>
      <c r="AC2105" t="s">
        <v>409</v>
      </c>
      <c r="AD2105" t="s">
        <v>262</v>
      </c>
      <c r="AH2105" t="s">
        <v>262</v>
      </c>
      <c r="AI2105" t="s">
        <v>262</v>
      </c>
      <c r="AJ2105" t="s">
        <v>261</v>
      </c>
      <c r="AK2105" t="s">
        <v>261</v>
      </c>
      <c r="AM2105" t="s">
        <v>262</v>
      </c>
      <c r="AN2105" t="s">
        <v>5850</v>
      </c>
    </row>
    <row r="2106" spans="1:40" x14ac:dyDescent="0.35">
      <c r="A2106">
        <v>6478895</v>
      </c>
      <c r="B2106" t="s">
        <v>5851</v>
      </c>
      <c r="C2106" t="str">
        <f>"9783030610708"</f>
        <v>9783030610708</v>
      </c>
      <c r="D2106" t="str">
        <f>"9783030610715"</f>
        <v>9783030610715</v>
      </c>
      <c r="E2106" t="s">
        <v>2289</v>
      </c>
      <c r="F2106" t="s">
        <v>2663</v>
      </c>
      <c r="G2106" s="1">
        <v>44243</v>
      </c>
      <c r="H2106" s="1">
        <v>44315</v>
      </c>
      <c r="I2106" t="s">
        <v>189</v>
      </c>
      <c r="K2106" t="s">
        <v>5852</v>
      </c>
      <c r="L2106" t="s">
        <v>5853</v>
      </c>
    </row>
    <row r="2107" spans="1:40" x14ac:dyDescent="0.35">
      <c r="A2107">
        <v>6478926</v>
      </c>
      <c r="B2107" t="s">
        <v>5854</v>
      </c>
      <c r="C2107" t="str">
        <f>"9789811513459"</f>
        <v>9789811513459</v>
      </c>
      <c r="D2107" t="str">
        <f>"9789811513466"</f>
        <v>9789811513466</v>
      </c>
      <c r="E2107" t="s">
        <v>2290</v>
      </c>
      <c r="F2107" t="s">
        <v>2290</v>
      </c>
      <c r="G2107" s="1">
        <v>44242</v>
      </c>
      <c r="H2107" s="1">
        <v>44315</v>
      </c>
      <c r="I2107" t="s">
        <v>189</v>
      </c>
      <c r="L2107" t="s">
        <v>5855</v>
      </c>
    </row>
    <row r="2108" spans="1:40" x14ac:dyDescent="0.35">
      <c r="A2108">
        <v>6480189</v>
      </c>
      <c r="B2108" t="s">
        <v>5856</v>
      </c>
      <c r="C2108" t="str">
        <f>"9783030680411"</f>
        <v>9783030680411</v>
      </c>
      <c r="D2108" t="str">
        <f>"9783030680428"</f>
        <v>9783030680428</v>
      </c>
      <c r="E2108" t="s">
        <v>2289</v>
      </c>
      <c r="F2108" t="s">
        <v>2663</v>
      </c>
      <c r="G2108" s="1">
        <v>44243</v>
      </c>
      <c r="H2108" s="1">
        <v>44315</v>
      </c>
      <c r="I2108" t="s">
        <v>189</v>
      </c>
      <c r="L2108" t="s">
        <v>5857</v>
      </c>
      <c r="M2108" t="s">
        <v>210</v>
      </c>
      <c r="N2108" t="s">
        <v>5329</v>
      </c>
      <c r="O2108" s="2">
        <v>327101</v>
      </c>
      <c r="Q2108" t="s">
        <v>260</v>
      </c>
      <c r="R2108" t="s">
        <v>261</v>
      </c>
      <c r="S2108" t="s">
        <v>261</v>
      </c>
      <c r="T2108" t="s">
        <v>261</v>
      </c>
      <c r="U2108" t="s">
        <v>262</v>
      </c>
      <c r="V2108" t="s">
        <v>262</v>
      </c>
      <c r="W2108" t="s">
        <v>261</v>
      </c>
      <c r="X2108" t="s">
        <v>261</v>
      </c>
      <c r="Y2108" t="s">
        <v>261</v>
      </c>
      <c r="Z2108" t="s">
        <v>409</v>
      </c>
      <c r="AA2108" t="s">
        <v>409</v>
      </c>
      <c r="AB2108" t="s">
        <v>409</v>
      </c>
      <c r="AC2108" t="s">
        <v>409</v>
      </c>
      <c r="AD2108" t="s">
        <v>261</v>
      </c>
      <c r="AH2108" t="s">
        <v>262</v>
      </c>
      <c r="AI2108" t="s">
        <v>262</v>
      </c>
      <c r="AJ2108" t="s">
        <v>261</v>
      </c>
      <c r="AK2108" t="s">
        <v>261</v>
      </c>
      <c r="AM2108" t="s">
        <v>262</v>
      </c>
      <c r="AN2108" t="s">
        <v>5858</v>
      </c>
    </row>
    <row r="2109" spans="1:40" x14ac:dyDescent="0.35">
      <c r="A2109">
        <v>6483075</v>
      </c>
      <c r="B2109" t="s">
        <v>5859</v>
      </c>
      <c r="C2109" t="str">
        <f>"9783030644918"</f>
        <v>9783030644918</v>
      </c>
      <c r="D2109" t="str">
        <f>"9783030644925"</f>
        <v>9783030644925</v>
      </c>
      <c r="E2109" t="s">
        <v>2289</v>
      </c>
      <c r="F2109" t="s">
        <v>2290</v>
      </c>
      <c r="G2109" s="1">
        <v>44247</v>
      </c>
      <c r="H2109" s="1">
        <v>44315</v>
      </c>
      <c r="I2109" t="s">
        <v>189</v>
      </c>
      <c r="L2109" t="s">
        <v>5860</v>
      </c>
    </row>
    <row r="2110" spans="1:40" x14ac:dyDescent="0.35">
      <c r="A2110">
        <v>6484553</v>
      </c>
      <c r="B2110" t="s">
        <v>5861</v>
      </c>
      <c r="C2110" t="str">
        <f>""</f>
        <v/>
      </c>
      <c r="D2110" t="str">
        <f>"9789179297077"</f>
        <v>9789179297077</v>
      </c>
      <c r="E2110" t="s">
        <v>3642</v>
      </c>
      <c r="F2110" t="s">
        <v>3642</v>
      </c>
      <c r="G2110" s="1">
        <v>44245</v>
      </c>
      <c r="H2110" s="1">
        <v>44249</v>
      </c>
      <c r="I2110" t="s">
        <v>189</v>
      </c>
      <c r="J2110">
        <v>1</v>
      </c>
      <c r="L2110" t="s">
        <v>5862</v>
      </c>
      <c r="Q2110" t="s">
        <v>260</v>
      </c>
      <c r="R2110" t="s">
        <v>261</v>
      </c>
      <c r="S2110" t="s">
        <v>261</v>
      </c>
      <c r="T2110" t="s">
        <v>261</v>
      </c>
      <c r="U2110" t="s">
        <v>261</v>
      </c>
      <c r="V2110" t="s">
        <v>262</v>
      </c>
      <c r="W2110" t="s">
        <v>261</v>
      </c>
      <c r="X2110" t="s">
        <v>261</v>
      </c>
      <c r="Y2110" t="s">
        <v>261</v>
      </c>
      <c r="AD2110" t="s">
        <v>261</v>
      </c>
      <c r="AH2110" t="s">
        <v>262</v>
      </c>
      <c r="AI2110" t="s">
        <v>261</v>
      </c>
      <c r="AJ2110" t="s">
        <v>261</v>
      </c>
      <c r="AK2110" t="s">
        <v>261</v>
      </c>
      <c r="AM2110" t="s">
        <v>262</v>
      </c>
      <c r="AN2110" t="s">
        <v>5863</v>
      </c>
    </row>
    <row r="2111" spans="1:40" x14ac:dyDescent="0.35">
      <c r="A2111">
        <v>6484554</v>
      </c>
      <c r="B2111" t="s">
        <v>5864</v>
      </c>
      <c r="C2111" t="str">
        <f>""</f>
        <v/>
      </c>
      <c r="D2111" t="str">
        <f>"9789179297459"</f>
        <v>9789179297459</v>
      </c>
      <c r="E2111" t="s">
        <v>3642</v>
      </c>
      <c r="F2111" t="s">
        <v>3642</v>
      </c>
      <c r="G2111" s="1">
        <v>44244</v>
      </c>
      <c r="H2111" s="1">
        <v>44249</v>
      </c>
      <c r="I2111" t="s">
        <v>189</v>
      </c>
      <c r="J2111">
        <v>1</v>
      </c>
      <c r="L2111" t="s">
        <v>5865</v>
      </c>
      <c r="Q2111" t="s">
        <v>260</v>
      </c>
      <c r="R2111" t="s">
        <v>261</v>
      </c>
      <c r="S2111" t="s">
        <v>261</v>
      </c>
      <c r="T2111" t="s">
        <v>261</v>
      </c>
      <c r="U2111" t="s">
        <v>261</v>
      </c>
      <c r="V2111" t="s">
        <v>262</v>
      </c>
      <c r="W2111" t="s">
        <v>261</v>
      </c>
      <c r="X2111" t="s">
        <v>261</v>
      </c>
      <c r="Y2111" t="s">
        <v>261</v>
      </c>
      <c r="AD2111" t="s">
        <v>261</v>
      </c>
      <c r="AH2111" t="s">
        <v>262</v>
      </c>
      <c r="AI2111" t="s">
        <v>261</v>
      </c>
      <c r="AJ2111" t="s">
        <v>261</v>
      </c>
      <c r="AK2111" t="s">
        <v>261</v>
      </c>
      <c r="AM2111" t="s">
        <v>262</v>
      </c>
      <c r="AN2111" t="s">
        <v>5866</v>
      </c>
    </row>
    <row r="2112" spans="1:40" x14ac:dyDescent="0.35">
      <c r="A2112">
        <v>6484555</v>
      </c>
      <c r="B2112" t="s">
        <v>5867</v>
      </c>
      <c r="C2112" t="str">
        <f>""</f>
        <v/>
      </c>
      <c r="D2112" t="str">
        <f>"9789179296940"</f>
        <v>9789179296940</v>
      </c>
      <c r="E2112" t="s">
        <v>3642</v>
      </c>
      <c r="F2112" t="s">
        <v>3642</v>
      </c>
      <c r="G2112" s="1">
        <v>44242</v>
      </c>
      <c r="H2112" s="1">
        <v>44249</v>
      </c>
      <c r="I2112" t="s">
        <v>189</v>
      </c>
      <c r="J2112">
        <v>1</v>
      </c>
      <c r="L2112" t="s">
        <v>5868</v>
      </c>
      <c r="Q2112" t="s">
        <v>260</v>
      </c>
      <c r="R2112" t="s">
        <v>261</v>
      </c>
      <c r="S2112" t="s">
        <v>261</v>
      </c>
      <c r="T2112" t="s">
        <v>261</v>
      </c>
      <c r="U2112" t="s">
        <v>261</v>
      </c>
      <c r="V2112" t="s">
        <v>262</v>
      </c>
      <c r="W2112" t="s">
        <v>261</v>
      </c>
      <c r="X2112" t="s">
        <v>261</v>
      </c>
      <c r="Y2112" t="s">
        <v>261</v>
      </c>
      <c r="AD2112" t="s">
        <v>261</v>
      </c>
      <c r="AH2112" t="s">
        <v>262</v>
      </c>
      <c r="AI2112" t="s">
        <v>261</v>
      </c>
      <c r="AJ2112" t="s">
        <v>261</v>
      </c>
      <c r="AK2112" t="s">
        <v>261</v>
      </c>
      <c r="AM2112" t="s">
        <v>262</v>
      </c>
      <c r="AN2112" t="s">
        <v>5869</v>
      </c>
    </row>
    <row r="2113" spans="1:40" x14ac:dyDescent="0.35">
      <c r="A2113">
        <v>6484616</v>
      </c>
      <c r="B2113" t="s">
        <v>5870</v>
      </c>
      <c r="C2113" t="str">
        <f>"9783658330187"</f>
        <v>9783658330187</v>
      </c>
      <c r="D2113" t="str">
        <f>"9783658330194"</f>
        <v>9783658330194</v>
      </c>
      <c r="E2113" t="s">
        <v>3972</v>
      </c>
      <c r="F2113" t="s">
        <v>3998</v>
      </c>
      <c r="G2113" s="1">
        <v>44247</v>
      </c>
      <c r="H2113" s="1">
        <v>44315</v>
      </c>
      <c r="I2113" t="s">
        <v>189</v>
      </c>
      <c r="K2113" t="s">
        <v>5871</v>
      </c>
      <c r="L2113" t="s">
        <v>5872</v>
      </c>
      <c r="M2113" t="s">
        <v>199</v>
      </c>
      <c r="N2113" t="s">
        <v>5873</v>
      </c>
      <c r="Q2113" t="s">
        <v>408</v>
      </c>
      <c r="R2113" t="s">
        <v>261</v>
      </c>
      <c r="S2113" t="s">
        <v>261</v>
      </c>
      <c r="T2113" t="s">
        <v>261</v>
      </c>
      <c r="U2113" t="s">
        <v>262</v>
      </c>
      <c r="V2113" t="s">
        <v>262</v>
      </c>
      <c r="W2113" t="s">
        <v>261</v>
      </c>
      <c r="X2113" t="s">
        <v>261</v>
      </c>
      <c r="Y2113" t="s">
        <v>261</v>
      </c>
      <c r="Z2113" t="s">
        <v>409</v>
      </c>
      <c r="AA2113" t="s">
        <v>409</v>
      </c>
      <c r="AB2113" t="s">
        <v>409</v>
      </c>
      <c r="AC2113" t="s">
        <v>409</v>
      </c>
      <c r="AD2113" t="s">
        <v>261</v>
      </c>
      <c r="AH2113" t="s">
        <v>262</v>
      </c>
      <c r="AI2113" t="s">
        <v>262</v>
      </c>
      <c r="AJ2113" t="s">
        <v>261</v>
      </c>
      <c r="AK2113" t="s">
        <v>261</v>
      </c>
      <c r="AM2113" t="s">
        <v>262</v>
      </c>
      <c r="AN2113" t="s">
        <v>5874</v>
      </c>
    </row>
    <row r="2114" spans="1:40" x14ac:dyDescent="0.35">
      <c r="A2114">
        <v>6489591</v>
      </c>
      <c r="B2114" t="s">
        <v>5875</v>
      </c>
      <c r="C2114" t="str">
        <f>"9781800641082"</f>
        <v>9781800641082</v>
      </c>
      <c r="D2114" t="str">
        <f>"9781800641099"</f>
        <v>9781800641099</v>
      </c>
      <c r="E2114" t="s">
        <v>1807</v>
      </c>
      <c r="F2114" t="s">
        <v>1807</v>
      </c>
      <c r="G2114" s="1">
        <v>44228</v>
      </c>
      <c r="H2114" s="1">
        <v>44252</v>
      </c>
      <c r="I2114" t="s">
        <v>189</v>
      </c>
      <c r="J2114">
        <v>1</v>
      </c>
      <c r="L2114" t="s">
        <v>5876</v>
      </c>
      <c r="M2114" t="s">
        <v>282</v>
      </c>
    </row>
    <row r="2115" spans="1:40" x14ac:dyDescent="0.35">
      <c r="A2115">
        <v>6491804</v>
      </c>
      <c r="B2115" t="s">
        <v>5877</v>
      </c>
      <c r="C2115" t="str">
        <f>"9783030609139"</f>
        <v>9783030609139</v>
      </c>
      <c r="D2115" t="str">
        <f>"9783030609146"</f>
        <v>9783030609146</v>
      </c>
      <c r="E2115" t="s">
        <v>2289</v>
      </c>
      <c r="F2115" t="s">
        <v>2290</v>
      </c>
      <c r="G2115" s="1">
        <v>44251</v>
      </c>
      <c r="H2115" s="1">
        <v>44315</v>
      </c>
      <c r="I2115" t="s">
        <v>189</v>
      </c>
      <c r="L2115" t="s">
        <v>5878</v>
      </c>
    </row>
    <row r="2116" spans="1:40" x14ac:dyDescent="0.35">
      <c r="A2116">
        <v>6499940</v>
      </c>
      <c r="B2116" t="s">
        <v>5879</v>
      </c>
      <c r="C2116" t="str">
        <f>"9781438482897"</f>
        <v>9781438482897</v>
      </c>
      <c r="D2116" t="str">
        <f>"9781438482903"</f>
        <v>9781438482903</v>
      </c>
      <c r="E2116" t="s">
        <v>2073</v>
      </c>
      <c r="F2116" t="s">
        <v>2074</v>
      </c>
      <c r="G2116" s="1">
        <v>44256</v>
      </c>
      <c r="H2116" s="1">
        <v>44254</v>
      </c>
      <c r="I2116" t="s">
        <v>189</v>
      </c>
      <c r="J2116">
        <v>1</v>
      </c>
      <c r="K2116" t="s">
        <v>2075</v>
      </c>
      <c r="L2116" t="s">
        <v>5880</v>
      </c>
      <c r="M2116" t="s">
        <v>219</v>
      </c>
      <c r="O2116" s="2">
        <v>809933548</v>
      </c>
      <c r="Q2116" t="s">
        <v>260</v>
      </c>
      <c r="R2116" t="s">
        <v>261</v>
      </c>
      <c r="S2116" t="s">
        <v>261</v>
      </c>
      <c r="T2116" t="s">
        <v>261</v>
      </c>
      <c r="U2116" t="s">
        <v>261</v>
      </c>
      <c r="V2116" t="s">
        <v>262</v>
      </c>
      <c r="W2116" t="s">
        <v>261</v>
      </c>
      <c r="X2116" t="s">
        <v>261</v>
      </c>
      <c r="Y2116" t="s">
        <v>261</v>
      </c>
      <c r="Z2116" t="s">
        <v>409</v>
      </c>
      <c r="AA2116" t="s">
        <v>409</v>
      </c>
      <c r="AB2116" t="s">
        <v>409</v>
      </c>
      <c r="AC2116" t="s">
        <v>409</v>
      </c>
      <c r="AD2116" t="s">
        <v>262</v>
      </c>
      <c r="AH2116" t="s">
        <v>262</v>
      </c>
      <c r="AI2116" t="s">
        <v>262</v>
      </c>
      <c r="AJ2116" t="s">
        <v>261</v>
      </c>
      <c r="AK2116" t="s">
        <v>261</v>
      </c>
      <c r="AM2116" t="s">
        <v>262</v>
      </c>
      <c r="AN2116" t="s">
        <v>5881</v>
      </c>
    </row>
    <row r="2117" spans="1:40" x14ac:dyDescent="0.35">
      <c r="A2117">
        <v>6501120</v>
      </c>
      <c r="B2117" t="s">
        <v>5882</v>
      </c>
      <c r="C2117" t="str">
        <f>""</f>
        <v/>
      </c>
      <c r="D2117" t="str">
        <f>"9789179296872"</f>
        <v>9789179296872</v>
      </c>
      <c r="E2117" t="s">
        <v>3642</v>
      </c>
      <c r="F2117" t="s">
        <v>3642</v>
      </c>
      <c r="G2117" s="1">
        <v>44250</v>
      </c>
      <c r="H2117" s="1">
        <v>44263</v>
      </c>
      <c r="I2117" t="s">
        <v>189</v>
      </c>
      <c r="J2117">
        <v>1</v>
      </c>
      <c r="L2117" t="s">
        <v>5883</v>
      </c>
      <c r="Q2117" t="s">
        <v>260</v>
      </c>
      <c r="R2117" t="s">
        <v>261</v>
      </c>
      <c r="S2117" t="s">
        <v>261</v>
      </c>
      <c r="T2117" t="s">
        <v>261</v>
      </c>
      <c r="U2117" t="s">
        <v>261</v>
      </c>
      <c r="V2117" t="s">
        <v>262</v>
      </c>
      <c r="W2117" t="s">
        <v>261</v>
      </c>
      <c r="X2117" t="s">
        <v>261</v>
      </c>
      <c r="Y2117" t="s">
        <v>261</v>
      </c>
      <c r="AD2117" t="s">
        <v>261</v>
      </c>
      <c r="AH2117" t="s">
        <v>262</v>
      </c>
      <c r="AI2117" t="s">
        <v>261</v>
      </c>
      <c r="AJ2117" t="s">
        <v>261</v>
      </c>
      <c r="AK2117" t="s">
        <v>261</v>
      </c>
      <c r="AM2117" t="s">
        <v>262</v>
      </c>
      <c r="AN2117" t="s">
        <v>5884</v>
      </c>
    </row>
    <row r="2118" spans="1:40" x14ac:dyDescent="0.35">
      <c r="A2118">
        <v>6501121</v>
      </c>
      <c r="B2118" t="s">
        <v>5885</v>
      </c>
      <c r="C2118" t="str">
        <f>""</f>
        <v/>
      </c>
      <c r="D2118" t="str">
        <f>"9789179297107"</f>
        <v>9789179297107</v>
      </c>
      <c r="E2118" t="s">
        <v>3642</v>
      </c>
      <c r="F2118" t="s">
        <v>3642</v>
      </c>
      <c r="G2118" s="1">
        <v>44253</v>
      </c>
      <c r="H2118" s="1">
        <v>44263</v>
      </c>
      <c r="I2118" t="s">
        <v>189</v>
      </c>
      <c r="J2118">
        <v>1</v>
      </c>
      <c r="L2118" t="s">
        <v>5886</v>
      </c>
      <c r="Q2118" t="s">
        <v>260</v>
      </c>
      <c r="R2118" t="s">
        <v>261</v>
      </c>
      <c r="S2118" t="s">
        <v>261</v>
      </c>
      <c r="T2118" t="s">
        <v>261</v>
      </c>
      <c r="U2118" t="s">
        <v>261</v>
      </c>
      <c r="V2118" t="s">
        <v>262</v>
      </c>
      <c r="W2118" t="s">
        <v>261</v>
      </c>
      <c r="X2118" t="s">
        <v>261</v>
      </c>
      <c r="Y2118" t="s">
        <v>261</v>
      </c>
      <c r="AD2118" t="s">
        <v>261</v>
      </c>
      <c r="AH2118" t="s">
        <v>262</v>
      </c>
      <c r="AI2118" t="s">
        <v>261</v>
      </c>
      <c r="AJ2118" t="s">
        <v>261</v>
      </c>
      <c r="AK2118" t="s">
        <v>261</v>
      </c>
      <c r="AM2118" t="s">
        <v>262</v>
      </c>
      <c r="AN2118" t="s">
        <v>5887</v>
      </c>
    </row>
    <row r="2119" spans="1:40" x14ac:dyDescent="0.35">
      <c r="A2119">
        <v>6501122</v>
      </c>
      <c r="B2119" t="s">
        <v>5888</v>
      </c>
      <c r="C2119" t="str">
        <f>""</f>
        <v/>
      </c>
      <c r="D2119" t="str">
        <f>"9789179297060"</f>
        <v>9789179297060</v>
      </c>
      <c r="E2119" t="s">
        <v>3642</v>
      </c>
      <c r="F2119" t="s">
        <v>3642</v>
      </c>
      <c r="G2119" s="1">
        <v>44249</v>
      </c>
      <c r="H2119" s="1">
        <v>44256</v>
      </c>
      <c r="I2119" t="s">
        <v>189</v>
      </c>
      <c r="J2119">
        <v>1</v>
      </c>
      <c r="L2119" t="s">
        <v>5889</v>
      </c>
      <c r="Q2119" t="s">
        <v>260</v>
      </c>
      <c r="R2119" t="s">
        <v>261</v>
      </c>
      <c r="S2119" t="s">
        <v>261</v>
      </c>
      <c r="T2119" t="s">
        <v>261</v>
      </c>
      <c r="U2119" t="s">
        <v>261</v>
      </c>
      <c r="V2119" t="s">
        <v>262</v>
      </c>
      <c r="W2119" t="s">
        <v>261</v>
      </c>
      <c r="X2119" t="s">
        <v>261</v>
      </c>
      <c r="Y2119" t="s">
        <v>261</v>
      </c>
      <c r="AD2119" t="s">
        <v>261</v>
      </c>
      <c r="AH2119" t="s">
        <v>262</v>
      </c>
      <c r="AI2119" t="s">
        <v>261</v>
      </c>
      <c r="AJ2119" t="s">
        <v>261</v>
      </c>
      <c r="AK2119" t="s">
        <v>261</v>
      </c>
      <c r="AM2119" t="s">
        <v>262</v>
      </c>
      <c r="AN2119" t="s">
        <v>5890</v>
      </c>
    </row>
    <row r="2120" spans="1:40" x14ac:dyDescent="0.35">
      <c r="A2120">
        <v>6501123</v>
      </c>
      <c r="B2120" t="s">
        <v>5891</v>
      </c>
      <c r="C2120" t="str">
        <f>""</f>
        <v/>
      </c>
      <c r="D2120" t="str">
        <f>"9789179296896"</f>
        <v>9789179296896</v>
      </c>
      <c r="E2120" t="s">
        <v>3642</v>
      </c>
      <c r="F2120" t="s">
        <v>3642</v>
      </c>
      <c r="G2120" s="1">
        <v>44250</v>
      </c>
      <c r="H2120" s="1">
        <v>44256</v>
      </c>
      <c r="I2120" t="s">
        <v>189</v>
      </c>
      <c r="J2120">
        <v>1</v>
      </c>
      <c r="L2120" t="s">
        <v>5892</v>
      </c>
      <c r="Q2120" t="s">
        <v>260</v>
      </c>
      <c r="R2120" t="s">
        <v>261</v>
      </c>
      <c r="S2120" t="s">
        <v>261</v>
      </c>
      <c r="T2120" t="s">
        <v>261</v>
      </c>
      <c r="U2120" t="s">
        <v>261</v>
      </c>
      <c r="V2120" t="s">
        <v>262</v>
      </c>
      <c r="W2120" t="s">
        <v>261</v>
      </c>
      <c r="X2120" t="s">
        <v>261</v>
      </c>
      <c r="Y2120" t="s">
        <v>261</v>
      </c>
      <c r="AD2120" t="s">
        <v>261</v>
      </c>
      <c r="AH2120" t="s">
        <v>262</v>
      </c>
      <c r="AI2120" t="s">
        <v>261</v>
      </c>
      <c r="AJ2120" t="s">
        <v>261</v>
      </c>
      <c r="AK2120" t="s">
        <v>261</v>
      </c>
      <c r="AM2120" t="s">
        <v>262</v>
      </c>
      <c r="AN2120" t="s">
        <v>5893</v>
      </c>
    </row>
    <row r="2121" spans="1:40" x14ac:dyDescent="0.35">
      <c r="A2121">
        <v>6501383</v>
      </c>
      <c r="B2121" t="s">
        <v>5894</v>
      </c>
      <c r="C2121" t="str">
        <f>"9783030604059"</f>
        <v>9783030604059</v>
      </c>
      <c r="D2121" t="str">
        <f>"9783030604066"</f>
        <v>9783030604066</v>
      </c>
      <c r="E2121" t="s">
        <v>2289</v>
      </c>
      <c r="F2121" t="s">
        <v>2290</v>
      </c>
      <c r="G2121" s="1">
        <v>44254</v>
      </c>
      <c r="H2121" s="1">
        <v>44315</v>
      </c>
      <c r="I2121" t="s">
        <v>189</v>
      </c>
      <c r="L2121" t="s">
        <v>5895</v>
      </c>
    </row>
    <row r="2122" spans="1:40" x14ac:dyDescent="0.35">
      <c r="A2122">
        <v>6508324</v>
      </c>
      <c r="B2122" t="s">
        <v>5896</v>
      </c>
      <c r="C2122" t="str">
        <f>"9781800640245"</f>
        <v>9781800640245</v>
      </c>
      <c r="D2122" t="str">
        <f>"9781800640252"</f>
        <v>9781800640252</v>
      </c>
      <c r="E2122" t="s">
        <v>1807</v>
      </c>
      <c r="F2122" t="s">
        <v>1807</v>
      </c>
      <c r="G2122" s="1">
        <v>44255</v>
      </c>
      <c r="H2122" s="1">
        <v>44260</v>
      </c>
      <c r="I2122" t="s">
        <v>189</v>
      </c>
      <c r="J2122">
        <v>1</v>
      </c>
      <c r="L2122" t="s">
        <v>5897</v>
      </c>
    </row>
    <row r="2123" spans="1:40" x14ac:dyDescent="0.35">
      <c r="A2123">
        <v>6508426</v>
      </c>
      <c r="B2123" t="s">
        <v>5898</v>
      </c>
      <c r="C2123" t="str">
        <f>"9789813363410"</f>
        <v>9789813363410</v>
      </c>
      <c r="D2123" t="str">
        <f>"9789813363427"</f>
        <v>9789813363427</v>
      </c>
      <c r="E2123" t="s">
        <v>3404</v>
      </c>
      <c r="F2123" t="s">
        <v>2290</v>
      </c>
      <c r="G2123" s="1">
        <v>44251</v>
      </c>
      <c r="H2123" s="1">
        <v>44315</v>
      </c>
      <c r="I2123" t="s">
        <v>189</v>
      </c>
      <c r="K2123" t="s">
        <v>5899</v>
      </c>
      <c r="L2123" t="s">
        <v>5900</v>
      </c>
      <c r="M2123" t="s">
        <v>1687</v>
      </c>
      <c r="N2123" t="s">
        <v>5901</v>
      </c>
      <c r="Q2123" t="s">
        <v>260</v>
      </c>
      <c r="R2123" t="s">
        <v>261</v>
      </c>
      <c r="S2123" t="s">
        <v>261</v>
      </c>
      <c r="T2123" t="s">
        <v>261</v>
      </c>
      <c r="U2123" t="s">
        <v>262</v>
      </c>
      <c r="V2123" t="s">
        <v>262</v>
      </c>
      <c r="W2123" t="s">
        <v>261</v>
      </c>
      <c r="X2123" t="s">
        <v>261</v>
      </c>
      <c r="Y2123" t="s">
        <v>261</v>
      </c>
      <c r="Z2123" t="s">
        <v>409</v>
      </c>
      <c r="AA2123" t="s">
        <v>409</v>
      </c>
      <c r="AB2123" t="s">
        <v>409</v>
      </c>
      <c r="AC2123" t="s">
        <v>409</v>
      </c>
      <c r="AD2123" t="s">
        <v>261</v>
      </c>
      <c r="AH2123" t="s">
        <v>262</v>
      </c>
      <c r="AI2123" t="s">
        <v>262</v>
      </c>
      <c r="AJ2123" t="s">
        <v>261</v>
      </c>
      <c r="AK2123" t="s">
        <v>261</v>
      </c>
      <c r="AM2123" t="s">
        <v>262</v>
      </c>
      <c r="AN2123" t="s">
        <v>5902</v>
      </c>
    </row>
    <row r="2124" spans="1:40" x14ac:dyDescent="0.35">
      <c r="A2124">
        <v>6509881</v>
      </c>
      <c r="B2124" t="s">
        <v>5903</v>
      </c>
      <c r="C2124" t="str">
        <f>"9783662622148"</f>
        <v>9783662622148</v>
      </c>
      <c r="D2124" t="str">
        <f>"9783662622155"</f>
        <v>9783662622155</v>
      </c>
      <c r="E2124" t="s">
        <v>4047</v>
      </c>
      <c r="F2124" t="s">
        <v>4084</v>
      </c>
      <c r="G2124" s="1">
        <v>44254</v>
      </c>
      <c r="H2124" s="1">
        <v>44315</v>
      </c>
      <c r="I2124" t="s">
        <v>189</v>
      </c>
      <c r="L2124" t="s">
        <v>5904</v>
      </c>
    </row>
    <row r="2125" spans="1:40" x14ac:dyDescent="0.35">
      <c r="A2125">
        <v>6509883</v>
      </c>
      <c r="B2125" t="s">
        <v>5905</v>
      </c>
      <c r="C2125" t="str">
        <f>"9783030624750"</f>
        <v>9783030624750</v>
      </c>
      <c r="D2125" t="str">
        <f>"9783030624767"</f>
        <v>9783030624767</v>
      </c>
      <c r="E2125" t="s">
        <v>2289</v>
      </c>
      <c r="F2125" t="s">
        <v>2290</v>
      </c>
      <c r="G2125" s="1">
        <v>44254</v>
      </c>
      <c r="H2125" s="1">
        <v>44315</v>
      </c>
      <c r="I2125" t="s">
        <v>189</v>
      </c>
      <c r="K2125" t="s">
        <v>4011</v>
      </c>
      <c r="L2125" t="s">
        <v>5906</v>
      </c>
      <c r="M2125" t="s">
        <v>1302</v>
      </c>
    </row>
    <row r="2126" spans="1:40" x14ac:dyDescent="0.35">
      <c r="A2126">
        <v>6509884</v>
      </c>
      <c r="B2126" t="s">
        <v>5907</v>
      </c>
      <c r="C2126" t="str">
        <f>"9783030657703"</f>
        <v>9783030657703</v>
      </c>
      <c r="D2126" t="str">
        <f>"9783030657710"</f>
        <v>9783030657710</v>
      </c>
      <c r="E2126" t="s">
        <v>2289</v>
      </c>
      <c r="F2126" t="s">
        <v>2290</v>
      </c>
      <c r="G2126" s="1">
        <v>44254</v>
      </c>
      <c r="H2126" s="1">
        <v>44315</v>
      </c>
      <c r="I2126" t="s">
        <v>189</v>
      </c>
      <c r="K2126" t="s">
        <v>5659</v>
      </c>
      <c r="L2126" t="s">
        <v>5908</v>
      </c>
    </row>
    <row r="2127" spans="1:40" x14ac:dyDescent="0.35">
      <c r="A2127">
        <v>6509886</v>
      </c>
      <c r="B2127" t="s">
        <v>5909</v>
      </c>
      <c r="C2127" t="str">
        <f>"9783030667870"</f>
        <v>9783030667870</v>
      </c>
      <c r="D2127" t="str">
        <f>"9783030667887"</f>
        <v>9783030667887</v>
      </c>
      <c r="E2127" t="s">
        <v>2289</v>
      </c>
      <c r="F2127" t="s">
        <v>2290</v>
      </c>
      <c r="G2127" s="1">
        <v>44254</v>
      </c>
      <c r="H2127" s="1">
        <v>44315</v>
      </c>
      <c r="I2127" t="s">
        <v>189</v>
      </c>
      <c r="K2127" t="s">
        <v>4096</v>
      </c>
      <c r="L2127" t="s">
        <v>5910</v>
      </c>
    </row>
    <row r="2128" spans="1:40" x14ac:dyDescent="0.35">
      <c r="A2128">
        <v>6511344</v>
      </c>
      <c r="B2128" t="s">
        <v>5911</v>
      </c>
      <c r="C2128" t="str">
        <f>"9781438483290"</f>
        <v>9781438483290</v>
      </c>
      <c r="D2128" t="str">
        <f>"9781438483306"</f>
        <v>9781438483306</v>
      </c>
      <c r="E2128" t="s">
        <v>2073</v>
      </c>
      <c r="F2128" t="s">
        <v>2074</v>
      </c>
      <c r="G2128" s="1">
        <v>44287</v>
      </c>
      <c r="H2128" s="1">
        <v>44265</v>
      </c>
      <c r="I2128" t="s">
        <v>189</v>
      </c>
      <c r="J2128">
        <v>1</v>
      </c>
      <c r="K2128" t="s">
        <v>2075</v>
      </c>
      <c r="L2128" t="s">
        <v>5912</v>
      </c>
      <c r="M2128" t="s">
        <v>239</v>
      </c>
      <c r="O2128" s="2">
        <v>982004924</v>
      </c>
      <c r="Q2128" t="s">
        <v>260</v>
      </c>
      <c r="R2128" t="s">
        <v>261</v>
      </c>
      <c r="S2128" t="s">
        <v>261</v>
      </c>
      <c r="T2128" t="s">
        <v>261</v>
      </c>
      <c r="U2128" t="s">
        <v>261</v>
      </c>
      <c r="V2128" t="s">
        <v>262</v>
      </c>
      <c r="W2128" t="s">
        <v>261</v>
      </c>
      <c r="X2128" t="s">
        <v>261</v>
      </c>
      <c r="Y2128" t="s">
        <v>261</v>
      </c>
      <c r="Z2128" t="s">
        <v>409</v>
      </c>
      <c r="AA2128" t="s">
        <v>409</v>
      </c>
      <c r="AB2128" t="s">
        <v>409</v>
      </c>
      <c r="AC2128" t="s">
        <v>409</v>
      </c>
      <c r="AD2128" t="s">
        <v>261</v>
      </c>
      <c r="AH2128" t="s">
        <v>262</v>
      </c>
      <c r="AI2128" t="s">
        <v>262</v>
      </c>
      <c r="AJ2128" t="s">
        <v>261</v>
      </c>
      <c r="AK2128" t="s">
        <v>261</v>
      </c>
      <c r="AM2128" t="s">
        <v>262</v>
      </c>
      <c r="AN2128" t="s">
        <v>5913</v>
      </c>
    </row>
    <row r="2129" spans="1:40" x14ac:dyDescent="0.35">
      <c r="A2129">
        <v>6511378</v>
      </c>
      <c r="B2129" t="s">
        <v>5914</v>
      </c>
      <c r="C2129" t="str">
        <f>"9783030636920"</f>
        <v>9783030636920</v>
      </c>
      <c r="D2129" t="str">
        <f>"9783030636937"</f>
        <v>9783030636937</v>
      </c>
      <c r="E2129" t="s">
        <v>2289</v>
      </c>
      <c r="F2129" t="s">
        <v>2290</v>
      </c>
      <c r="G2129" s="1">
        <v>44261</v>
      </c>
      <c r="H2129" s="1">
        <v>44315</v>
      </c>
      <c r="I2129" t="s">
        <v>189</v>
      </c>
      <c r="K2129" t="s">
        <v>4011</v>
      </c>
      <c r="L2129" t="s">
        <v>5915</v>
      </c>
    </row>
    <row r="2130" spans="1:40" x14ac:dyDescent="0.35">
      <c r="A2130">
        <v>6511411</v>
      </c>
      <c r="B2130" t="s">
        <v>5916</v>
      </c>
      <c r="C2130" t="str">
        <f>"9783030589158"</f>
        <v>9783030589158</v>
      </c>
      <c r="D2130" t="str">
        <f>"9783030589165"</f>
        <v>9783030589165</v>
      </c>
      <c r="E2130" t="s">
        <v>2289</v>
      </c>
      <c r="F2130" t="s">
        <v>2290</v>
      </c>
      <c r="G2130" s="1">
        <v>44259</v>
      </c>
      <c r="H2130" s="1">
        <v>44315</v>
      </c>
      <c r="I2130" t="s">
        <v>189</v>
      </c>
      <c r="K2130" t="s">
        <v>5917</v>
      </c>
      <c r="L2130" t="s">
        <v>5918</v>
      </c>
      <c r="M2130" t="s">
        <v>316</v>
      </c>
      <c r="N2130" t="s">
        <v>5919</v>
      </c>
      <c r="O2130" t="s">
        <v>5920</v>
      </c>
      <c r="Q2130" t="s">
        <v>260</v>
      </c>
      <c r="R2130" t="s">
        <v>261</v>
      </c>
      <c r="S2130" t="s">
        <v>261</v>
      </c>
      <c r="T2130" t="s">
        <v>261</v>
      </c>
      <c r="U2130" t="s">
        <v>262</v>
      </c>
      <c r="V2130" t="s">
        <v>262</v>
      </c>
      <c r="W2130" t="s">
        <v>261</v>
      </c>
      <c r="X2130" t="s">
        <v>261</v>
      </c>
      <c r="Y2130" t="s">
        <v>261</v>
      </c>
      <c r="Z2130" t="s">
        <v>409</v>
      </c>
      <c r="AA2130" t="s">
        <v>409</v>
      </c>
      <c r="AB2130" t="s">
        <v>409</v>
      </c>
      <c r="AC2130" t="s">
        <v>409</v>
      </c>
      <c r="AD2130" t="s">
        <v>261</v>
      </c>
      <c r="AH2130" t="s">
        <v>262</v>
      </c>
      <c r="AI2130" t="s">
        <v>262</v>
      </c>
      <c r="AJ2130" t="s">
        <v>261</v>
      </c>
      <c r="AK2130" t="s">
        <v>261</v>
      </c>
      <c r="AM2130" t="s">
        <v>262</v>
      </c>
      <c r="AN2130" t="s">
        <v>5921</v>
      </c>
    </row>
    <row r="2131" spans="1:40" x14ac:dyDescent="0.35">
      <c r="A2131">
        <v>6511461</v>
      </c>
      <c r="B2131" t="s">
        <v>5922</v>
      </c>
      <c r="C2131" t="str">
        <f>"9783658326005"</f>
        <v>9783658326005</v>
      </c>
      <c r="D2131" t="str">
        <f>"9783658326012"</f>
        <v>9783658326012</v>
      </c>
      <c r="E2131" t="s">
        <v>3972</v>
      </c>
      <c r="F2131" t="s">
        <v>3998</v>
      </c>
      <c r="G2131" s="1">
        <v>44261</v>
      </c>
      <c r="H2131" s="1">
        <v>44315</v>
      </c>
      <c r="I2131" t="s">
        <v>189</v>
      </c>
      <c r="L2131" t="s">
        <v>5923</v>
      </c>
      <c r="M2131" t="s">
        <v>210</v>
      </c>
      <c r="N2131" t="s">
        <v>4679</v>
      </c>
      <c r="Q2131" t="s">
        <v>408</v>
      </c>
      <c r="R2131" t="s">
        <v>261</v>
      </c>
      <c r="S2131" t="s">
        <v>261</v>
      </c>
      <c r="T2131" t="s">
        <v>261</v>
      </c>
      <c r="U2131" t="s">
        <v>262</v>
      </c>
      <c r="V2131" t="s">
        <v>262</v>
      </c>
      <c r="W2131" t="s">
        <v>261</v>
      </c>
      <c r="X2131" t="s">
        <v>261</v>
      </c>
      <c r="Y2131" t="s">
        <v>261</v>
      </c>
      <c r="Z2131" t="s">
        <v>409</v>
      </c>
      <c r="AA2131" t="s">
        <v>409</v>
      </c>
      <c r="AB2131" t="s">
        <v>409</v>
      </c>
      <c r="AC2131" t="s">
        <v>409</v>
      </c>
      <c r="AD2131" t="s">
        <v>261</v>
      </c>
      <c r="AH2131" t="s">
        <v>262</v>
      </c>
      <c r="AI2131" t="s">
        <v>262</v>
      </c>
      <c r="AJ2131" t="s">
        <v>261</v>
      </c>
      <c r="AK2131" t="s">
        <v>261</v>
      </c>
      <c r="AM2131" t="s">
        <v>262</v>
      </c>
      <c r="AN2131" t="s">
        <v>5924</v>
      </c>
    </row>
    <row r="2132" spans="1:40" x14ac:dyDescent="0.35">
      <c r="A2132">
        <v>6511466</v>
      </c>
      <c r="B2132" t="s">
        <v>5925</v>
      </c>
      <c r="C2132" t="str">
        <f>"9783030664015"</f>
        <v>9783030664015</v>
      </c>
      <c r="D2132" t="str">
        <f>"9783030664022"</f>
        <v>9783030664022</v>
      </c>
      <c r="E2132" t="s">
        <v>2289</v>
      </c>
      <c r="F2132" t="s">
        <v>2290</v>
      </c>
      <c r="G2132" s="1">
        <v>44261</v>
      </c>
      <c r="H2132" s="1">
        <v>44315</v>
      </c>
      <c r="I2132" t="s">
        <v>189</v>
      </c>
      <c r="J2132">
        <v>2</v>
      </c>
      <c r="K2132" t="s">
        <v>5926</v>
      </c>
      <c r="L2132" t="s">
        <v>5927</v>
      </c>
      <c r="M2132" t="s">
        <v>535</v>
      </c>
    </row>
    <row r="2133" spans="1:40" x14ac:dyDescent="0.35">
      <c r="A2133">
        <v>6511500</v>
      </c>
      <c r="B2133" t="s">
        <v>5928</v>
      </c>
      <c r="C2133" t="str">
        <f>"9789813367050"</f>
        <v>9789813367050</v>
      </c>
      <c r="D2133" t="str">
        <f>"9789813367067"</f>
        <v>9789813367067</v>
      </c>
      <c r="E2133" t="s">
        <v>3404</v>
      </c>
      <c r="F2133" t="s">
        <v>2663</v>
      </c>
      <c r="G2133" s="1">
        <v>44258</v>
      </c>
      <c r="H2133" s="1">
        <v>44315</v>
      </c>
      <c r="I2133" t="s">
        <v>189</v>
      </c>
      <c r="L2133" t="s">
        <v>5929</v>
      </c>
    </row>
    <row r="2134" spans="1:40" x14ac:dyDescent="0.35">
      <c r="A2134">
        <v>6511547</v>
      </c>
      <c r="B2134" t="s">
        <v>5930</v>
      </c>
      <c r="C2134" t="str">
        <f>"9783658323226"</f>
        <v>9783658323226</v>
      </c>
      <c r="D2134" t="str">
        <f>"9783658323233"</f>
        <v>9783658323233</v>
      </c>
      <c r="E2134" t="s">
        <v>3972</v>
      </c>
      <c r="F2134" t="s">
        <v>3972</v>
      </c>
      <c r="G2134" s="1">
        <v>44261</v>
      </c>
      <c r="H2134" s="1">
        <v>44315</v>
      </c>
      <c r="I2134" t="s">
        <v>189</v>
      </c>
      <c r="L2134" t="s">
        <v>5264</v>
      </c>
    </row>
    <row r="2135" spans="1:40" x14ac:dyDescent="0.35">
      <c r="A2135">
        <v>6511553</v>
      </c>
      <c r="B2135" t="s">
        <v>5931</v>
      </c>
      <c r="C2135" t="str">
        <f>"9783658329051"</f>
        <v>9783658329051</v>
      </c>
      <c r="D2135" t="str">
        <f>"9783658329068"</f>
        <v>9783658329068</v>
      </c>
      <c r="E2135" t="s">
        <v>3972</v>
      </c>
      <c r="F2135" t="s">
        <v>3998</v>
      </c>
      <c r="G2135" s="1">
        <v>44261</v>
      </c>
      <c r="H2135" s="1">
        <v>44315</v>
      </c>
      <c r="I2135" t="s">
        <v>189</v>
      </c>
      <c r="L2135" t="s">
        <v>5932</v>
      </c>
      <c r="M2135" t="s">
        <v>329</v>
      </c>
      <c r="N2135" t="s">
        <v>5933</v>
      </c>
      <c r="Q2135" t="s">
        <v>408</v>
      </c>
      <c r="R2135" t="s">
        <v>261</v>
      </c>
      <c r="S2135" t="s">
        <v>261</v>
      </c>
      <c r="T2135" t="s">
        <v>261</v>
      </c>
      <c r="U2135" t="s">
        <v>262</v>
      </c>
      <c r="V2135" t="s">
        <v>262</v>
      </c>
      <c r="W2135" t="s">
        <v>261</v>
      </c>
      <c r="X2135" t="s">
        <v>261</v>
      </c>
      <c r="Y2135" t="s">
        <v>261</v>
      </c>
      <c r="Z2135" t="s">
        <v>409</v>
      </c>
      <c r="AA2135" t="s">
        <v>409</v>
      </c>
      <c r="AB2135" t="s">
        <v>409</v>
      </c>
      <c r="AC2135" t="s">
        <v>409</v>
      </c>
      <c r="AD2135" t="s">
        <v>261</v>
      </c>
      <c r="AH2135" t="s">
        <v>262</v>
      </c>
      <c r="AI2135" t="s">
        <v>262</v>
      </c>
      <c r="AJ2135" t="s">
        <v>261</v>
      </c>
      <c r="AK2135" t="s">
        <v>261</v>
      </c>
      <c r="AM2135" t="s">
        <v>262</v>
      </c>
      <c r="AN2135" t="s">
        <v>5934</v>
      </c>
    </row>
    <row r="2136" spans="1:40" x14ac:dyDescent="0.35">
      <c r="A2136">
        <v>6511582</v>
      </c>
      <c r="B2136" t="s">
        <v>5935</v>
      </c>
      <c r="C2136" t="str">
        <f>"9789811593345"</f>
        <v>9789811593345</v>
      </c>
      <c r="D2136" t="str">
        <f>"9789811593352"</f>
        <v>9789811593352</v>
      </c>
      <c r="E2136" t="s">
        <v>3404</v>
      </c>
      <c r="F2136" t="s">
        <v>2290</v>
      </c>
      <c r="G2136" s="1">
        <v>44261</v>
      </c>
      <c r="H2136" s="1">
        <v>44315</v>
      </c>
      <c r="I2136" t="s">
        <v>189</v>
      </c>
      <c r="K2136" t="s">
        <v>5936</v>
      </c>
      <c r="L2136" t="s">
        <v>5937</v>
      </c>
    </row>
    <row r="2137" spans="1:40" x14ac:dyDescent="0.35">
      <c r="A2137">
        <v>6513467</v>
      </c>
      <c r="B2137" t="s">
        <v>5938</v>
      </c>
      <c r="C2137" t="str">
        <f>"9783030527372"</f>
        <v>9783030527372</v>
      </c>
      <c r="D2137" t="str">
        <f>"9783030527389"</f>
        <v>9783030527389</v>
      </c>
      <c r="E2137" t="s">
        <v>2289</v>
      </c>
      <c r="F2137" t="s">
        <v>2290</v>
      </c>
      <c r="G2137" s="1">
        <v>44148</v>
      </c>
      <c r="H2137" s="1">
        <v>44280</v>
      </c>
      <c r="I2137" t="s">
        <v>189</v>
      </c>
      <c r="K2137" t="s">
        <v>5939</v>
      </c>
      <c r="L2137" t="s">
        <v>5940</v>
      </c>
    </row>
    <row r="2138" spans="1:40" x14ac:dyDescent="0.35">
      <c r="A2138">
        <v>6515569</v>
      </c>
      <c r="B2138" t="s">
        <v>5941</v>
      </c>
      <c r="C2138" t="str">
        <f>"9783658186708"</f>
        <v>9783658186708</v>
      </c>
      <c r="D2138" t="str">
        <f>"9783658186715"</f>
        <v>9783658186715</v>
      </c>
      <c r="E2138" t="s">
        <v>3972</v>
      </c>
      <c r="F2138" t="s">
        <v>4048</v>
      </c>
      <c r="G2138" s="1">
        <v>44267</v>
      </c>
      <c r="H2138" s="1">
        <v>44315</v>
      </c>
      <c r="I2138" t="s">
        <v>189</v>
      </c>
      <c r="L2138" t="s">
        <v>5942</v>
      </c>
    </row>
    <row r="2139" spans="1:40" x14ac:dyDescent="0.35">
      <c r="A2139">
        <v>6515574</v>
      </c>
      <c r="B2139" t="s">
        <v>5943</v>
      </c>
      <c r="C2139" t="str">
        <f>"9783030589479"</f>
        <v>9783030589479</v>
      </c>
      <c r="D2139" t="str">
        <f>"9783030589486"</f>
        <v>9783030589486</v>
      </c>
      <c r="E2139" t="s">
        <v>2289</v>
      </c>
      <c r="F2139" t="s">
        <v>2290</v>
      </c>
      <c r="G2139" s="1">
        <v>44267</v>
      </c>
      <c r="H2139" s="1">
        <v>44315</v>
      </c>
      <c r="I2139" t="s">
        <v>189</v>
      </c>
      <c r="K2139" t="s">
        <v>5944</v>
      </c>
      <c r="L2139" t="s">
        <v>5945</v>
      </c>
    </row>
    <row r="2140" spans="1:40" x14ac:dyDescent="0.35">
      <c r="A2140">
        <v>6515583</v>
      </c>
      <c r="B2140" t="s">
        <v>5946</v>
      </c>
      <c r="C2140" t="str">
        <f>"9783030632762"</f>
        <v>9783030632762</v>
      </c>
      <c r="D2140" t="str">
        <f>"9783030632779"</f>
        <v>9783030632779</v>
      </c>
      <c r="E2140" t="s">
        <v>2289</v>
      </c>
      <c r="F2140" t="s">
        <v>2290</v>
      </c>
      <c r="G2140" s="1">
        <v>44267</v>
      </c>
      <c r="H2140" s="1">
        <v>44315</v>
      </c>
      <c r="I2140" t="s">
        <v>189</v>
      </c>
      <c r="L2140" t="s">
        <v>5947</v>
      </c>
      <c r="M2140" t="s">
        <v>339</v>
      </c>
    </row>
    <row r="2141" spans="1:40" x14ac:dyDescent="0.35">
      <c r="A2141">
        <v>6515814</v>
      </c>
      <c r="B2141" t="s">
        <v>5948</v>
      </c>
      <c r="C2141" t="str">
        <f>"9783030631345"</f>
        <v>9783030631345</v>
      </c>
      <c r="D2141" t="str">
        <f>"9783030631352"</f>
        <v>9783030631352</v>
      </c>
      <c r="E2141" t="s">
        <v>2289</v>
      </c>
      <c r="F2141" t="s">
        <v>2290</v>
      </c>
      <c r="G2141" s="1">
        <v>44267</v>
      </c>
      <c r="H2141" s="1">
        <v>44315</v>
      </c>
      <c r="I2141" t="s">
        <v>189</v>
      </c>
      <c r="L2141" t="s">
        <v>5949</v>
      </c>
    </row>
    <row r="2142" spans="1:40" x14ac:dyDescent="0.35">
      <c r="A2142">
        <v>6516155</v>
      </c>
      <c r="B2142" t="s">
        <v>5950</v>
      </c>
      <c r="C2142" t="str">
        <f>"9783658328856"</f>
        <v>9783658328856</v>
      </c>
      <c r="D2142" t="str">
        <f>"9783658328863"</f>
        <v>9783658328863</v>
      </c>
      <c r="E2142" t="s">
        <v>3972</v>
      </c>
      <c r="F2142" t="s">
        <v>3972</v>
      </c>
      <c r="G2142" s="1">
        <v>44267</v>
      </c>
      <c r="H2142" s="1">
        <v>44315</v>
      </c>
      <c r="I2142" t="s">
        <v>189</v>
      </c>
      <c r="K2142" t="s">
        <v>5951</v>
      </c>
      <c r="L2142" t="s">
        <v>5952</v>
      </c>
    </row>
    <row r="2143" spans="1:40" x14ac:dyDescent="0.35">
      <c r="A2143">
        <v>6518383</v>
      </c>
      <c r="B2143" t="s">
        <v>5953</v>
      </c>
      <c r="C2143" t="str">
        <f>""</f>
        <v/>
      </c>
      <c r="D2143" t="str">
        <f>"9789179296780"</f>
        <v>9789179296780</v>
      </c>
      <c r="E2143" t="s">
        <v>3642</v>
      </c>
      <c r="F2143" t="s">
        <v>3642</v>
      </c>
      <c r="G2143" s="1">
        <v>44265</v>
      </c>
      <c r="H2143" s="1">
        <v>44270</v>
      </c>
      <c r="I2143" t="s">
        <v>189</v>
      </c>
      <c r="J2143">
        <v>1</v>
      </c>
      <c r="L2143" t="s">
        <v>5954</v>
      </c>
      <c r="Q2143" t="s">
        <v>260</v>
      </c>
      <c r="R2143" t="s">
        <v>261</v>
      </c>
      <c r="S2143" t="s">
        <v>261</v>
      </c>
      <c r="T2143" t="s">
        <v>261</v>
      </c>
      <c r="U2143" t="s">
        <v>261</v>
      </c>
      <c r="V2143" t="s">
        <v>262</v>
      </c>
      <c r="W2143" t="s">
        <v>261</v>
      </c>
      <c r="X2143" t="s">
        <v>261</v>
      </c>
      <c r="Y2143" t="s">
        <v>261</v>
      </c>
      <c r="AD2143" t="s">
        <v>261</v>
      </c>
      <c r="AH2143" t="s">
        <v>262</v>
      </c>
      <c r="AI2143" t="s">
        <v>261</v>
      </c>
      <c r="AJ2143" t="s">
        <v>261</v>
      </c>
      <c r="AK2143" t="s">
        <v>261</v>
      </c>
      <c r="AM2143" t="s">
        <v>262</v>
      </c>
      <c r="AN2143" t="s">
        <v>5955</v>
      </c>
    </row>
    <row r="2144" spans="1:40" x14ac:dyDescent="0.35">
      <c r="A2144">
        <v>6518384</v>
      </c>
      <c r="B2144" t="s">
        <v>5956</v>
      </c>
      <c r="C2144" t="str">
        <f>""</f>
        <v/>
      </c>
      <c r="D2144" t="str">
        <f>"9789179296810"</f>
        <v>9789179296810</v>
      </c>
      <c r="E2144" t="s">
        <v>3642</v>
      </c>
      <c r="F2144" t="s">
        <v>3642</v>
      </c>
      <c r="G2144" s="1">
        <v>44264</v>
      </c>
      <c r="H2144" s="1">
        <v>44270</v>
      </c>
      <c r="I2144" t="s">
        <v>189</v>
      </c>
      <c r="J2144">
        <v>1</v>
      </c>
      <c r="L2144" t="s">
        <v>5957</v>
      </c>
      <c r="Q2144" t="s">
        <v>260</v>
      </c>
      <c r="R2144" t="s">
        <v>261</v>
      </c>
      <c r="S2144" t="s">
        <v>261</v>
      </c>
      <c r="T2144" t="s">
        <v>261</v>
      </c>
      <c r="U2144" t="s">
        <v>261</v>
      </c>
      <c r="V2144" t="s">
        <v>262</v>
      </c>
      <c r="W2144" t="s">
        <v>261</v>
      </c>
      <c r="X2144" t="s">
        <v>261</v>
      </c>
      <c r="Y2144" t="s">
        <v>261</v>
      </c>
      <c r="AD2144" t="s">
        <v>261</v>
      </c>
      <c r="AH2144" t="s">
        <v>262</v>
      </c>
      <c r="AI2144" t="s">
        <v>261</v>
      </c>
      <c r="AJ2144" t="s">
        <v>261</v>
      </c>
      <c r="AK2144" t="s">
        <v>261</v>
      </c>
      <c r="AM2144" t="s">
        <v>262</v>
      </c>
      <c r="AN2144" t="s">
        <v>5958</v>
      </c>
    </row>
    <row r="2145" spans="1:40" x14ac:dyDescent="0.35">
      <c r="A2145">
        <v>6520824</v>
      </c>
      <c r="B2145" t="s">
        <v>5959</v>
      </c>
      <c r="C2145" t="str">
        <f>"9783030723071"</f>
        <v>9783030723071</v>
      </c>
      <c r="D2145" t="str">
        <f>"9783030723088"</f>
        <v>9783030723088</v>
      </c>
      <c r="E2145" t="s">
        <v>2289</v>
      </c>
      <c r="F2145" t="s">
        <v>2290</v>
      </c>
      <c r="G2145" s="1">
        <v>44271</v>
      </c>
      <c r="H2145" s="1">
        <v>44315</v>
      </c>
      <c r="I2145" t="s">
        <v>189</v>
      </c>
      <c r="K2145" t="s">
        <v>4008</v>
      </c>
      <c r="L2145" t="s">
        <v>5960</v>
      </c>
    </row>
    <row r="2146" spans="1:40" x14ac:dyDescent="0.35">
      <c r="A2146">
        <v>6522084</v>
      </c>
      <c r="B2146" t="s">
        <v>5961</v>
      </c>
      <c r="C2146" t="str">
        <f>"9783030567941"</f>
        <v>9783030567941</v>
      </c>
      <c r="D2146" t="str">
        <f>"9783030567958"</f>
        <v>9783030567958</v>
      </c>
      <c r="E2146" t="s">
        <v>2289</v>
      </c>
      <c r="F2146" t="s">
        <v>2290</v>
      </c>
      <c r="G2146" s="1">
        <v>44273</v>
      </c>
      <c r="H2146" s="1">
        <v>44315</v>
      </c>
      <c r="I2146" t="s">
        <v>189</v>
      </c>
      <c r="L2146" t="s">
        <v>5962</v>
      </c>
      <c r="M2146" t="s">
        <v>339</v>
      </c>
      <c r="N2146" t="s">
        <v>5963</v>
      </c>
      <c r="Q2146" t="s">
        <v>260</v>
      </c>
      <c r="R2146" t="s">
        <v>261</v>
      </c>
      <c r="S2146" t="s">
        <v>261</v>
      </c>
      <c r="T2146" t="s">
        <v>261</v>
      </c>
      <c r="U2146" t="s">
        <v>262</v>
      </c>
      <c r="V2146" t="s">
        <v>262</v>
      </c>
      <c r="W2146" t="s">
        <v>261</v>
      </c>
      <c r="X2146" t="s">
        <v>261</v>
      </c>
      <c r="Y2146" t="s">
        <v>261</v>
      </c>
      <c r="Z2146" t="s">
        <v>409</v>
      </c>
      <c r="AA2146" t="s">
        <v>409</v>
      </c>
      <c r="AB2146" t="s">
        <v>409</v>
      </c>
      <c r="AC2146" t="s">
        <v>409</v>
      </c>
      <c r="AD2146" t="s">
        <v>261</v>
      </c>
      <c r="AH2146" t="s">
        <v>262</v>
      </c>
      <c r="AI2146" t="s">
        <v>262</v>
      </c>
      <c r="AJ2146" t="s">
        <v>261</v>
      </c>
      <c r="AK2146" t="s">
        <v>261</v>
      </c>
      <c r="AM2146" t="s">
        <v>262</v>
      </c>
      <c r="AN2146" t="s">
        <v>5964</v>
      </c>
    </row>
    <row r="2147" spans="1:40" x14ac:dyDescent="0.35">
      <c r="A2147">
        <v>6522091</v>
      </c>
      <c r="B2147" t="s">
        <v>5965</v>
      </c>
      <c r="C2147" t="str">
        <f>"9783030699772"</f>
        <v>9783030699772</v>
      </c>
      <c r="D2147" t="str">
        <f>"9783030699789"</f>
        <v>9783030699789</v>
      </c>
      <c r="E2147" t="s">
        <v>2289</v>
      </c>
      <c r="F2147" t="s">
        <v>2290</v>
      </c>
      <c r="G2147" s="1">
        <v>44273</v>
      </c>
      <c r="H2147" s="1">
        <v>44315</v>
      </c>
      <c r="I2147" t="s">
        <v>189</v>
      </c>
      <c r="K2147" t="s">
        <v>4317</v>
      </c>
      <c r="L2147" t="s">
        <v>5966</v>
      </c>
      <c r="M2147" t="s">
        <v>535</v>
      </c>
      <c r="N2147" t="s">
        <v>5967</v>
      </c>
      <c r="Q2147" t="s">
        <v>260</v>
      </c>
      <c r="R2147" t="s">
        <v>261</v>
      </c>
      <c r="S2147" t="s">
        <v>261</v>
      </c>
      <c r="T2147" t="s">
        <v>261</v>
      </c>
      <c r="U2147" t="s">
        <v>262</v>
      </c>
      <c r="V2147" t="s">
        <v>262</v>
      </c>
      <c r="W2147" t="s">
        <v>261</v>
      </c>
      <c r="X2147" t="s">
        <v>261</v>
      </c>
      <c r="Y2147" t="s">
        <v>261</v>
      </c>
      <c r="Z2147" t="s">
        <v>409</v>
      </c>
      <c r="AA2147" t="s">
        <v>409</v>
      </c>
      <c r="AB2147" t="s">
        <v>409</v>
      </c>
      <c r="AC2147" t="s">
        <v>409</v>
      </c>
      <c r="AD2147" t="s">
        <v>261</v>
      </c>
      <c r="AH2147" t="s">
        <v>262</v>
      </c>
      <c r="AI2147" t="s">
        <v>262</v>
      </c>
      <c r="AJ2147" t="s">
        <v>261</v>
      </c>
      <c r="AK2147" t="s">
        <v>261</v>
      </c>
      <c r="AM2147" t="s">
        <v>262</v>
      </c>
      <c r="AN2147" t="s">
        <v>5968</v>
      </c>
    </row>
    <row r="2148" spans="1:40" x14ac:dyDescent="0.35">
      <c r="A2148">
        <v>6522108</v>
      </c>
      <c r="B2148" t="s">
        <v>5969</v>
      </c>
      <c r="C2148" t="str">
        <f>"9781800640726"</f>
        <v>9781800640726</v>
      </c>
      <c r="D2148" t="str">
        <f>"9781800640733"</f>
        <v>9781800640733</v>
      </c>
      <c r="E2148" t="s">
        <v>1807</v>
      </c>
      <c r="F2148" t="s">
        <v>1807</v>
      </c>
      <c r="G2148" s="1">
        <v>44227</v>
      </c>
      <c r="H2148" s="1">
        <v>44274</v>
      </c>
      <c r="I2148" t="s">
        <v>189</v>
      </c>
      <c r="J2148">
        <v>1</v>
      </c>
      <c r="L2148" t="s">
        <v>5970</v>
      </c>
    </row>
    <row r="2149" spans="1:40" x14ac:dyDescent="0.35">
      <c r="A2149">
        <v>6522109</v>
      </c>
      <c r="B2149" t="s">
        <v>5971</v>
      </c>
      <c r="C2149" t="str">
        <f>"9781800640603"</f>
        <v>9781800640603</v>
      </c>
      <c r="D2149" t="str">
        <f>"9781800640610"</f>
        <v>9781800640610</v>
      </c>
      <c r="E2149" t="s">
        <v>1807</v>
      </c>
      <c r="F2149" t="s">
        <v>1807</v>
      </c>
      <c r="G2149" s="1">
        <v>44244</v>
      </c>
      <c r="H2149" s="1">
        <v>44274</v>
      </c>
      <c r="I2149" t="s">
        <v>189</v>
      </c>
      <c r="J2149">
        <v>1</v>
      </c>
      <c r="K2149" t="s">
        <v>5606</v>
      </c>
      <c r="L2149" t="s">
        <v>5972</v>
      </c>
    </row>
    <row r="2150" spans="1:40" x14ac:dyDescent="0.35">
      <c r="A2150">
        <v>6523259</v>
      </c>
      <c r="B2150" t="s">
        <v>5973</v>
      </c>
      <c r="C2150" t="str">
        <f>"9783030720155"</f>
        <v>9783030720155</v>
      </c>
      <c r="D2150" t="str">
        <f>"9783030720162"</f>
        <v>9783030720162</v>
      </c>
      <c r="E2150" t="s">
        <v>2289</v>
      </c>
      <c r="F2150" t="s">
        <v>2290</v>
      </c>
      <c r="G2150" s="1">
        <v>44275</v>
      </c>
      <c r="H2150" s="1">
        <v>44315</v>
      </c>
      <c r="I2150" t="s">
        <v>189</v>
      </c>
      <c r="K2150" t="s">
        <v>4008</v>
      </c>
      <c r="L2150" t="s">
        <v>5974</v>
      </c>
    </row>
    <row r="2151" spans="1:40" x14ac:dyDescent="0.35">
      <c r="A2151">
        <v>6523263</v>
      </c>
      <c r="B2151" t="s">
        <v>5975</v>
      </c>
      <c r="C2151" t="str">
        <f>"9783030656164"</f>
        <v>9783030656164</v>
      </c>
      <c r="D2151" t="str">
        <f>"9783030656171"</f>
        <v>9783030656171</v>
      </c>
      <c r="E2151" t="s">
        <v>2289</v>
      </c>
      <c r="F2151" t="s">
        <v>2290</v>
      </c>
      <c r="G2151" s="1">
        <v>44275</v>
      </c>
      <c r="H2151" s="1">
        <v>44315</v>
      </c>
      <c r="I2151" t="s">
        <v>189</v>
      </c>
      <c r="K2151" t="s">
        <v>5976</v>
      </c>
      <c r="L2151" t="s">
        <v>5977</v>
      </c>
    </row>
    <row r="2152" spans="1:40" x14ac:dyDescent="0.35">
      <c r="A2152">
        <v>6523267</v>
      </c>
      <c r="B2152" t="s">
        <v>5978</v>
      </c>
      <c r="C2152" t="str">
        <f>"9783030677114"</f>
        <v>9783030677114</v>
      </c>
      <c r="D2152" t="str">
        <f>"9783030677121"</f>
        <v>9783030677121</v>
      </c>
      <c r="E2152" t="s">
        <v>2289</v>
      </c>
      <c r="F2152" t="s">
        <v>2290</v>
      </c>
      <c r="G2152" s="1">
        <v>44275</v>
      </c>
      <c r="H2152" s="1">
        <v>44315</v>
      </c>
      <c r="I2152" t="s">
        <v>189</v>
      </c>
      <c r="L2152" t="s">
        <v>5979</v>
      </c>
      <c r="M2152" t="s">
        <v>329</v>
      </c>
      <c r="N2152" t="s">
        <v>4064</v>
      </c>
      <c r="Q2152" t="s">
        <v>260</v>
      </c>
      <c r="R2152" t="s">
        <v>261</v>
      </c>
      <c r="S2152" t="s">
        <v>261</v>
      </c>
      <c r="T2152" t="s">
        <v>261</v>
      </c>
      <c r="U2152" t="s">
        <v>262</v>
      </c>
      <c r="V2152" t="s">
        <v>262</v>
      </c>
      <c r="W2152" t="s">
        <v>261</v>
      </c>
      <c r="X2152" t="s">
        <v>261</v>
      </c>
      <c r="Y2152" t="s">
        <v>261</v>
      </c>
      <c r="Z2152" t="s">
        <v>409</v>
      </c>
      <c r="AA2152" t="s">
        <v>409</v>
      </c>
      <c r="AB2152" t="s">
        <v>409</v>
      </c>
      <c r="AC2152" t="s">
        <v>409</v>
      </c>
      <c r="AD2152" t="s">
        <v>261</v>
      </c>
      <c r="AH2152" t="s">
        <v>262</v>
      </c>
      <c r="AI2152" t="s">
        <v>262</v>
      </c>
      <c r="AJ2152" t="s">
        <v>261</v>
      </c>
      <c r="AK2152" t="s">
        <v>261</v>
      </c>
      <c r="AM2152" t="s">
        <v>262</v>
      </c>
      <c r="AN2152" t="s">
        <v>5980</v>
      </c>
    </row>
    <row r="2153" spans="1:40" x14ac:dyDescent="0.35">
      <c r="A2153">
        <v>6523277</v>
      </c>
      <c r="B2153" t="s">
        <v>5981</v>
      </c>
      <c r="C2153" t="str">
        <f>"9783030714994"</f>
        <v>9783030714994</v>
      </c>
      <c r="D2153" t="str">
        <f>"9783030715007"</f>
        <v>9783030715007</v>
      </c>
      <c r="E2153" t="s">
        <v>2289</v>
      </c>
      <c r="F2153" t="s">
        <v>2290</v>
      </c>
      <c r="G2153" s="1">
        <v>44275</v>
      </c>
      <c r="H2153" s="1">
        <v>44315</v>
      </c>
      <c r="I2153" t="s">
        <v>189</v>
      </c>
      <c r="K2153" t="s">
        <v>4008</v>
      </c>
      <c r="L2153" t="s">
        <v>5982</v>
      </c>
    </row>
    <row r="2154" spans="1:40" x14ac:dyDescent="0.35">
      <c r="A2154">
        <v>6523281</v>
      </c>
      <c r="B2154" t="s">
        <v>5983</v>
      </c>
      <c r="C2154" t="str">
        <f>"9783658321581"</f>
        <v>9783658321581</v>
      </c>
      <c r="D2154" t="str">
        <f>"9783658321598"</f>
        <v>9783658321598</v>
      </c>
      <c r="E2154" t="s">
        <v>3972</v>
      </c>
      <c r="F2154" t="s">
        <v>3998</v>
      </c>
      <c r="G2154" s="1">
        <v>44275</v>
      </c>
      <c r="H2154" s="1">
        <v>44315</v>
      </c>
      <c r="I2154" t="s">
        <v>189</v>
      </c>
      <c r="L2154" t="s">
        <v>5984</v>
      </c>
    </row>
    <row r="2155" spans="1:40" x14ac:dyDescent="0.35">
      <c r="A2155">
        <v>6523289</v>
      </c>
      <c r="B2155" t="s">
        <v>5985</v>
      </c>
      <c r="C2155" t="str">
        <f>"9783658314552"</f>
        <v>9783658314552</v>
      </c>
      <c r="D2155" t="str">
        <f>"9783658314569"</f>
        <v>9783658314569</v>
      </c>
      <c r="E2155" t="s">
        <v>3972</v>
      </c>
      <c r="F2155" t="s">
        <v>3972</v>
      </c>
      <c r="G2155" s="1">
        <v>44275</v>
      </c>
      <c r="H2155" s="1">
        <v>44315</v>
      </c>
      <c r="I2155" t="s">
        <v>189</v>
      </c>
      <c r="L2155" t="s">
        <v>5986</v>
      </c>
    </row>
    <row r="2156" spans="1:40" x14ac:dyDescent="0.35">
      <c r="A2156">
        <v>6523332</v>
      </c>
      <c r="B2156" t="s">
        <v>5987</v>
      </c>
      <c r="C2156" t="str">
        <f>""</f>
        <v/>
      </c>
      <c r="D2156" t="str">
        <f>"9789179296773"</f>
        <v>9789179296773</v>
      </c>
      <c r="E2156" t="s">
        <v>3642</v>
      </c>
      <c r="F2156" t="s">
        <v>3642</v>
      </c>
      <c r="G2156" s="1">
        <v>44270</v>
      </c>
      <c r="H2156" s="1">
        <v>44291</v>
      </c>
      <c r="I2156" t="s">
        <v>189</v>
      </c>
      <c r="J2156">
        <v>1</v>
      </c>
      <c r="L2156" t="s">
        <v>5988</v>
      </c>
      <c r="Q2156" t="s">
        <v>260</v>
      </c>
      <c r="R2156" t="s">
        <v>261</v>
      </c>
      <c r="S2156" t="s">
        <v>261</v>
      </c>
      <c r="T2156" t="s">
        <v>261</v>
      </c>
      <c r="U2156" t="s">
        <v>261</v>
      </c>
      <c r="V2156" t="s">
        <v>262</v>
      </c>
      <c r="W2156" t="s">
        <v>261</v>
      </c>
      <c r="X2156" t="s">
        <v>261</v>
      </c>
      <c r="Y2156" t="s">
        <v>261</v>
      </c>
      <c r="AD2156" t="s">
        <v>261</v>
      </c>
      <c r="AH2156" t="s">
        <v>262</v>
      </c>
      <c r="AI2156" t="s">
        <v>261</v>
      </c>
      <c r="AJ2156" t="s">
        <v>261</v>
      </c>
      <c r="AK2156" t="s">
        <v>261</v>
      </c>
      <c r="AM2156" t="s">
        <v>262</v>
      </c>
      <c r="AN2156" t="s">
        <v>5989</v>
      </c>
    </row>
    <row r="2157" spans="1:40" x14ac:dyDescent="0.35">
      <c r="A2157">
        <v>6523333</v>
      </c>
      <c r="B2157" t="s">
        <v>5990</v>
      </c>
      <c r="C2157" t="str">
        <f>""</f>
        <v/>
      </c>
      <c r="D2157" t="str">
        <f>"9789179296971"</f>
        <v>9789179296971</v>
      </c>
      <c r="E2157" t="s">
        <v>3642</v>
      </c>
      <c r="F2157" t="s">
        <v>3642</v>
      </c>
      <c r="G2157" s="1">
        <v>44251</v>
      </c>
      <c r="H2157" s="1">
        <v>44298</v>
      </c>
      <c r="I2157" t="s">
        <v>189</v>
      </c>
      <c r="J2157">
        <v>1</v>
      </c>
      <c r="L2157" t="s">
        <v>5991</v>
      </c>
      <c r="Q2157" t="s">
        <v>260</v>
      </c>
      <c r="R2157" t="s">
        <v>261</v>
      </c>
      <c r="S2157" t="s">
        <v>261</v>
      </c>
      <c r="T2157" t="s">
        <v>261</v>
      </c>
      <c r="U2157" t="s">
        <v>261</v>
      </c>
      <c r="V2157" t="s">
        <v>262</v>
      </c>
      <c r="W2157" t="s">
        <v>261</v>
      </c>
      <c r="X2157" t="s">
        <v>261</v>
      </c>
      <c r="Y2157" t="s">
        <v>261</v>
      </c>
      <c r="AD2157" t="s">
        <v>261</v>
      </c>
      <c r="AH2157" t="s">
        <v>262</v>
      </c>
      <c r="AI2157" t="s">
        <v>261</v>
      </c>
      <c r="AJ2157" t="s">
        <v>261</v>
      </c>
      <c r="AK2157" t="s">
        <v>261</v>
      </c>
      <c r="AM2157" t="s">
        <v>262</v>
      </c>
      <c r="AN2157" t="s">
        <v>5992</v>
      </c>
    </row>
    <row r="2158" spans="1:40" x14ac:dyDescent="0.35">
      <c r="A2158">
        <v>6523352</v>
      </c>
      <c r="B2158" t="s">
        <v>5993</v>
      </c>
      <c r="C2158" t="str">
        <f>"9783030447656"</f>
        <v>9783030447656</v>
      </c>
      <c r="D2158" t="str">
        <f>"9783030447663"</f>
        <v>9783030447663</v>
      </c>
      <c r="E2158" t="s">
        <v>2289</v>
      </c>
      <c r="F2158" t="s">
        <v>2290</v>
      </c>
      <c r="G2158" s="1">
        <v>44173</v>
      </c>
      <c r="H2158" s="1">
        <v>44315</v>
      </c>
      <c r="I2158" t="s">
        <v>189</v>
      </c>
      <c r="L2158" t="s">
        <v>5994</v>
      </c>
    </row>
    <row r="2159" spans="1:40" x14ac:dyDescent="0.35">
      <c r="A2159">
        <v>6523361</v>
      </c>
      <c r="B2159" t="s">
        <v>5995</v>
      </c>
      <c r="C2159" t="str">
        <f>"9783030660727"</f>
        <v>9783030660727</v>
      </c>
      <c r="D2159" t="str">
        <f>"9783030660734"</f>
        <v>9783030660734</v>
      </c>
      <c r="E2159" t="s">
        <v>2289</v>
      </c>
      <c r="F2159" t="s">
        <v>2289</v>
      </c>
      <c r="G2159" s="1">
        <v>44275</v>
      </c>
      <c r="H2159" s="1">
        <v>44315</v>
      </c>
      <c r="I2159" t="s">
        <v>189</v>
      </c>
      <c r="K2159" t="s">
        <v>5996</v>
      </c>
      <c r="L2159" t="s">
        <v>5997</v>
      </c>
    </row>
    <row r="2160" spans="1:40" x14ac:dyDescent="0.35">
      <c r="A2160">
        <v>6523364</v>
      </c>
      <c r="B2160" t="s">
        <v>5998</v>
      </c>
      <c r="C2160" t="str">
        <f>"9783030662615"</f>
        <v>9783030662615</v>
      </c>
      <c r="D2160" t="str">
        <f>"9783030662622"</f>
        <v>9783030662622</v>
      </c>
      <c r="E2160" t="s">
        <v>2289</v>
      </c>
      <c r="F2160" t="s">
        <v>2290</v>
      </c>
      <c r="G2160" s="1">
        <v>44275</v>
      </c>
      <c r="H2160" s="1">
        <v>44315</v>
      </c>
      <c r="I2160" t="s">
        <v>189</v>
      </c>
      <c r="K2160" t="s">
        <v>5999</v>
      </c>
      <c r="L2160" t="s">
        <v>6000</v>
      </c>
    </row>
    <row r="2161" spans="1:40" x14ac:dyDescent="0.35">
      <c r="A2161">
        <v>6523365</v>
      </c>
      <c r="B2161" t="s">
        <v>6001</v>
      </c>
      <c r="C2161" t="str">
        <f>"9783030653545"</f>
        <v>9783030653545</v>
      </c>
      <c r="D2161" t="str">
        <f>"9783030653552"</f>
        <v>9783030653552</v>
      </c>
      <c r="E2161" t="s">
        <v>2289</v>
      </c>
      <c r="F2161" t="s">
        <v>2290</v>
      </c>
      <c r="G2161" s="1">
        <v>44275</v>
      </c>
      <c r="H2161" s="1">
        <v>44315</v>
      </c>
      <c r="I2161" t="s">
        <v>189</v>
      </c>
      <c r="L2161" t="s">
        <v>6002</v>
      </c>
    </row>
    <row r="2162" spans="1:40" x14ac:dyDescent="0.35">
      <c r="A2162">
        <v>6523369</v>
      </c>
      <c r="B2162" t="s">
        <v>6003</v>
      </c>
      <c r="C2162" t="str">
        <f>"9789811603433"</f>
        <v>9789811603433</v>
      </c>
      <c r="D2162" t="str">
        <f>"9789811603440"</f>
        <v>9789811603440</v>
      </c>
      <c r="E2162" t="s">
        <v>3404</v>
      </c>
      <c r="F2162" t="s">
        <v>2290</v>
      </c>
      <c r="G2162" s="1">
        <v>44275</v>
      </c>
      <c r="H2162" s="1">
        <v>44315</v>
      </c>
      <c r="I2162" t="s">
        <v>189</v>
      </c>
      <c r="L2162" t="s">
        <v>6004</v>
      </c>
      <c r="M2162" t="s">
        <v>535</v>
      </c>
    </row>
    <row r="2163" spans="1:40" x14ac:dyDescent="0.35">
      <c r="A2163">
        <v>6523370</v>
      </c>
      <c r="B2163" t="s">
        <v>6005</v>
      </c>
      <c r="C2163" t="str">
        <f>"9783658331382"</f>
        <v>9783658331382</v>
      </c>
      <c r="D2163" t="str">
        <f>"9783658331399"</f>
        <v>9783658331399</v>
      </c>
      <c r="E2163" t="s">
        <v>3972</v>
      </c>
      <c r="F2163" t="s">
        <v>3972</v>
      </c>
      <c r="G2163" s="1">
        <v>44275</v>
      </c>
      <c r="H2163" s="1">
        <v>44315</v>
      </c>
      <c r="I2163" t="s">
        <v>189</v>
      </c>
      <c r="K2163" t="s">
        <v>6006</v>
      </c>
      <c r="L2163" t="s">
        <v>6007</v>
      </c>
      <c r="M2163" t="s">
        <v>249</v>
      </c>
      <c r="N2163" t="s">
        <v>6008</v>
      </c>
      <c r="Q2163" t="s">
        <v>260</v>
      </c>
      <c r="R2163" t="s">
        <v>261</v>
      </c>
      <c r="S2163" t="s">
        <v>261</v>
      </c>
      <c r="T2163" t="s">
        <v>261</v>
      </c>
      <c r="U2163" t="s">
        <v>262</v>
      </c>
      <c r="V2163" t="s">
        <v>262</v>
      </c>
      <c r="W2163" t="s">
        <v>261</v>
      </c>
      <c r="X2163" t="s">
        <v>261</v>
      </c>
      <c r="Y2163" t="s">
        <v>261</v>
      </c>
      <c r="Z2163" t="s">
        <v>409</v>
      </c>
      <c r="AA2163" t="s">
        <v>409</v>
      </c>
      <c r="AB2163" t="s">
        <v>409</v>
      </c>
      <c r="AC2163" t="s">
        <v>409</v>
      </c>
      <c r="AD2163" t="s">
        <v>261</v>
      </c>
      <c r="AH2163" t="s">
        <v>262</v>
      </c>
      <c r="AI2163" t="s">
        <v>262</v>
      </c>
      <c r="AJ2163" t="s">
        <v>261</v>
      </c>
      <c r="AK2163" t="s">
        <v>261</v>
      </c>
      <c r="AM2163" t="s">
        <v>262</v>
      </c>
      <c r="AN2163" t="s">
        <v>6009</v>
      </c>
    </row>
    <row r="2164" spans="1:40" x14ac:dyDescent="0.35">
      <c r="A2164">
        <v>6523381</v>
      </c>
      <c r="B2164" t="s">
        <v>6010</v>
      </c>
      <c r="C2164" t="str">
        <f>"9789811578649"</f>
        <v>9789811578649</v>
      </c>
      <c r="D2164" t="str">
        <f>"9789811578656"</f>
        <v>9789811578656</v>
      </c>
      <c r="E2164" t="s">
        <v>3404</v>
      </c>
      <c r="F2164" t="s">
        <v>2663</v>
      </c>
      <c r="G2164" s="1">
        <v>44138</v>
      </c>
      <c r="H2164" s="1">
        <v>44280</v>
      </c>
      <c r="I2164" t="s">
        <v>189</v>
      </c>
      <c r="K2164" t="s">
        <v>5524</v>
      </c>
      <c r="L2164" t="s">
        <v>6011</v>
      </c>
      <c r="M2164" t="s">
        <v>239</v>
      </c>
    </row>
    <row r="2165" spans="1:40" x14ac:dyDescent="0.35">
      <c r="A2165">
        <v>6523389</v>
      </c>
      <c r="B2165" t="s">
        <v>6012</v>
      </c>
      <c r="C2165" t="str">
        <f>"9783030646226"</f>
        <v>9783030646226</v>
      </c>
      <c r="D2165" t="str">
        <f>"9783030646233"</f>
        <v>9783030646233</v>
      </c>
      <c r="E2165" t="s">
        <v>2289</v>
      </c>
      <c r="F2165" t="s">
        <v>2290</v>
      </c>
      <c r="G2165" s="1">
        <v>44275</v>
      </c>
      <c r="H2165" s="1">
        <v>44315</v>
      </c>
      <c r="I2165" t="s">
        <v>189</v>
      </c>
      <c r="K2165" t="s">
        <v>6013</v>
      </c>
      <c r="L2165" t="s">
        <v>6014</v>
      </c>
    </row>
    <row r="2166" spans="1:40" x14ac:dyDescent="0.35">
      <c r="A2166">
        <v>6523395</v>
      </c>
      <c r="B2166" t="s">
        <v>6015</v>
      </c>
      <c r="C2166" t="str">
        <f>"9783658330385"</f>
        <v>9783658330385</v>
      </c>
      <c r="D2166" t="str">
        <f>"9783658330392"</f>
        <v>9783658330392</v>
      </c>
      <c r="E2166" t="s">
        <v>3972</v>
      </c>
      <c r="F2166" t="s">
        <v>3998</v>
      </c>
      <c r="G2166" s="1">
        <v>44275</v>
      </c>
      <c r="H2166" s="1">
        <v>44315</v>
      </c>
      <c r="I2166" t="s">
        <v>189</v>
      </c>
      <c r="L2166" t="s">
        <v>6016</v>
      </c>
      <c r="M2166" t="s">
        <v>323</v>
      </c>
      <c r="N2166" t="s">
        <v>5339</v>
      </c>
      <c r="Q2166" t="s">
        <v>408</v>
      </c>
      <c r="R2166" t="s">
        <v>261</v>
      </c>
      <c r="S2166" t="s">
        <v>261</v>
      </c>
      <c r="T2166" t="s">
        <v>261</v>
      </c>
      <c r="U2166" t="s">
        <v>262</v>
      </c>
      <c r="V2166" t="s">
        <v>262</v>
      </c>
      <c r="W2166" t="s">
        <v>261</v>
      </c>
      <c r="X2166" t="s">
        <v>261</v>
      </c>
      <c r="Y2166" t="s">
        <v>261</v>
      </c>
      <c r="Z2166" t="s">
        <v>409</v>
      </c>
      <c r="AA2166" t="s">
        <v>409</v>
      </c>
      <c r="AB2166" t="s">
        <v>409</v>
      </c>
      <c r="AC2166" t="s">
        <v>409</v>
      </c>
      <c r="AD2166" t="s">
        <v>261</v>
      </c>
      <c r="AH2166" t="s">
        <v>262</v>
      </c>
      <c r="AI2166" t="s">
        <v>262</v>
      </c>
      <c r="AJ2166" t="s">
        <v>261</v>
      </c>
      <c r="AK2166" t="s">
        <v>261</v>
      </c>
      <c r="AM2166" t="s">
        <v>262</v>
      </c>
      <c r="AN2166" t="s">
        <v>6017</v>
      </c>
    </row>
    <row r="2167" spans="1:40" x14ac:dyDescent="0.35">
      <c r="A2167">
        <v>6523396</v>
      </c>
      <c r="B2167" t="s">
        <v>6018</v>
      </c>
      <c r="C2167" t="str">
        <f>"9783658332129"</f>
        <v>9783658332129</v>
      </c>
      <c r="D2167" t="str">
        <f>"9783658332136"</f>
        <v>9783658332136</v>
      </c>
      <c r="E2167" t="s">
        <v>3972</v>
      </c>
      <c r="F2167" t="s">
        <v>3998</v>
      </c>
      <c r="G2167" s="1">
        <v>44275</v>
      </c>
      <c r="H2167" s="1">
        <v>44315</v>
      </c>
      <c r="I2167" t="s">
        <v>189</v>
      </c>
      <c r="K2167" t="s">
        <v>4874</v>
      </c>
      <c r="L2167" t="s">
        <v>6019</v>
      </c>
      <c r="M2167" t="s">
        <v>210</v>
      </c>
      <c r="N2167" t="s">
        <v>6020</v>
      </c>
      <c r="Q2167" t="s">
        <v>408</v>
      </c>
      <c r="R2167" t="s">
        <v>261</v>
      </c>
      <c r="S2167" t="s">
        <v>261</v>
      </c>
      <c r="T2167" t="s">
        <v>261</v>
      </c>
      <c r="U2167" t="s">
        <v>262</v>
      </c>
      <c r="V2167" t="s">
        <v>262</v>
      </c>
      <c r="W2167" t="s">
        <v>261</v>
      </c>
      <c r="X2167" t="s">
        <v>261</v>
      </c>
      <c r="Y2167" t="s">
        <v>261</v>
      </c>
      <c r="Z2167" t="s">
        <v>409</v>
      </c>
      <c r="AA2167" t="s">
        <v>409</v>
      </c>
      <c r="AB2167" t="s">
        <v>409</v>
      </c>
      <c r="AC2167" t="s">
        <v>409</v>
      </c>
      <c r="AD2167" t="s">
        <v>261</v>
      </c>
      <c r="AH2167" t="s">
        <v>262</v>
      </c>
      <c r="AI2167" t="s">
        <v>262</v>
      </c>
      <c r="AJ2167" t="s">
        <v>261</v>
      </c>
      <c r="AK2167" t="s">
        <v>261</v>
      </c>
      <c r="AM2167" t="s">
        <v>262</v>
      </c>
      <c r="AN2167" t="s">
        <v>6021</v>
      </c>
    </row>
    <row r="2168" spans="1:40" x14ac:dyDescent="0.35">
      <c r="A2168">
        <v>6523399</v>
      </c>
      <c r="B2168" t="s">
        <v>6022</v>
      </c>
      <c r="C2168" t="str">
        <f>"9783030685966"</f>
        <v>9783030685966</v>
      </c>
      <c r="D2168" t="str">
        <f>"9783030685973"</f>
        <v>9783030685973</v>
      </c>
      <c r="E2168" t="s">
        <v>2289</v>
      </c>
      <c r="F2168" t="s">
        <v>2290</v>
      </c>
      <c r="G2168" s="1">
        <v>44275</v>
      </c>
      <c r="H2168" s="1">
        <v>44315</v>
      </c>
      <c r="I2168" t="s">
        <v>189</v>
      </c>
      <c r="K2168" t="s">
        <v>4011</v>
      </c>
      <c r="L2168" t="s">
        <v>6023</v>
      </c>
    </row>
    <row r="2169" spans="1:40" x14ac:dyDescent="0.35">
      <c r="A2169">
        <v>6524970</v>
      </c>
      <c r="B2169" t="s">
        <v>6024</v>
      </c>
      <c r="C2169" t="str">
        <f>"9783030719944"</f>
        <v>9783030719944</v>
      </c>
      <c r="D2169" t="str">
        <f>"9783030719951"</f>
        <v>9783030719951</v>
      </c>
      <c r="E2169" t="s">
        <v>2289</v>
      </c>
      <c r="F2169" t="s">
        <v>2290</v>
      </c>
      <c r="G2169" s="1">
        <v>44278</v>
      </c>
      <c r="H2169" s="1">
        <v>44315</v>
      </c>
      <c r="I2169" t="s">
        <v>189</v>
      </c>
      <c r="K2169" t="s">
        <v>4008</v>
      </c>
      <c r="L2169" t="s">
        <v>6025</v>
      </c>
    </row>
    <row r="2170" spans="1:40" x14ac:dyDescent="0.35">
      <c r="A2170">
        <v>6524978</v>
      </c>
      <c r="B2170" t="s">
        <v>6026</v>
      </c>
      <c r="C2170" t="str">
        <f>"9783030720124"</f>
        <v>9783030720124</v>
      </c>
      <c r="D2170" t="str">
        <f>"9783030720131"</f>
        <v>9783030720131</v>
      </c>
      <c r="E2170" t="s">
        <v>2289</v>
      </c>
      <c r="F2170" t="s">
        <v>2290</v>
      </c>
      <c r="G2170" s="1">
        <v>44278</v>
      </c>
      <c r="H2170" s="1">
        <v>44315</v>
      </c>
      <c r="I2170" t="s">
        <v>189</v>
      </c>
      <c r="K2170" t="s">
        <v>4008</v>
      </c>
      <c r="L2170" t="s">
        <v>5974</v>
      </c>
    </row>
    <row r="2171" spans="1:40" x14ac:dyDescent="0.35">
      <c r="A2171">
        <v>6524979</v>
      </c>
      <c r="B2171" t="s">
        <v>6027</v>
      </c>
      <c r="C2171" t="str">
        <f>"9783030617271"</f>
        <v>9783030617271</v>
      </c>
      <c r="D2171" t="str">
        <f>"9783030617288"</f>
        <v>9783030617288</v>
      </c>
      <c r="E2171" t="s">
        <v>2289</v>
      </c>
      <c r="F2171" t="s">
        <v>2290</v>
      </c>
      <c r="G2171" s="1">
        <v>44278</v>
      </c>
      <c r="H2171" s="1">
        <v>44315</v>
      </c>
      <c r="I2171" t="s">
        <v>189</v>
      </c>
      <c r="K2171" t="s">
        <v>6028</v>
      </c>
      <c r="L2171" t="s">
        <v>6029</v>
      </c>
    </row>
    <row r="2172" spans="1:40" x14ac:dyDescent="0.35">
      <c r="A2172">
        <v>6524996</v>
      </c>
      <c r="B2172" t="s">
        <v>6030</v>
      </c>
      <c r="C2172" t="str">
        <f>"9783030720186"</f>
        <v>9783030720186</v>
      </c>
      <c r="D2172" t="str">
        <f>"9783030720193"</f>
        <v>9783030720193</v>
      </c>
      <c r="E2172" t="s">
        <v>2289</v>
      </c>
      <c r="F2172" t="s">
        <v>2290</v>
      </c>
      <c r="G2172" s="1">
        <v>44278</v>
      </c>
      <c r="H2172" s="1">
        <v>44315</v>
      </c>
      <c r="I2172" t="s">
        <v>189</v>
      </c>
      <c r="K2172" t="s">
        <v>4008</v>
      </c>
      <c r="L2172" t="s">
        <v>6031</v>
      </c>
      <c r="M2172" t="s">
        <v>582</v>
      </c>
      <c r="N2172" t="s">
        <v>4625</v>
      </c>
      <c r="Q2172" t="s">
        <v>260</v>
      </c>
      <c r="R2172" t="s">
        <v>261</v>
      </c>
      <c r="S2172" t="s">
        <v>261</v>
      </c>
      <c r="T2172" t="s">
        <v>261</v>
      </c>
      <c r="U2172" t="s">
        <v>262</v>
      </c>
      <c r="V2172" t="s">
        <v>262</v>
      </c>
      <c r="W2172" t="s">
        <v>261</v>
      </c>
      <c r="X2172" t="s">
        <v>261</v>
      </c>
      <c r="Y2172" t="s">
        <v>261</v>
      </c>
      <c r="Z2172" t="s">
        <v>409</v>
      </c>
      <c r="AA2172" t="s">
        <v>409</v>
      </c>
      <c r="AB2172" t="s">
        <v>409</v>
      </c>
      <c r="AC2172" t="s">
        <v>409</v>
      </c>
      <c r="AD2172" t="s">
        <v>261</v>
      </c>
      <c r="AH2172" t="s">
        <v>262</v>
      </c>
      <c r="AI2172" t="s">
        <v>262</v>
      </c>
      <c r="AJ2172" t="s">
        <v>261</v>
      </c>
      <c r="AK2172" t="s">
        <v>261</v>
      </c>
      <c r="AM2172" t="s">
        <v>262</v>
      </c>
      <c r="AN2172" t="s">
        <v>6032</v>
      </c>
    </row>
    <row r="2173" spans="1:40" x14ac:dyDescent="0.35">
      <c r="A2173">
        <v>6525003</v>
      </c>
      <c r="B2173" t="s">
        <v>6033</v>
      </c>
      <c r="C2173" t="str">
        <f>"9783030323448"</f>
        <v>9783030323448</v>
      </c>
      <c r="D2173" t="str">
        <f>"9783030323455"</f>
        <v>9783030323455</v>
      </c>
      <c r="E2173" t="s">
        <v>2289</v>
      </c>
      <c r="F2173" t="s">
        <v>2290</v>
      </c>
      <c r="G2173" s="1">
        <v>44012</v>
      </c>
      <c r="H2173" s="1">
        <v>44315</v>
      </c>
      <c r="I2173" t="s">
        <v>189</v>
      </c>
      <c r="K2173" t="s">
        <v>6034</v>
      </c>
      <c r="L2173" t="s">
        <v>6035</v>
      </c>
    </row>
    <row r="2174" spans="1:40" x14ac:dyDescent="0.35">
      <c r="A2174">
        <v>6525080</v>
      </c>
      <c r="B2174" t="s">
        <v>6036</v>
      </c>
      <c r="C2174" t="str">
        <f>"9783030616007"</f>
        <v>9783030616007</v>
      </c>
      <c r="D2174" t="str">
        <f>"9783030616014"</f>
        <v>9783030616014</v>
      </c>
      <c r="E2174" t="s">
        <v>2289</v>
      </c>
      <c r="F2174" t="s">
        <v>2290</v>
      </c>
      <c r="G2174" s="1">
        <v>44278</v>
      </c>
      <c r="H2174" s="1">
        <v>44315</v>
      </c>
      <c r="I2174" t="s">
        <v>189</v>
      </c>
      <c r="L2174" t="s">
        <v>6037</v>
      </c>
    </row>
    <row r="2175" spans="1:40" x14ac:dyDescent="0.35">
      <c r="A2175">
        <v>6525474</v>
      </c>
      <c r="B2175" t="s">
        <v>6038</v>
      </c>
      <c r="C2175" t="str">
        <f>"9783030686697"</f>
        <v>9783030686697</v>
      </c>
      <c r="D2175" t="str">
        <f>"9783030686703"</f>
        <v>9783030686703</v>
      </c>
      <c r="E2175" t="s">
        <v>2289</v>
      </c>
      <c r="F2175" t="s">
        <v>2290</v>
      </c>
      <c r="G2175" s="1">
        <v>44279</v>
      </c>
      <c r="H2175" s="1">
        <v>44315</v>
      </c>
      <c r="I2175" t="s">
        <v>189</v>
      </c>
      <c r="K2175" t="s">
        <v>6039</v>
      </c>
      <c r="L2175" t="s">
        <v>6040</v>
      </c>
    </row>
    <row r="2176" spans="1:40" x14ac:dyDescent="0.35">
      <c r="A2176">
        <v>6527531</v>
      </c>
      <c r="B2176" t="s">
        <v>6041</v>
      </c>
      <c r="C2176" t="str">
        <f>"9783030673376"</f>
        <v>9783030673376</v>
      </c>
      <c r="D2176" t="str">
        <f>"9783030673383"</f>
        <v>9783030673383</v>
      </c>
      <c r="E2176" t="s">
        <v>2289</v>
      </c>
      <c r="F2176" t="s">
        <v>2663</v>
      </c>
      <c r="G2176" s="1">
        <v>44281</v>
      </c>
      <c r="H2176" s="1">
        <v>44315</v>
      </c>
      <c r="I2176" t="s">
        <v>189</v>
      </c>
      <c r="L2176" t="s">
        <v>6042</v>
      </c>
      <c r="M2176" t="s">
        <v>249</v>
      </c>
      <c r="N2176" t="s">
        <v>6043</v>
      </c>
      <c r="O2176" s="2">
        <v>658812</v>
      </c>
      <c r="Q2176" t="s">
        <v>260</v>
      </c>
      <c r="R2176" t="s">
        <v>261</v>
      </c>
      <c r="S2176" t="s">
        <v>261</v>
      </c>
      <c r="T2176" t="s">
        <v>261</v>
      </c>
      <c r="U2176" t="s">
        <v>262</v>
      </c>
      <c r="V2176" t="s">
        <v>262</v>
      </c>
      <c r="W2176" t="s">
        <v>261</v>
      </c>
      <c r="X2176" t="s">
        <v>261</v>
      </c>
      <c r="Y2176" t="s">
        <v>261</v>
      </c>
      <c r="Z2176" t="s">
        <v>409</v>
      </c>
      <c r="AA2176" t="s">
        <v>409</v>
      </c>
      <c r="AB2176" t="s">
        <v>409</v>
      </c>
      <c r="AC2176" t="s">
        <v>409</v>
      </c>
      <c r="AD2176" t="s">
        <v>261</v>
      </c>
      <c r="AH2176" t="s">
        <v>262</v>
      </c>
      <c r="AI2176" t="s">
        <v>262</v>
      </c>
      <c r="AJ2176" t="s">
        <v>261</v>
      </c>
      <c r="AK2176" t="s">
        <v>261</v>
      </c>
      <c r="AM2176" t="s">
        <v>262</v>
      </c>
      <c r="AN2176" t="s">
        <v>6044</v>
      </c>
    </row>
    <row r="2177" spans="1:40" x14ac:dyDescent="0.35">
      <c r="A2177">
        <v>6527603</v>
      </c>
      <c r="B2177" t="s">
        <v>6045</v>
      </c>
      <c r="C2177" t="str">
        <f>"9781618115966"</f>
        <v>9781618115966</v>
      </c>
      <c r="D2177" t="str">
        <f>"9781618119087"</f>
        <v>9781618119087</v>
      </c>
      <c r="E2177" t="s">
        <v>1592</v>
      </c>
      <c r="F2177" t="s">
        <v>1592</v>
      </c>
      <c r="G2177" s="1">
        <v>43418</v>
      </c>
      <c r="H2177" s="1">
        <v>44397</v>
      </c>
      <c r="I2177" t="s">
        <v>189</v>
      </c>
      <c r="J2177">
        <v>1</v>
      </c>
      <c r="K2177" t="s">
        <v>6046</v>
      </c>
      <c r="L2177" t="s">
        <v>2100</v>
      </c>
      <c r="M2177" t="s">
        <v>239</v>
      </c>
    </row>
    <row r="2178" spans="1:40" x14ac:dyDescent="0.35">
      <c r="A2178">
        <v>6527604</v>
      </c>
      <c r="B2178" t="s">
        <v>6047</v>
      </c>
      <c r="C2178" t="str">
        <f>"9781618116161"</f>
        <v>9781618116161</v>
      </c>
      <c r="D2178" t="str">
        <f>"9781618119070"</f>
        <v>9781618119070</v>
      </c>
      <c r="E2178" t="s">
        <v>1592</v>
      </c>
      <c r="F2178" t="s">
        <v>1592</v>
      </c>
      <c r="G2178" s="1">
        <v>43413</v>
      </c>
      <c r="H2178" s="1">
        <v>44357</v>
      </c>
      <c r="I2178" t="s">
        <v>189</v>
      </c>
      <c r="J2178">
        <v>1</v>
      </c>
      <c r="K2178" t="s">
        <v>6048</v>
      </c>
      <c r="L2178" t="s">
        <v>6049</v>
      </c>
      <c r="M2178" t="s">
        <v>329</v>
      </c>
      <c r="O2178" s="2">
        <v>36288082</v>
      </c>
      <c r="Q2178" t="s">
        <v>260</v>
      </c>
      <c r="R2178" t="s">
        <v>261</v>
      </c>
      <c r="S2178" t="s">
        <v>261</v>
      </c>
      <c r="T2178" t="s">
        <v>261</v>
      </c>
      <c r="U2178" t="s">
        <v>261</v>
      </c>
      <c r="V2178" t="s">
        <v>262</v>
      </c>
      <c r="W2178" t="s">
        <v>261</v>
      </c>
      <c r="X2178" t="s">
        <v>261</v>
      </c>
      <c r="Y2178" t="s">
        <v>261</v>
      </c>
      <c r="Z2178" t="s">
        <v>409</v>
      </c>
      <c r="AA2178" t="s">
        <v>409</v>
      </c>
      <c r="AB2178" t="s">
        <v>409</v>
      </c>
      <c r="AC2178" t="s">
        <v>409</v>
      </c>
      <c r="AD2178" t="s">
        <v>261</v>
      </c>
      <c r="AH2178" t="s">
        <v>262</v>
      </c>
      <c r="AI2178" t="s">
        <v>262</v>
      </c>
      <c r="AJ2178" t="s">
        <v>261</v>
      </c>
      <c r="AK2178" t="s">
        <v>261</v>
      </c>
      <c r="AM2178" t="s">
        <v>262</v>
      </c>
      <c r="AN2178" t="s">
        <v>6050</v>
      </c>
    </row>
    <row r="2179" spans="1:40" x14ac:dyDescent="0.35">
      <c r="A2179">
        <v>6527605</v>
      </c>
      <c r="B2179" t="s">
        <v>6051</v>
      </c>
      <c r="C2179" t="str">
        <f>"9781618112347"</f>
        <v>9781618112347</v>
      </c>
      <c r="D2179" t="str">
        <f>"9781618116840"</f>
        <v>9781618116840</v>
      </c>
      <c r="E2179" t="s">
        <v>1592</v>
      </c>
      <c r="F2179" t="s">
        <v>1592</v>
      </c>
      <c r="G2179" s="1">
        <v>41183</v>
      </c>
      <c r="H2179" s="1">
        <v>44397</v>
      </c>
      <c r="I2179" t="s">
        <v>189</v>
      </c>
      <c r="J2179">
        <v>1</v>
      </c>
      <c r="K2179" t="s">
        <v>6046</v>
      </c>
      <c r="L2179" t="s">
        <v>6052</v>
      </c>
      <c r="M2179" t="s">
        <v>239</v>
      </c>
      <c r="O2179" s="2">
        <v>9405318092</v>
      </c>
      <c r="Q2179" t="s">
        <v>260</v>
      </c>
      <c r="R2179" t="s">
        <v>261</v>
      </c>
      <c r="S2179" t="s">
        <v>261</v>
      </c>
      <c r="T2179" t="s">
        <v>261</v>
      </c>
      <c r="U2179" t="s">
        <v>261</v>
      </c>
      <c r="V2179" t="s">
        <v>262</v>
      </c>
      <c r="W2179" t="s">
        <v>261</v>
      </c>
      <c r="X2179" t="s">
        <v>261</v>
      </c>
      <c r="Y2179" t="s">
        <v>261</v>
      </c>
      <c r="AC2179" t="s">
        <v>409</v>
      </c>
      <c r="AD2179" t="s">
        <v>261</v>
      </c>
      <c r="AH2179" t="s">
        <v>262</v>
      </c>
      <c r="AI2179" t="s">
        <v>262</v>
      </c>
      <c r="AJ2179" t="s">
        <v>261</v>
      </c>
      <c r="AK2179" t="s">
        <v>261</v>
      </c>
      <c r="AM2179" t="s">
        <v>262</v>
      </c>
      <c r="AN2179" t="s">
        <v>6053</v>
      </c>
    </row>
    <row r="2180" spans="1:40" x14ac:dyDescent="0.35">
      <c r="A2180">
        <v>6527802</v>
      </c>
      <c r="B2180" t="s">
        <v>6054</v>
      </c>
      <c r="C2180" t="str">
        <f>""</f>
        <v/>
      </c>
      <c r="D2180" t="str">
        <f>"9789179296933"</f>
        <v>9789179296933</v>
      </c>
      <c r="E2180" t="s">
        <v>3642</v>
      </c>
      <c r="F2180" t="s">
        <v>3642</v>
      </c>
      <c r="G2180" s="1">
        <v>44265</v>
      </c>
      <c r="H2180" s="1">
        <v>44284</v>
      </c>
      <c r="I2180" t="s">
        <v>189</v>
      </c>
      <c r="J2180">
        <v>1</v>
      </c>
      <c r="L2180" t="s">
        <v>6055</v>
      </c>
      <c r="Q2180" t="s">
        <v>260</v>
      </c>
      <c r="R2180" t="s">
        <v>261</v>
      </c>
      <c r="S2180" t="s">
        <v>261</v>
      </c>
      <c r="T2180" t="s">
        <v>261</v>
      </c>
      <c r="U2180" t="s">
        <v>261</v>
      </c>
      <c r="V2180" t="s">
        <v>262</v>
      </c>
      <c r="W2180" t="s">
        <v>261</v>
      </c>
      <c r="X2180" t="s">
        <v>261</v>
      </c>
      <c r="Y2180" t="s">
        <v>261</v>
      </c>
      <c r="AD2180" t="s">
        <v>261</v>
      </c>
      <c r="AH2180" t="s">
        <v>262</v>
      </c>
      <c r="AI2180" t="s">
        <v>261</v>
      </c>
      <c r="AJ2180" t="s">
        <v>261</v>
      </c>
      <c r="AK2180" t="s">
        <v>261</v>
      </c>
      <c r="AM2180" t="s">
        <v>262</v>
      </c>
      <c r="AN2180" t="s">
        <v>6056</v>
      </c>
    </row>
    <row r="2181" spans="1:40" x14ac:dyDescent="0.35">
      <c r="A2181">
        <v>6527803</v>
      </c>
      <c r="B2181" t="s">
        <v>6057</v>
      </c>
      <c r="C2181" t="str">
        <f>""</f>
        <v/>
      </c>
      <c r="D2181" t="str">
        <f>"9789179296841"</f>
        <v>9789179296841</v>
      </c>
      <c r="E2181" t="s">
        <v>3642</v>
      </c>
      <c r="F2181" t="s">
        <v>3642</v>
      </c>
      <c r="G2181" s="1">
        <v>44279</v>
      </c>
      <c r="H2181" s="1">
        <v>44284</v>
      </c>
      <c r="I2181" t="s">
        <v>189</v>
      </c>
      <c r="J2181">
        <v>1</v>
      </c>
      <c r="L2181" t="s">
        <v>6058</v>
      </c>
      <c r="Q2181" t="s">
        <v>260</v>
      </c>
      <c r="R2181" t="s">
        <v>261</v>
      </c>
      <c r="S2181" t="s">
        <v>261</v>
      </c>
      <c r="T2181" t="s">
        <v>261</v>
      </c>
      <c r="U2181" t="s">
        <v>261</v>
      </c>
      <c r="V2181" t="s">
        <v>262</v>
      </c>
      <c r="W2181" t="s">
        <v>261</v>
      </c>
      <c r="X2181" t="s">
        <v>261</v>
      </c>
      <c r="Y2181" t="s">
        <v>261</v>
      </c>
      <c r="AD2181" t="s">
        <v>261</v>
      </c>
      <c r="AH2181" t="s">
        <v>262</v>
      </c>
      <c r="AI2181" t="s">
        <v>261</v>
      </c>
      <c r="AJ2181" t="s">
        <v>261</v>
      </c>
      <c r="AK2181" t="s">
        <v>261</v>
      </c>
      <c r="AM2181" t="s">
        <v>262</v>
      </c>
      <c r="AN2181" t="s">
        <v>6059</v>
      </c>
    </row>
    <row r="2182" spans="1:40" x14ac:dyDescent="0.35">
      <c r="A2182">
        <v>6527804</v>
      </c>
      <c r="B2182" t="s">
        <v>6060</v>
      </c>
      <c r="C2182" t="str">
        <f>""</f>
        <v/>
      </c>
      <c r="D2182" t="str">
        <f>"9789179297190"</f>
        <v>9789179297190</v>
      </c>
      <c r="E2182" t="s">
        <v>3642</v>
      </c>
      <c r="F2182" t="s">
        <v>3642</v>
      </c>
      <c r="G2182" s="1">
        <v>44278</v>
      </c>
      <c r="H2182" s="1">
        <v>44284</v>
      </c>
      <c r="I2182" t="s">
        <v>189</v>
      </c>
      <c r="J2182">
        <v>1</v>
      </c>
      <c r="L2182" t="s">
        <v>6061</v>
      </c>
      <c r="Q2182" t="s">
        <v>260</v>
      </c>
      <c r="R2182" t="s">
        <v>261</v>
      </c>
      <c r="S2182" t="s">
        <v>261</v>
      </c>
      <c r="T2182" t="s">
        <v>261</v>
      </c>
      <c r="U2182" t="s">
        <v>261</v>
      </c>
      <c r="V2182" t="s">
        <v>262</v>
      </c>
      <c r="W2182" t="s">
        <v>261</v>
      </c>
      <c r="X2182" t="s">
        <v>261</v>
      </c>
      <c r="Y2182" t="s">
        <v>261</v>
      </c>
      <c r="AD2182" t="s">
        <v>261</v>
      </c>
      <c r="AH2182" t="s">
        <v>262</v>
      </c>
      <c r="AI2182" t="s">
        <v>261</v>
      </c>
      <c r="AJ2182" t="s">
        <v>261</v>
      </c>
      <c r="AK2182" t="s">
        <v>261</v>
      </c>
      <c r="AM2182" t="s">
        <v>262</v>
      </c>
      <c r="AN2182" t="s">
        <v>6062</v>
      </c>
    </row>
    <row r="2183" spans="1:40" x14ac:dyDescent="0.35">
      <c r="A2183">
        <v>6528168</v>
      </c>
      <c r="B2183" t="s">
        <v>6063</v>
      </c>
      <c r="C2183" t="str">
        <f>"9783662627075"</f>
        <v>9783662627075</v>
      </c>
      <c r="D2183" t="str">
        <f>"9783662627082"</f>
        <v>9783662627082</v>
      </c>
      <c r="E2183" t="s">
        <v>4047</v>
      </c>
      <c r="F2183" t="s">
        <v>2290</v>
      </c>
      <c r="G2183" s="1">
        <v>44286</v>
      </c>
      <c r="H2183" s="1">
        <v>44315</v>
      </c>
      <c r="I2183" t="s">
        <v>189</v>
      </c>
      <c r="L2183" t="s">
        <v>63</v>
      </c>
    </row>
    <row r="2184" spans="1:40" x14ac:dyDescent="0.35">
      <c r="A2184">
        <v>6531639</v>
      </c>
      <c r="B2184" t="s">
        <v>6064</v>
      </c>
      <c r="C2184" t="str">
        <f>"9783658332457"</f>
        <v>9783658332457</v>
      </c>
      <c r="D2184" t="str">
        <f>"9783658332464"</f>
        <v>9783658332464</v>
      </c>
      <c r="E2184" t="s">
        <v>3972</v>
      </c>
      <c r="F2184" t="s">
        <v>3972</v>
      </c>
      <c r="G2184" s="1">
        <v>44286</v>
      </c>
      <c r="H2184" s="1">
        <v>44315</v>
      </c>
      <c r="I2184" t="s">
        <v>189</v>
      </c>
      <c r="K2184" t="s">
        <v>6065</v>
      </c>
      <c r="L2184" t="s">
        <v>6066</v>
      </c>
      <c r="M2184" t="s">
        <v>249</v>
      </c>
      <c r="N2184" t="s">
        <v>6067</v>
      </c>
      <c r="Q2184" t="s">
        <v>260</v>
      </c>
      <c r="R2184" t="s">
        <v>261</v>
      </c>
      <c r="S2184" t="s">
        <v>261</v>
      </c>
      <c r="T2184" t="s">
        <v>261</v>
      </c>
      <c r="U2184" t="s">
        <v>262</v>
      </c>
      <c r="V2184" t="s">
        <v>262</v>
      </c>
      <c r="W2184" t="s">
        <v>261</v>
      </c>
      <c r="X2184" t="s">
        <v>261</v>
      </c>
      <c r="Y2184" t="s">
        <v>261</v>
      </c>
      <c r="Z2184" t="s">
        <v>409</v>
      </c>
      <c r="AA2184" t="s">
        <v>409</v>
      </c>
      <c r="AB2184" t="s">
        <v>409</v>
      </c>
      <c r="AC2184" t="s">
        <v>409</v>
      </c>
      <c r="AD2184" t="s">
        <v>261</v>
      </c>
      <c r="AH2184" t="s">
        <v>262</v>
      </c>
      <c r="AI2184" t="s">
        <v>262</v>
      </c>
      <c r="AJ2184" t="s">
        <v>261</v>
      </c>
      <c r="AK2184" t="s">
        <v>261</v>
      </c>
      <c r="AM2184" t="s">
        <v>262</v>
      </c>
      <c r="AN2184" t="s">
        <v>6068</v>
      </c>
    </row>
    <row r="2185" spans="1:40" x14ac:dyDescent="0.35">
      <c r="A2185">
        <v>6531653</v>
      </c>
      <c r="B2185" t="s">
        <v>6069</v>
      </c>
      <c r="C2185" t="str">
        <f>"9783030645687"</f>
        <v>9783030645687</v>
      </c>
      <c r="D2185" t="str">
        <f>"9783030645694"</f>
        <v>9783030645694</v>
      </c>
      <c r="E2185" t="s">
        <v>2289</v>
      </c>
      <c r="F2185" t="s">
        <v>2290</v>
      </c>
      <c r="G2185" s="1">
        <v>44285</v>
      </c>
      <c r="H2185" s="1">
        <v>44315</v>
      </c>
      <c r="I2185" t="s">
        <v>189</v>
      </c>
      <c r="K2185" t="s">
        <v>5996</v>
      </c>
      <c r="L2185" t="s">
        <v>6070</v>
      </c>
    </row>
    <row r="2186" spans="1:40" x14ac:dyDescent="0.35">
      <c r="A2186">
        <v>6531665</v>
      </c>
      <c r="B2186" t="s">
        <v>6071</v>
      </c>
      <c r="C2186" t="str">
        <f>"9789813347120"</f>
        <v>9789813347120</v>
      </c>
      <c r="D2186" t="str">
        <f>"9789813347137"</f>
        <v>9789813347137</v>
      </c>
      <c r="E2186" t="s">
        <v>3404</v>
      </c>
      <c r="F2186" t="s">
        <v>2290</v>
      </c>
      <c r="G2186" s="1">
        <v>44285</v>
      </c>
      <c r="H2186" s="1">
        <v>44315</v>
      </c>
      <c r="I2186" t="s">
        <v>189</v>
      </c>
      <c r="K2186" t="s">
        <v>5785</v>
      </c>
      <c r="L2186" t="s">
        <v>6072</v>
      </c>
      <c r="M2186" t="s">
        <v>249</v>
      </c>
      <c r="N2186" t="s">
        <v>6008</v>
      </c>
      <c r="Q2186" t="s">
        <v>260</v>
      </c>
      <c r="R2186" t="s">
        <v>261</v>
      </c>
      <c r="S2186" t="s">
        <v>261</v>
      </c>
      <c r="T2186" t="s">
        <v>261</v>
      </c>
      <c r="U2186" t="s">
        <v>262</v>
      </c>
      <c r="V2186" t="s">
        <v>262</v>
      </c>
      <c r="W2186" t="s">
        <v>261</v>
      </c>
      <c r="X2186" t="s">
        <v>261</v>
      </c>
      <c r="Y2186" t="s">
        <v>261</v>
      </c>
      <c r="Z2186" t="s">
        <v>409</v>
      </c>
      <c r="AA2186" t="s">
        <v>409</v>
      </c>
      <c r="AB2186" t="s">
        <v>409</v>
      </c>
      <c r="AC2186" t="s">
        <v>409</v>
      </c>
      <c r="AD2186" t="s">
        <v>261</v>
      </c>
      <c r="AH2186" t="s">
        <v>262</v>
      </c>
      <c r="AI2186" t="s">
        <v>262</v>
      </c>
      <c r="AJ2186" t="s">
        <v>261</v>
      </c>
      <c r="AK2186" t="s">
        <v>261</v>
      </c>
      <c r="AM2186" t="s">
        <v>262</v>
      </c>
      <c r="AN2186" t="s">
        <v>6073</v>
      </c>
    </row>
    <row r="2187" spans="1:40" x14ac:dyDescent="0.35">
      <c r="A2187">
        <v>6531681</v>
      </c>
      <c r="B2187" t="s">
        <v>6074</v>
      </c>
      <c r="C2187" t="str">
        <f>"9783030564162"</f>
        <v>9783030564162</v>
      </c>
      <c r="D2187" t="str">
        <f>"9783030564179"</f>
        <v>9783030564179</v>
      </c>
      <c r="E2187" t="s">
        <v>2289</v>
      </c>
      <c r="F2187" t="s">
        <v>2290</v>
      </c>
      <c r="G2187" s="1">
        <v>44285</v>
      </c>
      <c r="H2187" s="1">
        <v>44315</v>
      </c>
      <c r="I2187" t="s">
        <v>189</v>
      </c>
      <c r="L2187" t="s">
        <v>6075</v>
      </c>
    </row>
    <row r="2188" spans="1:40" x14ac:dyDescent="0.35">
      <c r="A2188">
        <v>6531698</v>
      </c>
      <c r="B2188" t="s">
        <v>6076</v>
      </c>
      <c r="C2188" t="str">
        <f>"9783030636135"</f>
        <v>9783030636135</v>
      </c>
      <c r="D2188" t="str">
        <f>"9783030636142"</f>
        <v>9783030636142</v>
      </c>
      <c r="E2188" t="s">
        <v>2289</v>
      </c>
      <c r="F2188" t="s">
        <v>2663</v>
      </c>
      <c r="G2188" s="1">
        <v>44282</v>
      </c>
      <c r="H2188" s="1">
        <v>44315</v>
      </c>
      <c r="I2188" t="s">
        <v>189</v>
      </c>
      <c r="L2188" t="s">
        <v>6077</v>
      </c>
    </row>
    <row r="2189" spans="1:40" x14ac:dyDescent="0.35">
      <c r="A2189">
        <v>6531708</v>
      </c>
      <c r="B2189" t="s">
        <v>6078</v>
      </c>
      <c r="C2189" t="str">
        <f>"9783030671297"</f>
        <v>9783030671297</v>
      </c>
      <c r="D2189" t="str">
        <f>"9783030671303"</f>
        <v>9783030671303</v>
      </c>
      <c r="E2189" t="s">
        <v>2289</v>
      </c>
      <c r="F2189" t="s">
        <v>2290</v>
      </c>
      <c r="G2189" s="1">
        <v>44286</v>
      </c>
      <c r="H2189" s="1">
        <v>44315</v>
      </c>
      <c r="I2189" t="s">
        <v>189</v>
      </c>
      <c r="L2189" t="s">
        <v>6079</v>
      </c>
      <c r="M2189" t="s">
        <v>329</v>
      </c>
      <c r="N2189" t="s">
        <v>6080</v>
      </c>
      <c r="Q2189" t="s">
        <v>260</v>
      </c>
      <c r="R2189" t="s">
        <v>261</v>
      </c>
      <c r="S2189" t="s">
        <v>261</v>
      </c>
      <c r="T2189" t="s">
        <v>261</v>
      </c>
      <c r="U2189" t="s">
        <v>262</v>
      </c>
      <c r="V2189" t="s">
        <v>262</v>
      </c>
      <c r="W2189" t="s">
        <v>261</v>
      </c>
      <c r="X2189" t="s">
        <v>261</v>
      </c>
      <c r="Y2189" t="s">
        <v>261</v>
      </c>
      <c r="Z2189" t="s">
        <v>409</v>
      </c>
      <c r="AA2189" t="s">
        <v>409</v>
      </c>
      <c r="AB2189" t="s">
        <v>409</v>
      </c>
      <c r="AC2189" t="s">
        <v>409</v>
      </c>
      <c r="AD2189" t="s">
        <v>261</v>
      </c>
      <c r="AH2189" t="s">
        <v>262</v>
      </c>
      <c r="AI2189" t="s">
        <v>262</v>
      </c>
      <c r="AJ2189" t="s">
        <v>261</v>
      </c>
      <c r="AK2189" t="s">
        <v>261</v>
      </c>
      <c r="AM2189" t="s">
        <v>262</v>
      </c>
      <c r="AN2189" t="s">
        <v>6081</v>
      </c>
    </row>
    <row r="2190" spans="1:40" x14ac:dyDescent="0.35">
      <c r="A2190">
        <v>6531730</v>
      </c>
      <c r="B2190" t="s">
        <v>6082</v>
      </c>
      <c r="C2190" t="str">
        <f>"9783030514051"</f>
        <v>9783030514051</v>
      </c>
      <c r="D2190" t="str">
        <f>"9783030514068"</f>
        <v>9783030514068</v>
      </c>
      <c r="E2190" t="s">
        <v>2289</v>
      </c>
      <c r="F2190" t="s">
        <v>2290</v>
      </c>
      <c r="G2190" s="1">
        <v>44286</v>
      </c>
      <c r="H2190" s="1">
        <v>44315</v>
      </c>
      <c r="I2190" t="s">
        <v>189</v>
      </c>
      <c r="K2190" t="s">
        <v>6083</v>
      </c>
      <c r="L2190" t="s">
        <v>6084</v>
      </c>
    </row>
    <row r="2191" spans="1:40" x14ac:dyDescent="0.35">
      <c r="A2191">
        <v>6531807</v>
      </c>
      <c r="B2191" t="s">
        <v>6085</v>
      </c>
      <c r="C2191" t="str">
        <f>"9783030648565"</f>
        <v>9783030648565</v>
      </c>
      <c r="D2191" t="str">
        <f>"9783030648572"</f>
        <v>9783030648572</v>
      </c>
      <c r="E2191" t="s">
        <v>2289</v>
      </c>
      <c r="F2191" t="s">
        <v>2290</v>
      </c>
      <c r="G2191" s="1">
        <v>44285</v>
      </c>
      <c r="H2191" s="1">
        <v>44315</v>
      </c>
      <c r="I2191" t="s">
        <v>189</v>
      </c>
      <c r="K2191" t="s">
        <v>6086</v>
      </c>
      <c r="L2191" t="s">
        <v>6087</v>
      </c>
    </row>
    <row r="2192" spans="1:40" x14ac:dyDescent="0.35">
      <c r="A2192">
        <v>6531811</v>
      </c>
      <c r="B2192" t="s">
        <v>6088</v>
      </c>
      <c r="C2192" t="str">
        <f>"9783658330026"</f>
        <v>9783658330026</v>
      </c>
      <c r="D2192" t="str">
        <f>"9783658330033"</f>
        <v>9783658330033</v>
      </c>
      <c r="E2192" t="s">
        <v>3972</v>
      </c>
      <c r="F2192" t="s">
        <v>4048</v>
      </c>
      <c r="G2192" s="1">
        <v>44281</v>
      </c>
      <c r="H2192" s="1">
        <v>44315</v>
      </c>
      <c r="I2192" t="s">
        <v>189</v>
      </c>
      <c r="K2192" t="s">
        <v>6089</v>
      </c>
      <c r="L2192" t="s">
        <v>6090</v>
      </c>
      <c r="M2192" t="s">
        <v>1318</v>
      </c>
      <c r="N2192" t="s">
        <v>6091</v>
      </c>
      <c r="Q2192" t="s">
        <v>408</v>
      </c>
      <c r="R2192" t="s">
        <v>261</v>
      </c>
      <c r="S2192" t="s">
        <v>261</v>
      </c>
      <c r="T2192" t="s">
        <v>261</v>
      </c>
      <c r="U2192" t="s">
        <v>262</v>
      </c>
      <c r="V2192" t="s">
        <v>262</v>
      </c>
      <c r="W2192" t="s">
        <v>261</v>
      </c>
      <c r="X2192" t="s">
        <v>261</v>
      </c>
      <c r="Y2192" t="s">
        <v>261</v>
      </c>
      <c r="Z2192" t="s">
        <v>409</v>
      </c>
      <c r="AA2192" t="s">
        <v>409</v>
      </c>
      <c r="AB2192" t="s">
        <v>409</v>
      </c>
      <c r="AC2192" t="s">
        <v>409</v>
      </c>
      <c r="AD2192" t="s">
        <v>261</v>
      </c>
      <c r="AH2192" t="s">
        <v>262</v>
      </c>
      <c r="AI2192" t="s">
        <v>262</v>
      </c>
      <c r="AJ2192" t="s">
        <v>261</v>
      </c>
      <c r="AK2192" t="s">
        <v>261</v>
      </c>
      <c r="AM2192" t="s">
        <v>262</v>
      </c>
      <c r="AN2192" t="s">
        <v>6092</v>
      </c>
    </row>
    <row r="2193" spans="1:40" x14ac:dyDescent="0.35">
      <c r="A2193">
        <v>6531830</v>
      </c>
      <c r="B2193" t="s">
        <v>6093</v>
      </c>
      <c r="C2193" t="str">
        <f>"9783030666576"</f>
        <v>9783030666576</v>
      </c>
      <c r="D2193" t="str">
        <f>"9783030666583"</f>
        <v>9783030666583</v>
      </c>
      <c r="E2193" t="s">
        <v>2289</v>
      </c>
      <c r="F2193" t="s">
        <v>2663</v>
      </c>
      <c r="G2193" s="1">
        <v>44285</v>
      </c>
      <c r="H2193" s="1">
        <v>44315</v>
      </c>
      <c r="I2193" t="s">
        <v>189</v>
      </c>
      <c r="K2193" t="s">
        <v>6094</v>
      </c>
      <c r="L2193" t="s">
        <v>6095</v>
      </c>
      <c r="M2193" t="s">
        <v>239</v>
      </c>
    </row>
    <row r="2194" spans="1:40" x14ac:dyDescent="0.35">
      <c r="A2194">
        <v>6531842</v>
      </c>
      <c r="B2194" t="s">
        <v>6096</v>
      </c>
      <c r="C2194" t="str">
        <f>"9783030565022"</f>
        <v>9783030565022</v>
      </c>
      <c r="D2194" t="str">
        <f>"9783030565046"</f>
        <v>9783030565046</v>
      </c>
      <c r="E2194" t="s">
        <v>2289</v>
      </c>
      <c r="F2194" t="s">
        <v>2290</v>
      </c>
      <c r="G2194" s="1">
        <v>44276</v>
      </c>
      <c r="H2194" s="1">
        <v>44315</v>
      </c>
      <c r="I2194" t="s">
        <v>189</v>
      </c>
      <c r="K2194" t="s">
        <v>6097</v>
      </c>
      <c r="L2194" t="s">
        <v>6098</v>
      </c>
    </row>
    <row r="2195" spans="1:40" x14ac:dyDescent="0.35">
      <c r="A2195">
        <v>6531848</v>
      </c>
      <c r="B2195" t="s">
        <v>6099</v>
      </c>
      <c r="C2195" t="str">
        <f>"9783030717773"</f>
        <v>9783030717773</v>
      </c>
      <c r="D2195" t="str">
        <f>"9783030717780"</f>
        <v>9783030717780</v>
      </c>
      <c r="E2195" t="s">
        <v>2289</v>
      </c>
      <c r="F2195" t="s">
        <v>2290</v>
      </c>
      <c r="G2195" s="1">
        <v>44282</v>
      </c>
      <c r="H2195" s="1">
        <v>44315</v>
      </c>
      <c r="I2195" t="s">
        <v>189</v>
      </c>
      <c r="L2195" t="s">
        <v>6100</v>
      </c>
    </row>
    <row r="2196" spans="1:40" x14ac:dyDescent="0.35">
      <c r="A2196">
        <v>6533330</v>
      </c>
      <c r="B2196" t="s">
        <v>6101</v>
      </c>
      <c r="C2196" t="str">
        <f>"9783476057631"</f>
        <v>9783476057631</v>
      </c>
      <c r="D2196" t="str">
        <f>"9783476057648"</f>
        <v>9783476057648</v>
      </c>
      <c r="E2196" t="s">
        <v>5118</v>
      </c>
      <c r="F2196" t="s">
        <v>5118</v>
      </c>
      <c r="G2196" s="1">
        <v>44288</v>
      </c>
      <c r="H2196" s="1">
        <v>44315</v>
      </c>
      <c r="I2196" t="s">
        <v>189</v>
      </c>
      <c r="K2196" t="s">
        <v>6102</v>
      </c>
      <c r="L2196" t="s">
        <v>6103</v>
      </c>
    </row>
    <row r="2197" spans="1:40" x14ac:dyDescent="0.35">
      <c r="A2197">
        <v>6533358</v>
      </c>
      <c r="B2197" t="s">
        <v>6104</v>
      </c>
      <c r="C2197" t="str">
        <f>"9783030619084"</f>
        <v>9783030619084</v>
      </c>
      <c r="D2197" t="str">
        <f>"9783030619091"</f>
        <v>9783030619091</v>
      </c>
      <c r="E2197" t="s">
        <v>2289</v>
      </c>
      <c r="F2197" t="s">
        <v>2290</v>
      </c>
      <c r="G2197" s="1">
        <v>44288</v>
      </c>
      <c r="H2197" s="1">
        <v>44315</v>
      </c>
      <c r="I2197" t="s">
        <v>189</v>
      </c>
      <c r="K2197" t="s">
        <v>6105</v>
      </c>
      <c r="L2197" t="s">
        <v>6106</v>
      </c>
    </row>
    <row r="2198" spans="1:40" x14ac:dyDescent="0.35">
      <c r="A2198">
        <v>6533434</v>
      </c>
      <c r="B2198" t="s">
        <v>6107</v>
      </c>
      <c r="C2198" t="str">
        <f>"9783030726317"</f>
        <v>9783030726317</v>
      </c>
      <c r="D2198" t="str">
        <f>"9783030726324"</f>
        <v>9783030726324</v>
      </c>
      <c r="E2198" t="s">
        <v>2289</v>
      </c>
      <c r="F2198" t="s">
        <v>2290</v>
      </c>
      <c r="G2198" s="1">
        <v>44288</v>
      </c>
      <c r="H2198" s="1">
        <v>44315</v>
      </c>
      <c r="I2198" t="s">
        <v>189</v>
      </c>
      <c r="K2198" t="s">
        <v>6108</v>
      </c>
      <c r="L2198" t="s">
        <v>6109</v>
      </c>
      <c r="M2198" t="s">
        <v>582</v>
      </c>
      <c r="N2198" t="s">
        <v>6110</v>
      </c>
      <c r="Q2198" t="s">
        <v>260</v>
      </c>
      <c r="R2198" t="s">
        <v>261</v>
      </c>
      <c r="S2198" t="s">
        <v>261</v>
      </c>
      <c r="T2198" t="s">
        <v>261</v>
      </c>
      <c r="U2198" t="s">
        <v>262</v>
      </c>
      <c r="V2198" t="s">
        <v>262</v>
      </c>
      <c r="W2198" t="s">
        <v>261</v>
      </c>
      <c r="X2198" t="s">
        <v>261</v>
      </c>
      <c r="Y2198" t="s">
        <v>261</v>
      </c>
      <c r="Z2198" t="s">
        <v>409</v>
      </c>
      <c r="AA2198" t="s">
        <v>409</v>
      </c>
      <c r="AB2198" t="s">
        <v>409</v>
      </c>
      <c r="AC2198" t="s">
        <v>409</v>
      </c>
      <c r="AD2198" t="s">
        <v>261</v>
      </c>
      <c r="AH2198" t="s">
        <v>262</v>
      </c>
      <c r="AI2198" t="s">
        <v>262</v>
      </c>
      <c r="AJ2198" t="s">
        <v>261</v>
      </c>
      <c r="AK2198" t="s">
        <v>261</v>
      </c>
      <c r="AM2198" t="s">
        <v>262</v>
      </c>
      <c r="AN2198" t="s">
        <v>6111</v>
      </c>
    </row>
    <row r="2199" spans="1:40" x14ac:dyDescent="0.35">
      <c r="A2199">
        <v>6533746</v>
      </c>
      <c r="B2199" t="s">
        <v>6112</v>
      </c>
      <c r="C2199" t="str">
        <f>"9780472119196"</f>
        <v>9780472119196</v>
      </c>
      <c r="D2199" t="str">
        <f>"9780472900954"</f>
        <v>9780472900954</v>
      </c>
      <c r="E2199" t="s">
        <v>2090</v>
      </c>
      <c r="F2199" t="s">
        <v>2090</v>
      </c>
      <c r="G2199" s="1">
        <v>41669</v>
      </c>
      <c r="H2199" s="1">
        <v>44547</v>
      </c>
      <c r="I2199" t="s">
        <v>189</v>
      </c>
      <c r="K2199" t="s">
        <v>6113</v>
      </c>
      <c r="L2199" t="s">
        <v>6114</v>
      </c>
      <c r="M2199" t="s">
        <v>578</v>
      </c>
    </row>
    <row r="2200" spans="1:40" x14ac:dyDescent="0.35">
      <c r="A2200">
        <v>6533753</v>
      </c>
      <c r="B2200" t="s">
        <v>6115</v>
      </c>
      <c r="C2200" t="str">
        <f>"9780472119387"</f>
        <v>9780472119387</v>
      </c>
      <c r="D2200" t="str">
        <f>"9780472900930"</f>
        <v>9780472900930</v>
      </c>
      <c r="E2200" t="s">
        <v>2090</v>
      </c>
      <c r="F2200" t="s">
        <v>2090</v>
      </c>
      <c r="G2200" s="1">
        <v>41881</v>
      </c>
      <c r="H2200" s="1">
        <v>44547</v>
      </c>
      <c r="I2200" t="s">
        <v>189</v>
      </c>
      <c r="L2200" t="s">
        <v>6116</v>
      </c>
      <c r="M2200" t="s">
        <v>329</v>
      </c>
      <c r="N2200" t="s">
        <v>6117</v>
      </c>
      <c r="O2200" t="s">
        <v>6118</v>
      </c>
      <c r="Q2200" t="s">
        <v>260</v>
      </c>
      <c r="R2200" t="s">
        <v>261</v>
      </c>
      <c r="S2200" t="s">
        <v>261</v>
      </c>
      <c r="T2200" t="s">
        <v>261</v>
      </c>
      <c r="U2200" t="s">
        <v>261</v>
      </c>
      <c r="V2200" t="s">
        <v>262</v>
      </c>
      <c r="W2200" t="s">
        <v>261</v>
      </c>
      <c r="X2200" t="s">
        <v>261</v>
      </c>
      <c r="Y2200" t="s">
        <v>261</v>
      </c>
      <c r="AA2200" t="s">
        <v>409</v>
      </c>
      <c r="AB2200" t="s">
        <v>409</v>
      </c>
      <c r="AC2200" t="s">
        <v>409</v>
      </c>
      <c r="AD2200" t="s">
        <v>261</v>
      </c>
      <c r="AH2200" t="s">
        <v>262</v>
      </c>
      <c r="AI2200" t="s">
        <v>262</v>
      </c>
      <c r="AJ2200" t="s">
        <v>261</v>
      </c>
      <c r="AK2200" t="s">
        <v>261</v>
      </c>
      <c r="AM2200" t="s">
        <v>262</v>
      </c>
      <c r="AN2200" t="s">
        <v>6119</v>
      </c>
    </row>
    <row r="2201" spans="1:40" x14ac:dyDescent="0.35">
      <c r="A2201">
        <v>6533808</v>
      </c>
      <c r="B2201" t="s">
        <v>6120</v>
      </c>
      <c r="C2201" t="str">
        <f>"9780472072446"</f>
        <v>9780472072446</v>
      </c>
      <c r="D2201" t="str">
        <f>"9780472900145"</f>
        <v>9780472900145</v>
      </c>
      <c r="E2201" t="s">
        <v>2090</v>
      </c>
      <c r="F2201" t="s">
        <v>2090</v>
      </c>
      <c r="G2201" s="1">
        <v>42010</v>
      </c>
      <c r="H2201" s="1">
        <v>44320</v>
      </c>
      <c r="I2201" t="s">
        <v>189</v>
      </c>
      <c r="K2201" t="s">
        <v>6121</v>
      </c>
      <c r="L2201" t="s">
        <v>6122</v>
      </c>
      <c r="M2201" t="s">
        <v>329</v>
      </c>
      <c r="N2201" t="s">
        <v>6123</v>
      </c>
      <c r="O2201" t="s">
        <v>6124</v>
      </c>
      <c r="P2201" t="s">
        <v>6125</v>
      </c>
      <c r="Q2201" t="s">
        <v>260</v>
      </c>
      <c r="R2201" t="s">
        <v>261</v>
      </c>
      <c r="S2201" t="s">
        <v>261</v>
      </c>
      <c r="T2201" t="s">
        <v>261</v>
      </c>
      <c r="U2201" t="s">
        <v>261</v>
      </c>
      <c r="V2201" t="s">
        <v>262</v>
      </c>
      <c r="W2201" t="s">
        <v>261</v>
      </c>
      <c r="X2201" t="s">
        <v>261</v>
      </c>
      <c r="Y2201" t="s">
        <v>261</v>
      </c>
      <c r="AA2201" t="s">
        <v>409</v>
      </c>
      <c r="AB2201" t="s">
        <v>409</v>
      </c>
      <c r="AC2201" t="s">
        <v>409</v>
      </c>
      <c r="AD2201" t="s">
        <v>261</v>
      </c>
      <c r="AH2201" t="s">
        <v>262</v>
      </c>
      <c r="AI2201" t="s">
        <v>262</v>
      </c>
      <c r="AJ2201" t="s">
        <v>261</v>
      </c>
      <c r="AK2201" t="s">
        <v>261</v>
      </c>
      <c r="AM2201" t="s">
        <v>262</v>
      </c>
      <c r="AN2201" t="s">
        <v>6126</v>
      </c>
    </row>
    <row r="2202" spans="1:40" x14ac:dyDescent="0.35">
      <c r="A2202">
        <v>6533960</v>
      </c>
      <c r="B2202" t="s">
        <v>6127</v>
      </c>
      <c r="C2202" t="str">
        <f>""</f>
        <v/>
      </c>
      <c r="D2202" t="str">
        <f>"9789179297411"</f>
        <v>9789179297411</v>
      </c>
      <c r="E2202" t="s">
        <v>3642</v>
      </c>
      <c r="F2202" t="s">
        <v>3642</v>
      </c>
      <c r="G2202" s="1">
        <v>44285</v>
      </c>
      <c r="H2202" s="1">
        <v>44291</v>
      </c>
      <c r="I2202" t="s">
        <v>189</v>
      </c>
      <c r="J2202">
        <v>1</v>
      </c>
      <c r="L2202" t="s">
        <v>6128</v>
      </c>
      <c r="Q2202" t="s">
        <v>260</v>
      </c>
      <c r="R2202" t="s">
        <v>261</v>
      </c>
      <c r="S2202" t="s">
        <v>261</v>
      </c>
      <c r="T2202" t="s">
        <v>261</v>
      </c>
      <c r="U2202" t="s">
        <v>261</v>
      </c>
      <c r="V2202" t="s">
        <v>262</v>
      </c>
      <c r="W2202" t="s">
        <v>261</v>
      </c>
      <c r="X2202" t="s">
        <v>261</v>
      </c>
      <c r="Y2202" t="s">
        <v>261</v>
      </c>
      <c r="AD2202" t="s">
        <v>261</v>
      </c>
      <c r="AH2202" t="s">
        <v>262</v>
      </c>
      <c r="AI2202" t="s">
        <v>261</v>
      </c>
      <c r="AJ2202" t="s">
        <v>261</v>
      </c>
      <c r="AK2202" t="s">
        <v>261</v>
      </c>
      <c r="AM2202" t="s">
        <v>262</v>
      </c>
      <c r="AN2202" t="s">
        <v>6129</v>
      </c>
    </row>
    <row r="2203" spans="1:40" x14ac:dyDescent="0.35">
      <c r="A2203">
        <v>6533977</v>
      </c>
      <c r="B2203" t="s">
        <v>6130</v>
      </c>
      <c r="C2203" t="str">
        <f>"9780472072156"</f>
        <v>9780472072156</v>
      </c>
      <c r="D2203" t="str">
        <f>"9780472900213"</f>
        <v>9780472900213</v>
      </c>
      <c r="E2203" t="s">
        <v>2090</v>
      </c>
      <c r="F2203" t="s">
        <v>2090</v>
      </c>
      <c r="G2203" s="1">
        <v>41934</v>
      </c>
      <c r="H2203" s="1">
        <v>44547</v>
      </c>
      <c r="I2203" t="s">
        <v>189</v>
      </c>
      <c r="K2203" t="s">
        <v>6121</v>
      </c>
      <c r="L2203" t="s">
        <v>6131</v>
      </c>
    </row>
    <row r="2204" spans="1:40" x14ac:dyDescent="0.35">
      <c r="A2204">
        <v>6533979</v>
      </c>
      <c r="B2204" t="s">
        <v>6132</v>
      </c>
      <c r="C2204" t="str">
        <f>"9780472070923"</f>
        <v>9780472070923</v>
      </c>
      <c r="D2204" t="str">
        <f>"9780472900398"</f>
        <v>9780472900398</v>
      </c>
      <c r="E2204" t="s">
        <v>2090</v>
      </c>
      <c r="F2204" t="s">
        <v>2090</v>
      </c>
      <c r="G2204" s="1">
        <v>40290</v>
      </c>
      <c r="H2204" s="1">
        <v>44547</v>
      </c>
      <c r="I2204" t="s">
        <v>189</v>
      </c>
      <c r="L2204" t="s">
        <v>6133</v>
      </c>
      <c r="M2204" t="s">
        <v>207</v>
      </c>
    </row>
    <row r="2205" spans="1:40" x14ac:dyDescent="0.35">
      <c r="A2205">
        <v>6533983</v>
      </c>
      <c r="B2205" t="s">
        <v>6134</v>
      </c>
      <c r="C2205" t="str">
        <f>"9780472071913"</f>
        <v>9780472071913</v>
      </c>
      <c r="D2205" t="str">
        <f>"9780472900268"</f>
        <v>9780472900268</v>
      </c>
      <c r="E2205" t="s">
        <v>2090</v>
      </c>
      <c r="F2205" t="s">
        <v>2090</v>
      </c>
      <c r="G2205" s="1">
        <v>41443</v>
      </c>
      <c r="H2205" s="1">
        <v>44547</v>
      </c>
      <c r="I2205" t="s">
        <v>189</v>
      </c>
      <c r="K2205" t="s">
        <v>6135</v>
      </c>
      <c r="L2205" t="s">
        <v>6136</v>
      </c>
      <c r="M2205" t="s">
        <v>207</v>
      </c>
    </row>
    <row r="2206" spans="1:40" x14ac:dyDescent="0.35">
      <c r="A2206">
        <v>6533986</v>
      </c>
      <c r="B2206" t="s">
        <v>6137</v>
      </c>
      <c r="C2206" t="str">
        <f>"9780472070442"</f>
        <v>9780472070442</v>
      </c>
      <c r="D2206" t="str">
        <f>"9780472900473"</f>
        <v>9780472900473</v>
      </c>
      <c r="E2206" t="s">
        <v>2090</v>
      </c>
      <c r="F2206" t="s">
        <v>2090</v>
      </c>
      <c r="G2206" s="1">
        <v>39751</v>
      </c>
      <c r="H2206" s="1">
        <v>44547</v>
      </c>
      <c r="I2206" t="s">
        <v>189</v>
      </c>
      <c r="L2206" t="s">
        <v>6138</v>
      </c>
      <c r="M2206" t="s">
        <v>219</v>
      </c>
      <c r="N2206" t="s">
        <v>6139</v>
      </c>
      <c r="O2206" t="s">
        <v>6140</v>
      </c>
      <c r="Q2206" t="s">
        <v>260</v>
      </c>
      <c r="R2206" t="s">
        <v>261</v>
      </c>
      <c r="S2206" t="s">
        <v>261</v>
      </c>
      <c r="T2206" t="s">
        <v>261</v>
      </c>
      <c r="U2206" t="s">
        <v>261</v>
      </c>
      <c r="V2206" t="s">
        <v>262</v>
      </c>
      <c r="W2206" t="s">
        <v>261</v>
      </c>
      <c r="X2206" t="s">
        <v>261</v>
      </c>
      <c r="Y2206" t="s">
        <v>261</v>
      </c>
      <c r="AA2206" t="s">
        <v>409</v>
      </c>
      <c r="AB2206" t="s">
        <v>409</v>
      </c>
      <c r="AC2206" t="s">
        <v>409</v>
      </c>
      <c r="AD2206" t="s">
        <v>261</v>
      </c>
      <c r="AH2206" t="s">
        <v>262</v>
      </c>
      <c r="AI2206" t="s">
        <v>262</v>
      </c>
      <c r="AJ2206" t="s">
        <v>261</v>
      </c>
      <c r="AK2206" t="s">
        <v>261</v>
      </c>
      <c r="AM2206" t="s">
        <v>262</v>
      </c>
      <c r="AN2206" t="s">
        <v>6141</v>
      </c>
    </row>
    <row r="2207" spans="1:40" x14ac:dyDescent="0.35">
      <c r="A2207">
        <v>6533987</v>
      </c>
      <c r="B2207" t="s">
        <v>6142</v>
      </c>
      <c r="C2207" t="str">
        <f>"9780472116713"</f>
        <v>9780472116713</v>
      </c>
      <c r="D2207" t="str">
        <f>"9780472900534"</f>
        <v>9780472900534</v>
      </c>
      <c r="E2207" t="s">
        <v>2090</v>
      </c>
      <c r="F2207" t="s">
        <v>2090</v>
      </c>
      <c r="G2207" s="1">
        <v>39777</v>
      </c>
      <c r="H2207" s="1">
        <v>44558</v>
      </c>
      <c r="I2207" t="s">
        <v>189</v>
      </c>
      <c r="L2207" t="s">
        <v>6143</v>
      </c>
    </row>
    <row r="2208" spans="1:40" x14ac:dyDescent="0.35">
      <c r="A2208">
        <v>6533988</v>
      </c>
      <c r="B2208" t="s">
        <v>6144</v>
      </c>
      <c r="C2208" t="str">
        <f>"9780883864173"</f>
        <v>9780883864173</v>
      </c>
      <c r="D2208" t="str">
        <f>"9780472902170"</f>
        <v>9780472902170</v>
      </c>
      <c r="E2208" t="s">
        <v>6145</v>
      </c>
      <c r="F2208" t="s">
        <v>6145</v>
      </c>
      <c r="G2208" s="1">
        <v>27030</v>
      </c>
      <c r="H2208" s="1">
        <v>44547</v>
      </c>
      <c r="I2208" t="s">
        <v>189</v>
      </c>
      <c r="K2208" t="s">
        <v>6146</v>
      </c>
      <c r="L2208" t="s">
        <v>6147</v>
      </c>
      <c r="M2208" t="s">
        <v>329</v>
      </c>
      <c r="N2208" t="s">
        <v>6148</v>
      </c>
      <c r="Q2208" t="s">
        <v>260</v>
      </c>
      <c r="R2208" t="s">
        <v>261</v>
      </c>
      <c r="S2208" t="s">
        <v>261</v>
      </c>
      <c r="T2208" t="s">
        <v>261</v>
      </c>
      <c r="U2208" t="s">
        <v>261</v>
      </c>
      <c r="V2208" t="s">
        <v>262</v>
      </c>
      <c r="W2208" t="s">
        <v>261</v>
      </c>
      <c r="X2208" t="s">
        <v>261</v>
      </c>
      <c r="Y2208" t="s">
        <v>261</v>
      </c>
      <c r="AB2208" t="s">
        <v>409</v>
      </c>
      <c r="AD2208" t="s">
        <v>261</v>
      </c>
      <c r="AH2208" t="s">
        <v>262</v>
      </c>
      <c r="AI2208" t="s">
        <v>262</v>
      </c>
      <c r="AJ2208" t="s">
        <v>261</v>
      </c>
      <c r="AK2208" t="s">
        <v>261</v>
      </c>
      <c r="AM2208" t="s">
        <v>262</v>
      </c>
      <c r="AN2208" t="s">
        <v>6149</v>
      </c>
    </row>
    <row r="2209" spans="1:40" x14ac:dyDescent="0.35">
      <c r="A2209">
        <v>6533998</v>
      </c>
      <c r="B2209" t="s">
        <v>6150</v>
      </c>
      <c r="C2209" t="str">
        <f>"9780892640027"</f>
        <v>9780892640027</v>
      </c>
      <c r="D2209" t="str">
        <f>"9780472902125"</f>
        <v>9780472902125</v>
      </c>
      <c r="E2209" t="s">
        <v>6151</v>
      </c>
      <c r="F2209" t="s">
        <v>6151</v>
      </c>
      <c r="G2209" s="1">
        <v>29616</v>
      </c>
      <c r="H2209" s="1">
        <v>44547</v>
      </c>
      <c r="I2209" t="s">
        <v>189</v>
      </c>
      <c r="K2209" t="s">
        <v>6152</v>
      </c>
      <c r="L2209" t="s">
        <v>6153</v>
      </c>
    </row>
    <row r="2210" spans="1:40" x14ac:dyDescent="0.35">
      <c r="A2210">
        <v>6533999</v>
      </c>
      <c r="B2210" t="s">
        <v>6154</v>
      </c>
      <c r="C2210" t="str">
        <f>"9780892640164"</f>
        <v>9780892640164</v>
      </c>
      <c r="D2210" t="str">
        <f>"9780472902217"</f>
        <v>9780472902217</v>
      </c>
      <c r="E2210" t="s">
        <v>6151</v>
      </c>
      <c r="F2210" t="s">
        <v>6151</v>
      </c>
      <c r="G2210" s="1">
        <v>29616</v>
      </c>
      <c r="H2210" s="1">
        <v>44547</v>
      </c>
      <c r="I2210" t="s">
        <v>189</v>
      </c>
      <c r="K2210" t="s">
        <v>6152</v>
      </c>
      <c r="L2210" t="s">
        <v>6155</v>
      </c>
      <c r="M2210" t="s">
        <v>1831</v>
      </c>
      <c r="O2210" s="2">
        <v>16759951</v>
      </c>
      <c r="Q2210" t="s">
        <v>260</v>
      </c>
      <c r="R2210" t="s">
        <v>261</v>
      </c>
      <c r="S2210" t="s">
        <v>261</v>
      </c>
      <c r="T2210" t="s">
        <v>261</v>
      </c>
      <c r="U2210" t="s">
        <v>261</v>
      </c>
      <c r="V2210" t="s">
        <v>262</v>
      </c>
      <c r="W2210" t="s">
        <v>261</v>
      </c>
      <c r="X2210" t="s">
        <v>261</v>
      </c>
      <c r="Y2210" t="s">
        <v>261</v>
      </c>
      <c r="AB2210" t="s">
        <v>409</v>
      </c>
      <c r="AD2210" t="s">
        <v>261</v>
      </c>
      <c r="AH2210" t="s">
        <v>262</v>
      </c>
      <c r="AI2210" t="s">
        <v>262</v>
      </c>
      <c r="AJ2210" t="s">
        <v>261</v>
      </c>
      <c r="AK2210" t="s">
        <v>261</v>
      </c>
      <c r="AM2210" t="s">
        <v>262</v>
      </c>
      <c r="AN2210" t="s">
        <v>6156</v>
      </c>
    </row>
    <row r="2211" spans="1:40" x14ac:dyDescent="0.35">
      <c r="A2211">
        <v>6534003</v>
      </c>
      <c r="B2211" t="s">
        <v>6157</v>
      </c>
      <c r="C2211" t="str">
        <f>"9780892640096"</f>
        <v>9780892640096</v>
      </c>
      <c r="D2211" t="str">
        <f>"9780472902200"</f>
        <v>9780472902200</v>
      </c>
      <c r="E2211" t="s">
        <v>6151</v>
      </c>
      <c r="F2211" t="s">
        <v>6151</v>
      </c>
      <c r="G2211" s="1">
        <v>29616</v>
      </c>
      <c r="H2211" s="1">
        <v>44547</v>
      </c>
      <c r="I2211" t="s">
        <v>189</v>
      </c>
      <c r="K2211" t="s">
        <v>6152</v>
      </c>
      <c r="L2211" t="s">
        <v>6158</v>
      </c>
      <c r="M2211" t="s">
        <v>282</v>
      </c>
      <c r="O2211" s="2">
        <v>33095105</v>
      </c>
      <c r="Q2211" t="s">
        <v>260</v>
      </c>
      <c r="R2211" t="s">
        <v>261</v>
      </c>
      <c r="S2211" t="s">
        <v>261</v>
      </c>
      <c r="T2211" t="s">
        <v>261</v>
      </c>
      <c r="U2211" t="s">
        <v>261</v>
      </c>
      <c r="V2211" t="s">
        <v>262</v>
      </c>
      <c r="W2211" t="s">
        <v>261</v>
      </c>
      <c r="X2211" t="s">
        <v>261</v>
      </c>
      <c r="Y2211" t="s">
        <v>261</v>
      </c>
      <c r="AB2211" t="s">
        <v>409</v>
      </c>
      <c r="AD2211" t="s">
        <v>261</v>
      </c>
      <c r="AH2211" t="s">
        <v>262</v>
      </c>
      <c r="AI2211" t="s">
        <v>262</v>
      </c>
      <c r="AJ2211" t="s">
        <v>261</v>
      </c>
      <c r="AK2211" t="s">
        <v>261</v>
      </c>
      <c r="AM2211" t="s">
        <v>262</v>
      </c>
      <c r="AN2211" t="s">
        <v>6159</v>
      </c>
    </row>
    <row r="2212" spans="1:40" x14ac:dyDescent="0.35">
      <c r="A2212">
        <v>6534004</v>
      </c>
      <c r="B2212" t="s">
        <v>6160</v>
      </c>
      <c r="C2212" t="str">
        <f>"9780472118786"</f>
        <v>9780472118786</v>
      </c>
      <c r="D2212" t="str">
        <f>"9780472900275"</f>
        <v>9780472900275</v>
      </c>
      <c r="E2212" t="s">
        <v>2090</v>
      </c>
      <c r="F2212" t="s">
        <v>2090</v>
      </c>
      <c r="G2212" s="1">
        <v>41376</v>
      </c>
      <c r="H2212" s="1">
        <v>44547</v>
      </c>
      <c r="I2212" t="s">
        <v>189</v>
      </c>
      <c r="K2212" t="s">
        <v>1820</v>
      </c>
      <c r="L2212" t="s">
        <v>6161</v>
      </c>
      <c r="M2212" t="s">
        <v>239</v>
      </c>
    </row>
    <row r="2213" spans="1:40" x14ac:dyDescent="0.35">
      <c r="A2213">
        <v>6534005</v>
      </c>
      <c r="B2213" t="s">
        <v>6162</v>
      </c>
      <c r="C2213" t="str">
        <f>"9780939512218"</f>
        <v>9780939512218</v>
      </c>
      <c r="D2213" t="str">
        <f>"9780472902064"</f>
        <v>9780472902064</v>
      </c>
      <c r="E2213" t="s">
        <v>6163</v>
      </c>
      <c r="F2213" t="s">
        <v>6163</v>
      </c>
      <c r="G2213" s="1">
        <v>30682</v>
      </c>
      <c r="H2213" s="1">
        <v>44547</v>
      </c>
      <c r="I2213" t="s">
        <v>189</v>
      </c>
      <c r="K2213" t="s">
        <v>6164</v>
      </c>
      <c r="L2213" t="s">
        <v>6165</v>
      </c>
      <c r="M2213" t="s">
        <v>249</v>
      </c>
      <c r="N2213" t="s">
        <v>6166</v>
      </c>
      <c r="Q2213" t="s">
        <v>260</v>
      </c>
      <c r="R2213" t="s">
        <v>261</v>
      </c>
      <c r="S2213" t="s">
        <v>261</v>
      </c>
      <c r="T2213" t="s">
        <v>261</v>
      </c>
      <c r="U2213" t="s">
        <v>261</v>
      </c>
      <c r="V2213" t="s">
        <v>262</v>
      </c>
      <c r="W2213" t="s">
        <v>261</v>
      </c>
      <c r="X2213" t="s">
        <v>261</v>
      </c>
      <c r="Y2213" t="s">
        <v>261</v>
      </c>
      <c r="AB2213" t="s">
        <v>409</v>
      </c>
      <c r="AD2213" t="s">
        <v>261</v>
      </c>
      <c r="AH2213" t="s">
        <v>262</v>
      </c>
      <c r="AI2213" t="s">
        <v>262</v>
      </c>
      <c r="AJ2213" t="s">
        <v>261</v>
      </c>
      <c r="AK2213" t="s">
        <v>261</v>
      </c>
      <c r="AM2213" t="s">
        <v>262</v>
      </c>
      <c r="AN2213" t="s">
        <v>6167</v>
      </c>
    </row>
    <row r="2214" spans="1:40" x14ac:dyDescent="0.35">
      <c r="A2214">
        <v>6534006</v>
      </c>
      <c r="B2214" t="s">
        <v>6168</v>
      </c>
      <c r="C2214" t="str">
        <f>"9780939512188"</f>
        <v>9780939512188</v>
      </c>
      <c r="D2214" t="str">
        <f>"9780472902019"</f>
        <v>9780472902019</v>
      </c>
      <c r="E2214" t="s">
        <v>6163</v>
      </c>
      <c r="F2214" t="s">
        <v>6163</v>
      </c>
      <c r="G2214" s="1">
        <v>31048</v>
      </c>
      <c r="H2214" s="1">
        <v>44546</v>
      </c>
      <c r="I2214" t="s">
        <v>189</v>
      </c>
      <c r="K2214" t="s">
        <v>6164</v>
      </c>
      <c r="L2214" t="s">
        <v>6169</v>
      </c>
    </row>
    <row r="2215" spans="1:40" x14ac:dyDescent="0.35">
      <c r="A2215">
        <v>6534007</v>
      </c>
      <c r="B2215" t="s">
        <v>6170</v>
      </c>
      <c r="C2215" t="str">
        <f>"9780472070992"</f>
        <v>9780472070992</v>
      </c>
      <c r="D2215" t="str">
        <f>"9780472900404"</f>
        <v>9780472900404</v>
      </c>
      <c r="E2215" t="s">
        <v>2090</v>
      </c>
      <c r="F2215" t="s">
        <v>2090</v>
      </c>
      <c r="G2215" s="1">
        <v>40360</v>
      </c>
      <c r="H2215" s="1">
        <v>44546</v>
      </c>
      <c r="I2215" t="s">
        <v>189</v>
      </c>
      <c r="L2215" t="s">
        <v>6171</v>
      </c>
      <c r="M2215" t="s">
        <v>219</v>
      </c>
      <c r="N2215" t="s">
        <v>6172</v>
      </c>
      <c r="O2215" s="2">
        <v>811509</v>
      </c>
      <c r="P2215" t="s">
        <v>6173</v>
      </c>
      <c r="Q2215" t="s">
        <v>260</v>
      </c>
      <c r="R2215" t="s">
        <v>261</v>
      </c>
      <c r="S2215" t="s">
        <v>261</v>
      </c>
      <c r="T2215" t="s">
        <v>261</v>
      </c>
      <c r="U2215" t="s">
        <v>261</v>
      </c>
      <c r="V2215" t="s">
        <v>262</v>
      </c>
      <c r="W2215" t="s">
        <v>261</v>
      </c>
      <c r="X2215" t="s">
        <v>261</v>
      </c>
      <c r="Y2215" t="s">
        <v>261</v>
      </c>
      <c r="AA2215" t="s">
        <v>409</v>
      </c>
      <c r="AB2215" t="s">
        <v>409</v>
      </c>
      <c r="AC2215" t="s">
        <v>409</v>
      </c>
      <c r="AD2215" t="s">
        <v>262</v>
      </c>
      <c r="AH2215" t="s">
        <v>262</v>
      </c>
      <c r="AI2215" t="s">
        <v>262</v>
      </c>
      <c r="AJ2215" t="s">
        <v>261</v>
      </c>
      <c r="AK2215" t="s">
        <v>261</v>
      </c>
      <c r="AM2215" t="s">
        <v>262</v>
      </c>
      <c r="AN2215" t="s">
        <v>6174</v>
      </c>
    </row>
    <row r="2216" spans="1:40" x14ac:dyDescent="0.35">
      <c r="A2216">
        <v>6534009</v>
      </c>
      <c r="B2216" t="s">
        <v>6175</v>
      </c>
      <c r="C2216" t="str">
        <f>"9780472072385"</f>
        <v>9780472072385</v>
      </c>
      <c r="D2216" t="str">
        <f>"9780472900169"</f>
        <v>9780472900169</v>
      </c>
      <c r="E2216" t="s">
        <v>2090</v>
      </c>
      <c r="F2216" t="s">
        <v>2090</v>
      </c>
      <c r="G2216" s="1">
        <v>42010</v>
      </c>
      <c r="H2216" s="1">
        <v>44320</v>
      </c>
      <c r="I2216" t="s">
        <v>189</v>
      </c>
      <c r="L2216" t="s">
        <v>6176</v>
      </c>
      <c r="M2216" t="s">
        <v>219</v>
      </c>
      <c r="N2216" t="s">
        <v>6177</v>
      </c>
      <c r="O2216" t="s">
        <v>6178</v>
      </c>
      <c r="P2216" t="s">
        <v>6179</v>
      </c>
    </row>
    <row r="2217" spans="1:40" x14ac:dyDescent="0.35">
      <c r="A2217">
        <v>6534012</v>
      </c>
      <c r="B2217" t="s">
        <v>6180</v>
      </c>
      <c r="C2217" t="str">
        <f>"9780472072439"</f>
        <v>9780472072439</v>
      </c>
      <c r="D2217" t="str">
        <f>"9780472900152"</f>
        <v>9780472900152</v>
      </c>
      <c r="E2217" t="s">
        <v>2090</v>
      </c>
      <c r="F2217" t="s">
        <v>2090</v>
      </c>
      <c r="G2217" s="1">
        <v>41995</v>
      </c>
      <c r="H2217" s="1">
        <v>44320</v>
      </c>
      <c r="I2217" t="s">
        <v>189</v>
      </c>
      <c r="K2217" t="s">
        <v>6121</v>
      </c>
      <c r="L2217" t="s">
        <v>6181</v>
      </c>
      <c r="M2217" t="s">
        <v>329</v>
      </c>
      <c r="N2217" t="s">
        <v>6182</v>
      </c>
      <c r="O2217" t="s">
        <v>4430</v>
      </c>
      <c r="P2217" t="s">
        <v>6183</v>
      </c>
    </row>
    <row r="2218" spans="1:40" x14ac:dyDescent="0.35">
      <c r="A2218">
        <v>6536801</v>
      </c>
      <c r="B2218" t="s">
        <v>6184</v>
      </c>
      <c r="C2218" t="str">
        <f>"9783030465896"</f>
        <v>9783030465896</v>
      </c>
      <c r="D2218" t="str">
        <f>"9783030465902"</f>
        <v>9783030465902</v>
      </c>
      <c r="E2218" t="s">
        <v>2289</v>
      </c>
      <c r="F2218" t="s">
        <v>2663</v>
      </c>
      <c r="G2218" s="1">
        <v>44293</v>
      </c>
      <c r="H2218" s="1">
        <v>44315</v>
      </c>
      <c r="I2218" t="s">
        <v>189</v>
      </c>
      <c r="L2218" t="s">
        <v>6185</v>
      </c>
      <c r="M2218" t="s">
        <v>210</v>
      </c>
    </row>
    <row r="2219" spans="1:40" x14ac:dyDescent="0.35">
      <c r="A2219">
        <v>6536816</v>
      </c>
      <c r="B2219" t="s">
        <v>6186</v>
      </c>
      <c r="C2219" t="str">
        <f>"9783030654382"</f>
        <v>9783030654382</v>
      </c>
      <c r="D2219" t="str">
        <f>"9783030654399"</f>
        <v>9783030654399</v>
      </c>
      <c r="E2219" t="s">
        <v>2289</v>
      </c>
      <c r="F2219" t="s">
        <v>2663</v>
      </c>
      <c r="G2219" s="1">
        <v>44293</v>
      </c>
      <c r="H2219" s="1">
        <v>44315</v>
      </c>
      <c r="I2219" t="s">
        <v>189</v>
      </c>
      <c r="K2219" t="s">
        <v>5573</v>
      </c>
      <c r="L2219" t="s">
        <v>6187</v>
      </c>
    </row>
    <row r="2220" spans="1:40" x14ac:dyDescent="0.35">
      <c r="A2220">
        <v>6536817</v>
      </c>
      <c r="B2220" t="s">
        <v>6188</v>
      </c>
      <c r="C2220" t="str">
        <f>"9783658328719"</f>
        <v>9783658328719</v>
      </c>
      <c r="D2220" t="str">
        <f>"9783658328726"</f>
        <v>9783658328726</v>
      </c>
      <c r="E2220" t="s">
        <v>3972</v>
      </c>
      <c r="F2220" t="s">
        <v>3998</v>
      </c>
      <c r="G2220" s="1">
        <v>44293</v>
      </c>
      <c r="H2220" s="1">
        <v>44315</v>
      </c>
      <c r="I2220" t="s">
        <v>189</v>
      </c>
      <c r="K2220" t="s">
        <v>6189</v>
      </c>
      <c r="L2220" t="s">
        <v>6190</v>
      </c>
      <c r="M2220" t="s">
        <v>329</v>
      </c>
      <c r="N2220" t="s">
        <v>6191</v>
      </c>
      <c r="Q2220" t="s">
        <v>408</v>
      </c>
      <c r="R2220" t="s">
        <v>261</v>
      </c>
      <c r="S2220" t="s">
        <v>261</v>
      </c>
      <c r="T2220" t="s">
        <v>261</v>
      </c>
      <c r="U2220" t="s">
        <v>262</v>
      </c>
      <c r="V2220" t="s">
        <v>262</v>
      </c>
      <c r="W2220" t="s">
        <v>261</v>
      </c>
      <c r="X2220" t="s">
        <v>261</v>
      </c>
      <c r="Y2220" t="s">
        <v>261</v>
      </c>
      <c r="Z2220" t="s">
        <v>409</v>
      </c>
      <c r="AA2220" t="s">
        <v>409</v>
      </c>
      <c r="AB2220" t="s">
        <v>409</v>
      </c>
      <c r="AC2220" t="s">
        <v>409</v>
      </c>
      <c r="AD2220" t="s">
        <v>261</v>
      </c>
      <c r="AH2220" t="s">
        <v>262</v>
      </c>
      <c r="AI2220" t="s">
        <v>262</v>
      </c>
      <c r="AJ2220" t="s">
        <v>261</v>
      </c>
      <c r="AK2220" t="s">
        <v>261</v>
      </c>
      <c r="AM2220" t="s">
        <v>262</v>
      </c>
      <c r="AN2220" t="s">
        <v>6192</v>
      </c>
    </row>
    <row r="2221" spans="1:40" x14ac:dyDescent="0.35">
      <c r="A2221">
        <v>6536818</v>
      </c>
      <c r="B2221" t="s">
        <v>6193</v>
      </c>
      <c r="C2221" t="str">
        <f>"9789811589829"</f>
        <v>9789811589829</v>
      </c>
      <c r="D2221" t="str">
        <f>"9789811589836"</f>
        <v>9789811589836</v>
      </c>
      <c r="E2221" t="s">
        <v>3404</v>
      </c>
      <c r="F2221" t="s">
        <v>2290</v>
      </c>
      <c r="G2221" s="1">
        <v>44293</v>
      </c>
      <c r="H2221" s="1">
        <v>44315</v>
      </c>
      <c r="I2221" t="s">
        <v>189</v>
      </c>
      <c r="K2221" t="s">
        <v>5996</v>
      </c>
      <c r="L2221" t="s">
        <v>6194</v>
      </c>
    </row>
    <row r="2222" spans="1:40" x14ac:dyDescent="0.35">
      <c r="A2222">
        <v>6536820</v>
      </c>
      <c r="B2222" t="s">
        <v>6195</v>
      </c>
      <c r="C2222" t="str">
        <f>"9783030631307"</f>
        <v>9783030631307</v>
      </c>
      <c r="D2222" t="str">
        <f>"9783030631314"</f>
        <v>9783030631314</v>
      </c>
      <c r="E2222" t="s">
        <v>2289</v>
      </c>
      <c r="F2222" t="s">
        <v>2290</v>
      </c>
      <c r="G2222" s="1">
        <v>44293</v>
      </c>
      <c r="H2222" s="1">
        <v>44315</v>
      </c>
      <c r="I2222" t="s">
        <v>189</v>
      </c>
      <c r="K2222" t="s">
        <v>5996</v>
      </c>
      <c r="L2222" t="s">
        <v>6196</v>
      </c>
    </row>
    <row r="2223" spans="1:40" x14ac:dyDescent="0.35">
      <c r="A2223">
        <v>6536823</v>
      </c>
      <c r="B2223" t="s">
        <v>6197</v>
      </c>
      <c r="C2223" t="str">
        <f>"9783030677572"</f>
        <v>9783030677572</v>
      </c>
      <c r="D2223" t="str">
        <f>"9783030677589"</f>
        <v>9783030677589</v>
      </c>
      <c r="E2223" t="s">
        <v>2289</v>
      </c>
      <c r="F2223" t="s">
        <v>2663</v>
      </c>
      <c r="G2223" s="1">
        <v>44293</v>
      </c>
      <c r="H2223" s="1">
        <v>44315</v>
      </c>
      <c r="I2223" t="s">
        <v>189</v>
      </c>
      <c r="K2223" t="s">
        <v>6198</v>
      </c>
      <c r="L2223" t="s">
        <v>97</v>
      </c>
    </row>
    <row r="2224" spans="1:40" x14ac:dyDescent="0.35">
      <c r="A2224">
        <v>6543729</v>
      </c>
      <c r="B2224" t="s">
        <v>6199</v>
      </c>
      <c r="C2224" t="str">
        <f>"9783030676148"</f>
        <v>9783030676148</v>
      </c>
      <c r="D2224" t="str">
        <f>"9783030676155"</f>
        <v>9783030676155</v>
      </c>
      <c r="E2224" t="s">
        <v>2289</v>
      </c>
      <c r="F2224" t="s">
        <v>2290</v>
      </c>
      <c r="G2224" s="1">
        <v>44295</v>
      </c>
      <c r="H2224" s="1">
        <v>44315</v>
      </c>
      <c r="I2224" t="s">
        <v>189</v>
      </c>
      <c r="K2224" t="s">
        <v>1208</v>
      </c>
      <c r="L2224" t="s">
        <v>6200</v>
      </c>
    </row>
    <row r="2225" spans="1:40" x14ac:dyDescent="0.35">
      <c r="A2225">
        <v>6543744</v>
      </c>
      <c r="B2225" t="s">
        <v>6201</v>
      </c>
      <c r="C2225" t="str">
        <f>"9783030672805"</f>
        <v>9783030672805</v>
      </c>
      <c r="D2225" t="str">
        <f>"9783030672812"</f>
        <v>9783030672812</v>
      </c>
      <c r="E2225" t="s">
        <v>2289</v>
      </c>
      <c r="F2225" t="s">
        <v>2290</v>
      </c>
      <c r="G2225" s="1">
        <v>44295</v>
      </c>
      <c r="H2225" s="1">
        <v>44315</v>
      </c>
      <c r="I2225" t="s">
        <v>189</v>
      </c>
      <c r="K2225" t="s">
        <v>1208</v>
      </c>
      <c r="L2225" t="s">
        <v>6202</v>
      </c>
    </row>
    <row r="2226" spans="1:40" x14ac:dyDescent="0.35">
      <c r="A2226">
        <v>6543745</v>
      </c>
      <c r="B2226" t="s">
        <v>6203</v>
      </c>
      <c r="C2226" t="str">
        <f>"9783662623039"</f>
        <v>9783662623039</v>
      </c>
      <c r="D2226" t="str">
        <f>"9783662623046"</f>
        <v>9783662623046</v>
      </c>
      <c r="E2226" t="s">
        <v>4047</v>
      </c>
      <c r="F2226" t="s">
        <v>2290</v>
      </c>
      <c r="G2226" s="1">
        <v>44295</v>
      </c>
      <c r="H2226" s="1">
        <v>44315</v>
      </c>
      <c r="I2226" t="s">
        <v>189</v>
      </c>
      <c r="K2226" t="s">
        <v>5682</v>
      </c>
      <c r="L2226" t="s">
        <v>6204</v>
      </c>
    </row>
    <row r="2227" spans="1:40" x14ac:dyDescent="0.35">
      <c r="A2227">
        <v>6546237</v>
      </c>
      <c r="B2227" t="s">
        <v>6205</v>
      </c>
      <c r="C2227" t="str">
        <f>"9783662633533"</f>
        <v>9783662633533</v>
      </c>
      <c r="D2227" t="str">
        <f>"9783662633540"</f>
        <v>9783662633540</v>
      </c>
      <c r="E2227" t="s">
        <v>4047</v>
      </c>
      <c r="F2227" t="s">
        <v>4084</v>
      </c>
      <c r="G2227" s="1">
        <v>44296</v>
      </c>
      <c r="H2227" s="1">
        <v>44315</v>
      </c>
      <c r="I2227" t="s">
        <v>189</v>
      </c>
      <c r="L2227" t="s">
        <v>6206</v>
      </c>
    </row>
    <row r="2228" spans="1:40" x14ac:dyDescent="0.35">
      <c r="A2228">
        <v>6546682</v>
      </c>
      <c r="B2228" t="s">
        <v>6207</v>
      </c>
      <c r="C2228" t="str">
        <f>""</f>
        <v/>
      </c>
      <c r="D2228" t="str">
        <f>"9789179296520"</f>
        <v>9789179296520</v>
      </c>
      <c r="E2228" t="s">
        <v>3642</v>
      </c>
      <c r="F2228" t="s">
        <v>3642</v>
      </c>
      <c r="G2228" s="1">
        <v>44291</v>
      </c>
      <c r="H2228" s="1">
        <v>44305</v>
      </c>
      <c r="I2228" t="s">
        <v>189</v>
      </c>
      <c r="J2228">
        <v>1</v>
      </c>
      <c r="L2228" t="s">
        <v>6208</v>
      </c>
      <c r="Q2228" t="s">
        <v>260</v>
      </c>
      <c r="R2228" t="s">
        <v>261</v>
      </c>
      <c r="S2228" t="s">
        <v>261</v>
      </c>
      <c r="T2228" t="s">
        <v>261</v>
      </c>
      <c r="U2228" t="s">
        <v>261</v>
      </c>
      <c r="V2228" t="s">
        <v>262</v>
      </c>
      <c r="W2228" t="s">
        <v>261</v>
      </c>
      <c r="X2228" t="s">
        <v>261</v>
      </c>
      <c r="Y2228" t="s">
        <v>261</v>
      </c>
      <c r="AD2228" t="s">
        <v>261</v>
      </c>
      <c r="AH2228" t="s">
        <v>262</v>
      </c>
      <c r="AI2228" t="s">
        <v>261</v>
      </c>
      <c r="AJ2228" t="s">
        <v>261</v>
      </c>
      <c r="AK2228" t="s">
        <v>261</v>
      </c>
      <c r="AM2228" t="s">
        <v>262</v>
      </c>
      <c r="AN2228" t="s">
        <v>6209</v>
      </c>
    </row>
    <row r="2229" spans="1:40" x14ac:dyDescent="0.35">
      <c r="A2229">
        <v>6546683</v>
      </c>
      <c r="B2229" t="s">
        <v>6210</v>
      </c>
      <c r="C2229" t="str">
        <f>""</f>
        <v/>
      </c>
      <c r="D2229" t="str">
        <f>"9789179296827"</f>
        <v>9789179296827</v>
      </c>
      <c r="E2229" t="s">
        <v>3642</v>
      </c>
      <c r="F2229" t="s">
        <v>3642</v>
      </c>
      <c r="G2229" s="1">
        <v>44293</v>
      </c>
      <c r="H2229" s="1">
        <v>44298</v>
      </c>
      <c r="I2229" t="s">
        <v>189</v>
      </c>
      <c r="J2229">
        <v>1</v>
      </c>
      <c r="L2229" t="s">
        <v>6211</v>
      </c>
      <c r="Q2229" t="s">
        <v>260</v>
      </c>
      <c r="R2229" t="s">
        <v>261</v>
      </c>
      <c r="S2229" t="s">
        <v>261</v>
      </c>
      <c r="T2229" t="s">
        <v>261</v>
      </c>
      <c r="U2229" t="s">
        <v>261</v>
      </c>
      <c r="V2229" t="s">
        <v>262</v>
      </c>
      <c r="W2229" t="s">
        <v>261</v>
      </c>
      <c r="X2229" t="s">
        <v>261</v>
      </c>
      <c r="Y2229" t="s">
        <v>261</v>
      </c>
      <c r="AD2229" t="s">
        <v>261</v>
      </c>
      <c r="AH2229" t="s">
        <v>262</v>
      </c>
      <c r="AI2229" t="s">
        <v>261</v>
      </c>
      <c r="AJ2229" t="s">
        <v>261</v>
      </c>
      <c r="AK2229" t="s">
        <v>261</v>
      </c>
      <c r="AM2229" t="s">
        <v>262</v>
      </c>
      <c r="AN2229" t="s">
        <v>6212</v>
      </c>
    </row>
    <row r="2230" spans="1:40" x14ac:dyDescent="0.35">
      <c r="A2230">
        <v>6546684</v>
      </c>
      <c r="B2230" t="s">
        <v>6213</v>
      </c>
      <c r="C2230" t="str">
        <f>""</f>
        <v/>
      </c>
      <c r="D2230" t="str">
        <f>"9789179296599"</f>
        <v>9789179296599</v>
      </c>
      <c r="E2230" t="s">
        <v>3642</v>
      </c>
      <c r="F2230" t="s">
        <v>3642</v>
      </c>
      <c r="G2230" s="1">
        <v>44292</v>
      </c>
      <c r="H2230" s="1">
        <v>44312</v>
      </c>
      <c r="I2230" t="s">
        <v>189</v>
      </c>
      <c r="J2230">
        <v>1</v>
      </c>
      <c r="L2230" t="s">
        <v>6214</v>
      </c>
      <c r="Q2230" t="s">
        <v>260</v>
      </c>
      <c r="R2230" t="s">
        <v>261</v>
      </c>
      <c r="S2230" t="s">
        <v>261</v>
      </c>
      <c r="T2230" t="s">
        <v>261</v>
      </c>
      <c r="U2230" t="s">
        <v>261</v>
      </c>
      <c r="V2230" t="s">
        <v>262</v>
      </c>
      <c r="W2230" t="s">
        <v>261</v>
      </c>
      <c r="X2230" t="s">
        <v>261</v>
      </c>
      <c r="Y2230" t="s">
        <v>261</v>
      </c>
      <c r="AD2230" t="s">
        <v>261</v>
      </c>
      <c r="AH2230" t="s">
        <v>262</v>
      </c>
      <c r="AI2230" t="s">
        <v>261</v>
      </c>
      <c r="AJ2230" t="s">
        <v>261</v>
      </c>
      <c r="AK2230" t="s">
        <v>261</v>
      </c>
      <c r="AM2230" t="s">
        <v>262</v>
      </c>
      <c r="AN2230" t="s">
        <v>6215</v>
      </c>
    </row>
    <row r="2231" spans="1:40" x14ac:dyDescent="0.35">
      <c r="A2231">
        <v>6548800</v>
      </c>
      <c r="B2231" t="s">
        <v>6216</v>
      </c>
      <c r="C2231" t="str">
        <f>"9789027208514"</f>
        <v>9789027208514</v>
      </c>
      <c r="D2231" t="str">
        <f>"9789027260079"</f>
        <v>9789027260079</v>
      </c>
      <c r="E2231" t="s">
        <v>1372</v>
      </c>
      <c r="F2231" t="s">
        <v>1372</v>
      </c>
      <c r="G2231" s="1">
        <v>44312</v>
      </c>
      <c r="H2231" s="1">
        <v>44342</v>
      </c>
      <c r="I2231" t="s">
        <v>189</v>
      </c>
      <c r="J2231">
        <v>1</v>
      </c>
      <c r="K2231" t="s">
        <v>6217</v>
      </c>
      <c r="L2231" t="s">
        <v>6218</v>
      </c>
      <c r="M2231" t="s">
        <v>389</v>
      </c>
      <c r="N2231" t="s">
        <v>6219</v>
      </c>
      <c r="Q2231" t="s">
        <v>408</v>
      </c>
      <c r="R2231" t="s">
        <v>261</v>
      </c>
      <c r="S2231" t="s">
        <v>261</v>
      </c>
      <c r="T2231" t="s">
        <v>261</v>
      </c>
      <c r="U2231" t="s">
        <v>261</v>
      </c>
      <c r="V2231" t="s">
        <v>262</v>
      </c>
      <c r="W2231" t="s">
        <v>261</v>
      </c>
      <c r="X2231" t="s">
        <v>261</v>
      </c>
      <c r="Y2231" t="s">
        <v>261</v>
      </c>
      <c r="Z2231" t="s">
        <v>409</v>
      </c>
      <c r="AA2231" t="s">
        <v>409</v>
      </c>
      <c r="AB2231" t="s">
        <v>409</v>
      </c>
      <c r="AC2231" t="s">
        <v>409</v>
      </c>
      <c r="AD2231" t="s">
        <v>261</v>
      </c>
      <c r="AH2231" t="s">
        <v>262</v>
      </c>
      <c r="AI2231" t="s">
        <v>262</v>
      </c>
      <c r="AJ2231" t="s">
        <v>261</v>
      </c>
      <c r="AK2231" t="s">
        <v>261</v>
      </c>
      <c r="AM2231" t="s">
        <v>262</v>
      </c>
      <c r="AN2231" t="s">
        <v>6220</v>
      </c>
    </row>
    <row r="2232" spans="1:40" x14ac:dyDescent="0.35">
      <c r="A2232">
        <v>6550483</v>
      </c>
      <c r="B2232" t="s">
        <v>6221</v>
      </c>
      <c r="C2232" t="str">
        <f>"9783030712808"</f>
        <v>9783030712808</v>
      </c>
      <c r="D2232" t="str">
        <f>"9783030712815"</f>
        <v>9783030712815</v>
      </c>
      <c r="E2232" t="s">
        <v>2289</v>
      </c>
      <c r="F2232" t="s">
        <v>2290</v>
      </c>
      <c r="G2232" s="1">
        <v>44299</v>
      </c>
      <c r="H2232" s="1">
        <v>44315</v>
      </c>
      <c r="I2232" t="s">
        <v>189</v>
      </c>
      <c r="K2232" t="s">
        <v>4728</v>
      </c>
      <c r="L2232" t="s">
        <v>67</v>
      </c>
    </row>
    <row r="2233" spans="1:40" x14ac:dyDescent="0.35">
      <c r="A2233">
        <v>6551435</v>
      </c>
      <c r="B2233" t="s">
        <v>6222</v>
      </c>
      <c r="C2233" t="str">
        <f>"9781800641273"</f>
        <v>9781800641273</v>
      </c>
      <c r="D2233" t="str">
        <f>"9781800641280"</f>
        <v>9781800641280</v>
      </c>
      <c r="E2233" t="s">
        <v>1807</v>
      </c>
      <c r="F2233" t="s">
        <v>1807</v>
      </c>
      <c r="G2233" s="1">
        <v>44286</v>
      </c>
      <c r="H2233" s="1">
        <v>44302</v>
      </c>
      <c r="I2233" t="s">
        <v>189</v>
      </c>
      <c r="J2233">
        <v>1</v>
      </c>
      <c r="L2233" t="s">
        <v>6223</v>
      </c>
      <c r="M2233" t="s">
        <v>578</v>
      </c>
      <c r="Q2233" t="s">
        <v>260</v>
      </c>
      <c r="R2233" t="s">
        <v>261</v>
      </c>
      <c r="S2233" t="s">
        <v>261</v>
      </c>
      <c r="T2233" t="s">
        <v>261</v>
      </c>
      <c r="U2233" t="s">
        <v>261</v>
      </c>
      <c r="V2233" t="s">
        <v>262</v>
      </c>
      <c r="W2233" t="s">
        <v>261</v>
      </c>
      <c r="X2233" t="s">
        <v>261</v>
      </c>
      <c r="Y2233" t="s">
        <v>261</v>
      </c>
      <c r="Z2233" t="s">
        <v>409</v>
      </c>
      <c r="AA2233" t="s">
        <v>409</v>
      </c>
      <c r="AB2233" t="s">
        <v>409</v>
      </c>
      <c r="AC2233" t="s">
        <v>409</v>
      </c>
      <c r="AD2233" t="s">
        <v>261</v>
      </c>
      <c r="AH2233" t="s">
        <v>262</v>
      </c>
      <c r="AI2233" t="s">
        <v>262</v>
      </c>
      <c r="AJ2233" t="s">
        <v>261</v>
      </c>
      <c r="AK2233" t="s">
        <v>261</v>
      </c>
      <c r="AM2233" t="s">
        <v>262</v>
      </c>
      <c r="AN2233" t="s">
        <v>6224</v>
      </c>
    </row>
    <row r="2234" spans="1:40" x14ac:dyDescent="0.35">
      <c r="A2234">
        <v>6551436</v>
      </c>
      <c r="B2234" t="s">
        <v>6225</v>
      </c>
      <c r="C2234" t="str">
        <f>"9781800641655"</f>
        <v>9781800641655</v>
      </c>
      <c r="D2234" t="str">
        <f>"9781800641662"</f>
        <v>9781800641662</v>
      </c>
      <c r="E2234" t="s">
        <v>1807</v>
      </c>
      <c r="F2234" t="s">
        <v>1807</v>
      </c>
      <c r="G2234" s="1">
        <v>44287</v>
      </c>
      <c r="H2234" s="1">
        <v>44302</v>
      </c>
      <c r="I2234" t="s">
        <v>189</v>
      </c>
      <c r="J2234">
        <v>1</v>
      </c>
      <c r="K2234" t="s">
        <v>3667</v>
      </c>
      <c r="L2234" t="s">
        <v>146</v>
      </c>
    </row>
    <row r="2235" spans="1:40" x14ac:dyDescent="0.35">
      <c r="A2235">
        <v>6551437</v>
      </c>
      <c r="B2235" t="s">
        <v>6226</v>
      </c>
      <c r="C2235" t="str">
        <f>"9781800641143"</f>
        <v>9781800641143</v>
      </c>
      <c r="D2235" t="str">
        <f>"9781800641150"</f>
        <v>9781800641150</v>
      </c>
      <c r="E2235" t="s">
        <v>1807</v>
      </c>
      <c r="F2235" t="s">
        <v>1807</v>
      </c>
      <c r="G2235" s="1">
        <v>44246</v>
      </c>
      <c r="H2235" s="1">
        <v>44302</v>
      </c>
      <c r="I2235" t="s">
        <v>189</v>
      </c>
      <c r="J2235">
        <v>1</v>
      </c>
      <c r="L2235" t="s">
        <v>6227</v>
      </c>
    </row>
    <row r="2236" spans="1:40" x14ac:dyDescent="0.35">
      <c r="A2236">
        <v>6551438</v>
      </c>
      <c r="B2236" t="s">
        <v>6228</v>
      </c>
      <c r="C2236" t="str">
        <f>"9781800641594"</f>
        <v>9781800641594</v>
      </c>
      <c r="D2236" t="str">
        <f>"9781800641600"</f>
        <v>9781800641600</v>
      </c>
      <c r="E2236" t="s">
        <v>1807</v>
      </c>
      <c r="F2236" t="s">
        <v>1807</v>
      </c>
      <c r="G2236" s="1">
        <v>44286</v>
      </c>
      <c r="H2236" s="1">
        <v>44302</v>
      </c>
      <c r="I2236" t="s">
        <v>189</v>
      </c>
      <c r="J2236">
        <v>1</v>
      </c>
      <c r="L2236" t="s">
        <v>6229</v>
      </c>
      <c r="M2236" t="s">
        <v>2194</v>
      </c>
    </row>
    <row r="2237" spans="1:40" x14ac:dyDescent="0.35">
      <c r="A2237">
        <v>6552128</v>
      </c>
      <c r="B2237" t="s">
        <v>6230</v>
      </c>
      <c r="C2237" t="str">
        <f>"9789027208330"</f>
        <v>9789027208330</v>
      </c>
      <c r="D2237" t="str">
        <f>"9789027260246"</f>
        <v>9789027260246</v>
      </c>
      <c r="E2237" t="s">
        <v>1372</v>
      </c>
      <c r="F2237" t="s">
        <v>1372</v>
      </c>
      <c r="G2237" s="1">
        <v>44309</v>
      </c>
      <c r="H2237" s="1">
        <v>44342</v>
      </c>
      <c r="I2237" t="s">
        <v>189</v>
      </c>
      <c r="J2237">
        <v>1</v>
      </c>
      <c r="K2237" t="s">
        <v>6231</v>
      </c>
      <c r="L2237" t="s">
        <v>6232</v>
      </c>
    </row>
    <row r="2238" spans="1:40" x14ac:dyDescent="0.35">
      <c r="A2238">
        <v>6552906</v>
      </c>
      <c r="B2238" t="s">
        <v>6233</v>
      </c>
      <c r="C2238" t="str">
        <f>""</f>
        <v/>
      </c>
      <c r="D2238" t="str">
        <f>"9789179296759"</f>
        <v>9789179296759</v>
      </c>
      <c r="E2238" t="s">
        <v>3642</v>
      </c>
      <c r="F2238" t="s">
        <v>3642</v>
      </c>
      <c r="G2238" s="1">
        <v>44284</v>
      </c>
      <c r="H2238" s="1">
        <v>44305</v>
      </c>
      <c r="I2238" t="s">
        <v>189</v>
      </c>
      <c r="J2238">
        <v>1</v>
      </c>
      <c r="L2238" t="s">
        <v>6234</v>
      </c>
      <c r="Q2238" t="s">
        <v>260</v>
      </c>
      <c r="R2238" t="s">
        <v>261</v>
      </c>
      <c r="S2238" t="s">
        <v>261</v>
      </c>
      <c r="T2238" t="s">
        <v>261</v>
      </c>
      <c r="U2238" t="s">
        <v>261</v>
      </c>
      <c r="V2238" t="s">
        <v>262</v>
      </c>
      <c r="W2238" t="s">
        <v>261</v>
      </c>
      <c r="X2238" t="s">
        <v>261</v>
      </c>
      <c r="Y2238" t="s">
        <v>261</v>
      </c>
      <c r="AD2238" t="s">
        <v>261</v>
      </c>
      <c r="AH2238" t="s">
        <v>262</v>
      </c>
      <c r="AI2238" t="s">
        <v>261</v>
      </c>
      <c r="AJ2238" t="s">
        <v>261</v>
      </c>
      <c r="AK2238" t="s">
        <v>261</v>
      </c>
      <c r="AM2238" t="s">
        <v>262</v>
      </c>
      <c r="AN2238" t="s">
        <v>6235</v>
      </c>
    </row>
    <row r="2239" spans="1:40" x14ac:dyDescent="0.35">
      <c r="A2239">
        <v>6552907</v>
      </c>
      <c r="B2239" t="s">
        <v>6236</v>
      </c>
      <c r="C2239" t="str">
        <f>""</f>
        <v/>
      </c>
      <c r="D2239" t="str">
        <f>"9789179296728"</f>
        <v>9789179296728</v>
      </c>
      <c r="E2239" t="s">
        <v>3642</v>
      </c>
      <c r="F2239" t="s">
        <v>3642</v>
      </c>
      <c r="G2239" s="1">
        <v>44285</v>
      </c>
      <c r="H2239" s="1">
        <v>44305</v>
      </c>
      <c r="I2239" t="s">
        <v>189</v>
      </c>
      <c r="J2239">
        <v>1</v>
      </c>
      <c r="L2239" t="s">
        <v>6237</v>
      </c>
      <c r="Q2239" t="s">
        <v>260</v>
      </c>
      <c r="R2239" t="s">
        <v>261</v>
      </c>
      <c r="S2239" t="s">
        <v>261</v>
      </c>
      <c r="T2239" t="s">
        <v>261</v>
      </c>
      <c r="U2239" t="s">
        <v>261</v>
      </c>
      <c r="V2239" t="s">
        <v>262</v>
      </c>
      <c r="W2239" t="s">
        <v>261</v>
      </c>
      <c r="X2239" t="s">
        <v>261</v>
      </c>
      <c r="Y2239" t="s">
        <v>261</v>
      </c>
      <c r="AD2239" t="s">
        <v>261</v>
      </c>
      <c r="AH2239" t="s">
        <v>262</v>
      </c>
      <c r="AI2239" t="s">
        <v>261</v>
      </c>
      <c r="AJ2239" t="s">
        <v>261</v>
      </c>
      <c r="AK2239" t="s">
        <v>261</v>
      </c>
      <c r="AM2239" t="s">
        <v>262</v>
      </c>
      <c r="AN2239" t="s">
        <v>6238</v>
      </c>
    </row>
    <row r="2240" spans="1:40" x14ac:dyDescent="0.35">
      <c r="A2240">
        <v>6563628</v>
      </c>
      <c r="B2240" t="s">
        <v>6239</v>
      </c>
      <c r="C2240" t="str">
        <f>"9789027208675"</f>
        <v>9789027208675</v>
      </c>
      <c r="D2240" t="str">
        <f>"9789027259929"</f>
        <v>9789027259929</v>
      </c>
      <c r="E2240" t="s">
        <v>1372</v>
      </c>
      <c r="F2240" t="s">
        <v>1372</v>
      </c>
      <c r="G2240" s="1">
        <v>44326</v>
      </c>
      <c r="H2240" s="1">
        <v>44342</v>
      </c>
      <c r="I2240" t="s">
        <v>189</v>
      </c>
      <c r="J2240">
        <v>1</v>
      </c>
      <c r="K2240" t="s">
        <v>3401</v>
      </c>
      <c r="L2240" t="s">
        <v>6240</v>
      </c>
    </row>
    <row r="2241" spans="1:40" x14ac:dyDescent="0.35">
      <c r="A2241">
        <v>6566351</v>
      </c>
      <c r="B2241" t="s">
        <v>6241</v>
      </c>
      <c r="C2241" t="str">
        <f>""</f>
        <v/>
      </c>
      <c r="D2241" t="str">
        <f>"9789179296438"</f>
        <v>9789179296438</v>
      </c>
      <c r="E2241" t="s">
        <v>3642</v>
      </c>
      <c r="F2241" t="s">
        <v>3642</v>
      </c>
      <c r="G2241" s="1">
        <v>44301</v>
      </c>
      <c r="H2241" s="1">
        <v>44312</v>
      </c>
      <c r="I2241" t="s">
        <v>189</v>
      </c>
      <c r="J2241">
        <v>1</v>
      </c>
      <c r="L2241" t="s">
        <v>6242</v>
      </c>
      <c r="Q2241" t="s">
        <v>260</v>
      </c>
      <c r="R2241" t="s">
        <v>261</v>
      </c>
      <c r="S2241" t="s">
        <v>261</v>
      </c>
      <c r="T2241" t="s">
        <v>261</v>
      </c>
      <c r="U2241" t="s">
        <v>261</v>
      </c>
      <c r="V2241" t="s">
        <v>262</v>
      </c>
      <c r="W2241" t="s">
        <v>261</v>
      </c>
      <c r="X2241" t="s">
        <v>261</v>
      </c>
      <c r="Y2241" t="s">
        <v>261</v>
      </c>
      <c r="AD2241" t="s">
        <v>261</v>
      </c>
      <c r="AH2241" t="s">
        <v>262</v>
      </c>
      <c r="AI2241" t="s">
        <v>261</v>
      </c>
      <c r="AJ2241" t="s">
        <v>261</v>
      </c>
      <c r="AK2241" t="s">
        <v>261</v>
      </c>
      <c r="AM2241" t="s">
        <v>262</v>
      </c>
      <c r="AN2241" t="s">
        <v>6243</v>
      </c>
    </row>
    <row r="2242" spans="1:40" x14ac:dyDescent="0.35">
      <c r="A2242">
        <v>6566352</v>
      </c>
      <c r="B2242" t="s">
        <v>6244</v>
      </c>
      <c r="C2242" t="str">
        <f>""</f>
        <v/>
      </c>
      <c r="D2242" t="str">
        <f>"9789179296537"</f>
        <v>9789179296537</v>
      </c>
      <c r="E2242" t="s">
        <v>3642</v>
      </c>
      <c r="F2242" t="s">
        <v>3642</v>
      </c>
      <c r="G2242" s="1">
        <v>44309</v>
      </c>
      <c r="H2242" s="1">
        <v>44319</v>
      </c>
      <c r="I2242" t="s">
        <v>189</v>
      </c>
      <c r="J2242">
        <v>1</v>
      </c>
      <c r="L2242" t="s">
        <v>6245</v>
      </c>
      <c r="Q2242" t="s">
        <v>260</v>
      </c>
      <c r="R2242" t="s">
        <v>261</v>
      </c>
      <c r="S2242" t="s">
        <v>261</v>
      </c>
      <c r="T2242" t="s">
        <v>261</v>
      </c>
      <c r="U2242" t="s">
        <v>261</v>
      </c>
      <c r="V2242" t="s">
        <v>262</v>
      </c>
      <c r="W2242" t="s">
        <v>261</v>
      </c>
      <c r="X2242" t="s">
        <v>261</v>
      </c>
      <c r="Y2242" t="s">
        <v>261</v>
      </c>
      <c r="AD2242" t="s">
        <v>261</v>
      </c>
      <c r="AH2242" t="s">
        <v>262</v>
      </c>
      <c r="AI2242" t="s">
        <v>261</v>
      </c>
      <c r="AJ2242" t="s">
        <v>261</v>
      </c>
      <c r="AK2242" t="s">
        <v>261</v>
      </c>
      <c r="AM2242" t="s">
        <v>262</v>
      </c>
      <c r="AN2242" t="s">
        <v>6246</v>
      </c>
    </row>
    <row r="2243" spans="1:40" x14ac:dyDescent="0.35">
      <c r="A2243">
        <v>6566353</v>
      </c>
      <c r="B2243" t="s">
        <v>6247</v>
      </c>
      <c r="C2243" t="str">
        <f>""</f>
        <v/>
      </c>
      <c r="D2243" t="str">
        <f>"9789179298746"</f>
        <v>9789179298746</v>
      </c>
      <c r="E2243" t="s">
        <v>3642</v>
      </c>
      <c r="F2243" t="s">
        <v>3642</v>
      </c>
      <c r="G2243" s="1">
        <v>44306</v>
      </c>
      <c r="H2243" s="1">
        <v>44312</v>
      </c>
      <c r="I2243" t="s">
        <v>189</v>
      </c>
      <c r="J2243">
        <v>1</v>
      </c>
      <c r="L2243" t="s">
        <v>6248</v>
      </c>
      <c r="Q2243" t="s">
        <v>260</v>
      </c>
      <c r="R2243" t="s">
        <v>261</v>
      </c>
      <c r="S2243" t="s">
        <v>261</v>
      </c>
      <c r="T2243" t="s">
        <v>261</v>
      </c>
      <c r="U2243" t="s">
        <v>261</v>
      </c>
      <c r="V2243" t="s">
        <v>262</v>
      </c>
      <c r="W2243" t="s">
        <v>261</v>
      </c>
      <c r="X2243" t="s">
        <v>261</v>
      </c>
      <c r="Y2243" t="s">
        <v>261</v>
      </c>
      <c r="AD2243" t="s">
        <v>261</v>
      </c>
      <c r="AH2243" t="s">
        <v>262</v>
      </c>
      <c r="AI2243" t="s">
        <v>261</v>
      </c>
      <c r="AJ2243" t="s">
        <v>261</v>
      </c>
      <c r="AK2243" t="s">
        <v>261</v>
      </c>
      <c r="AM2243" t="s">
        <v>262</v>
      </c>
      <c r="AN2243" t="s">
        <v>6249</v>
      </c>
    </row>
    <row r="2244" spans="1:40" x14ac:dyDescent="0.35">
      <c r="A2244">
        <v>6566901</v>
      </c>
      <c r="B2244" t="s">
        <v>6250</v>
      </c>
      <c r="C2244" t="str">
        <f>"9783030652869"</f>
        <v>9783030652869</v>
      </c>
      <c r="D2244" t="str">
        <f>"9783030652876"</f>
        <v>9783030652876</v>
      </c>
      <c r="E2244" t="s">
        <v>2289</v>
      </c>
      <c r="F2244" t="s">
        <v>2290</v>
      </c>
      <c r="G2244" s="1">
        <v>44333</v>
      </c>
      <c r="H2244" s="1">
        <v>44337</v>
      </c>
      <c r="I2244" t="s">
        <v>189</v>
      </c>
      <c r="L2244" t="s">
        <v>6251</v>
      </c>
    </row>
    <row r="2245" spans="1:40" x14ac:dyDescent="0.35">
      <c r="A2245">
        <v>6566902</v>
      </c>
      <c r="B2245" t="s">
        <v>6252</v>
      </c>
      <c r="C2245" t="str">
        <f>"9789813367333"</f>
        <v>9789813367333</v>
      </c>
      <c r="D2245" t="str">
        <f>"9789813367340"</f>
        <v>9789813367340</v>
      </c>
      <c r="E2245" t="s">
        <v>3404</v>
      </c>
      <c r="F2245" t="s">
        <v>2290</v>
      </c>
      <c r="G2245" s="1">
        <v>44308</v>
      </c>
      <c r="H2245" s="1">
        <v>44337</v>
      </c>
      <c r="I2245" t="s">
        <v>189</v>
      </c>
      <c r="K2245" t="s">
        <v>6253</v>
      </c>
      <c r="L2245" t="s">
        <v>6254</v>
      </c>
    </row>
    <row r="2246" spans="1:40" x14ac:dyDescent="0.35">
      <c r="A2246">
        <v>6566903</v>
      </c>
      <c r="B2246" t="s">
        <v>6255</v>
      </c>
      <c r="C2246" t="str">
        <f>"9783030697273"</f>
        <v>9783030697273</v>
      </c>
      <c r="D2246" t="str">
        <f>"9783030697280"</f>
        <v>9783030697280</v>
      </c>
      <c r="E2246" t="s">
        <v>2289</v>
      </c>
      <c r="F2246" t="s">
        <v>2663</v>
      </c>
      <c r="G2246" s="1">
        <v>44308</v>
      </c>
      <c r="H2246" s="1">
        <v>44337</v>
      </c>
      <c r="I2246" t="s">
        <v>189</v>
      </c>
      <c r="K2246" t="s">
        <v>5196</v>
      </c>
      <c r="L2246" t="s">
        <v>6256</v>
      </c>
      <c r="M2246" t="s">
        <v>329</v>
      </c>
      <c r="N2246" t="s">
        <v>4734</v>
      </c>
      <c r="O2246" t="s">
        <v>6257</v>
      </c>
      <c r="Q2246" t="s">
        <v>260</v>
      </c>
      <c r="R2246" t="s">
        <v>261</v>
      </c>
      <c r="S2246" t="s">
        <v>261</v>
      </c>
      <c r="T2246" t="s">
        <v>261</v>
      </c>
      <c r="U2246" t="s">
        <v>262</v>
      </c>
      <c r="V2246" t="s">
        <v>262</v>
      </c>
      <c r="W2246" t="s">
        <v>261</v>
      </c>
      <c r="X2246" t="s">
        <v>261</v>
      </c>
      <c r="Y2246" t="s">
        <v>261</v>
      </c>
      <c r="Z2246" t="s">
        <v>409</v>
      </c>
      <c r="AA2246" t="s">
        <v>409</v>
      </c>
      <c r="AB2246" t="s">
        <v>409</v>
      </c>
      <c r="AC2246" t="s">
        <v>409</v>
      </c>
      <c r="AD2246" t="s">
        <v>261</v>
      </c>
      <c r="AH2246" t="s">
        <v>262</v>
      </c>
      <c r="AI2246" t="s">
        <v>262</v>
      </c>
      <c r="AJ2246" t="s">
        <v>261</v>
      </c>
      <c r="AK2246" t="s">
        <v>261</v>
      </c>
      <c r="AM2246" t="s">
        <v>262</v>
      </c>
      <c r="AN2246" t="s">
        <v>6258</v>
      </c>
    </row>
    <row r="2247" spans="1:40" x14ac:dyDescent="0.35">
      <c r="A2247">
        <v>6566915</v>
      </c>
      <c r="B2247" t="s">
        <v>6259</v>
      </c>
      <c r="C2247" t="str">
        <f>"9783030662998"</f>
        <v>9783030662998</v>
      </c>
      <c r="D2247" t="str">
        <f>"9783030663001"</f>
        <v>9783030663001</v>
      </c>
      <c r="E2247" t="s">
        <v>2289</v>
      </c>
      <c r="F2247" t="s">
        <v>2290</v>
      </c>
      <c r="G2247" s="1">
        <v>44308</v>
      </c>
      <c r="H2247" s="1">
        <v>44337</v>
      </c>
      <c r="I2247" t="s">
        <v>189</v>
      </c>
      <c r="K2247" t="s">
        <v>6260</v>
      </c>
      <c r="L2247" t="s">
        <v>6261</v>
      </c>
    </row>
    <row r="2248" spans="1:40" x14ac:dyDescent="0.35">
      <c r="A2248">
        <v>6566965</v>
      </c>
      <c r="B2248" t="s">
        <v>6262</v>
      </c>
      <c r="C2248" t="str">
        <f>"9783030650667"</f>
        <v>9783030650667</v>
      </c>
      <c r="D2248" t="str">
        <f>"9783030650674"</f>
        <v>9783030650674</v>
      </c>
      <c r="E2248" t="s">
        <v>2289</v>
      </c>
      <c r="F2248" t="s">
        <v>2663</v>
      </c>
      <c r="G2248" s="1">
        <v>44308</v>
      </c>
      <c r="H2248" s="1">
        <v>44337</v>
      </c>
      <c r="I2248" t="s">
        <v>189</v>
      </c>
      <c r="K2248" t="s">
        <v>6263</v>
      </c>
      <c r="L2248" t="s">
        <v>6264</v>
      </c>
    </row>
    <row r="2249" spans="1:40" x14ac:dyDescent="0.35">
      <c r="A2249">
        <v>6566991</v>
      </c>
      <c r="B2249" t="s">
        <v>6265</v>
      </c>
      <c r="C2249" t="str">
        <f>"9783030673444"</f>
        <v>9783030673444</v>
      </c>
      <c r="D2249" t="str">
        <f>"9783030673451"</f>
        <v>9783030673451</v>
      </c>
      <c r="E2249" t="s">
        <v>2289</v>
      </c>
      <c r="F2249" t="s">
        <v>2290</v>
      </c>
      <c r="G2249" s="1">
        <v>44308</v>
      </c>
      <c r="H2249" s="1">
        <v>44337</v>
      </c>
      <c r="I2249" t="s">
        <v>189</v>
      </c>
      <c r="L2249" t="s">
        <v>6266</v>
      </c>
    </row>
    <row r="2250" spans="1:40" x14ac:dyDescent="0.35">
      <c r="A2250">
        <v>6567002</v>
      </c>
      <c r="B2250" t="s">
        <v>6267</v>
      </c>
      <c r="C2250" t="str">
        <f>"9789813367609"</f>
        <v>9789813367609</v>
      </c>
      <c r="D2250" t="str">
        <f>"9789813367616"</f>
        <v>9789813367616</v>
      </c>
      <c r="E2250" t="s">
        <v>3404</v>
      </c>
      <c r="F2250" t="s">
        <v>2290</v>
      </c>
      <c r="G2250" s="1">
        <v>44309</v>
      </c>
      <c r="H2250" s="1">
        <v>44337</v>
      </c>
      <c r="I2250" t="s">
        <v>189</v>
      </c>
      <c r="L2250" t="s">
        <v>6268</v>
      </c>
    </row>
    <row r="2251" spans="1:40" x14ac:dyDescent="0.35">
      <c r="A2251">
        <v>6567006</v>
      </c>
      <c r="B2251" t="s">
        <v>6269</v>
      </c>
      <c r="C2251" t="str">
        <f>"9783030684136"</f>
        <v>9783030684136</v>
      </c>
      <c r="D2251" t="str">
        <f>"9783030684143"</f>
        <v>9783030684143</v>
      </c>
      <c r="E2251" t="s">
        <v>2289</v>
      </c>
      <c r="F2251" t="s">
        <v>2290</v>
      </c>
      <c r="G2251" s="1">
        <v>44309</v>
      </c>
      <c r="H2251" s="1">
        <v>44337</v>
      </c>
      <c r="I2251" t="s">
        <v>189</v>
      </c>
      <c r="K2251" t="s">
        <v>1208</v>
      </c>
      <c r="L2251" t="s">
        <v>6270</v>
      </c>
    </row>
    <row r="2252" spans="1:40" x14ac:dyDescent="0.35">
      <c r="A2252">
        <v>6567013</v>
      </c>
      <c r="B2252" t="s">
        <v>6271</v>
      </c>
      <c r="C2252" t="str">
        <f>"9783030650018"</f>
        <v>9783030650018</v>
      </c>
      <c r="D2252" t="str">
        <f>"9783030650025"</f>
        <v>9783030650025</v>
      </c>
      <c r="E2252" t="s">
        <v>2289</v>
      </c>
      <c r="F2252" t="s">
        <v>2290</v>
      </c>
      <c r="G2252" s="1">
        <v>44308</v>
      </c>
      <c r="H2252" s="1">
        <v>44337</v>
      </c>
      <c r="I2252" t="s">
        <v>189</v>
      </c>
      <c r="K2252" t="s">
        <v>6272</v>
      </c>
      <c r="L2252" t="s">
        <v>6273</v>
      </c>
    </row>
    <row r="2253" spans="1:40" x14ac:dyDescent="0.35">
      <c r="A2253">
        <v>6567016</v>
      </c>
      <c r="B2253" t="s">
        <v>6274</v>
      </c>
      <c r="C2253" t="str">
        <f>"9783030565848"</f>
        <v>9783030565848</v>
      </c>
      <c r="D2253" t="str">
        <f>"9783030565855"</f>
        <v>9783030565855</v>
      </c>
      <c r="E2253" t="s">
        <v>2289</v>
      </c>
      <c r="F2253" t="s">
        <v>2663</v>
      </c>
      <c r="G2253" s="1">
        <v>44309</v>
      </c>
      <c r="H2253" s="1">
        <v>44337</v>
      </c>
      <c r="I2253" t="s">
        <v>189</v>
      </c>
      <c r="L2253" t="s">
        <v>6275</v>
      </c>
    </row>
    <row r="2254" spans="1:40" x14ac:dyDescent="0.35">
      <c r="A2254">
        <v>6567037</v>
      </c>
      <c r="B2254" t="s">
        <v>6276</v>
      </c>
      <c r="C2254" t="str">
        <f>"9783030672836"</f>
        <v>9783030672836</v>
      </c>
      <c r="D2254" t="str">
        <f>"9783030672843"</f>
        <v>9783030672843</v>
      </c>
      <c r="E2254" t="s">
        <v>2289</v>
      </c>
      <c r="F2254" t="s">
        <v>2290</v>
      </c>
      <c r="G2254" s="1">
        <v>44308</v>
      </c>
      <c r="H2254" s="1">
        <v>44337</v>
      </c>
      <c r="I2254" t="s">
        <v>189</v>
      </c>
      <c r="K2254" t="s">
        <v>1208</v>
      </c>
      <c r="L2254" t="s">
        <v>6277</v>
      </c>
    </row>
    <row r="2255" spans="1:40" x14ac:dyDescent="0.35">
      <c r="A2255">
        <v>6567083</v>
      </c>
      <c r="B2255" t="s">
        <v>6278</v>
      </c>
      <c r="C2255" t="str">
        <f>"9783030658427"</f>
        <v>9783030658427</v>
      </c>
      <c r="D2255" t="str">
        <f>"9783030658434"</f>
        <v>9783030658434</v>
      </c>
      <c r="E2255" t="s">
        <v>2289</v>
      </c>
      <c r="F2255" t="s">
        <v>2290</v>
      </c>
      <c r="G2255" s="1">
        <v>44308</v>
      </c>
      <c r="H2255" s="1">
        <v>44337</v>
      </c>
      <c r="I2255" t="s">
        <v>189</v>
      </c>
      <c r="L2255" t="s">
        <v>6279</v>
      </c>
    </row>
    <row r="2256" spans="1:40" x14ac:dyDescent="0.35">
      <c r="A2256">
        <v>6567088</v>
      </c>
      <c r="B2256" t="s">
        <v>6280</v>
      </c>
      <c r="C2256" t="str">
        <f>"9783030705657"</f>
        <v>9783030705657</v>
      </c>
      <c r="D2256" t="str">
        <f>"9783030705664"</f>
        <v>9783030705664</v>
      </c>
      <c r="E2256" t="s">
        <v>2289</v>
      </c>
      <c r="F2256" t="s">
        <v>2290</v>
      </c>
      <c r="G2256" s="1">
        <v>44308</v>
      </c>
      <c r="H2256" s="1">
        <v>44337</v>
      </c>
      <c r="I2256" t="s">
        <v>189</v>
      </c>
      <c r="K2256" t="s">
        <v>6260</v>
      </c>
      <c r="L2256" t="s">
        <v>6281</v>
      </c>
    </row>
    <row r="2257" spans="1:40" x14ac:dyDescent="0.35">
      <c r="A2257">
        <v>6568304</v>
      </c>
      <c r="B2257" t="s">
        <v>6282</v>
      </c>
      <c r="C2257" t="str">
        <f>"9783030574253"</f>
        <v>9783030574253</v>
      </c>
      <c r="D2257" t="str">
        <f>"9783030574260"</f>
        <v>9783030574260</v>
      </c>
      <c r="E2257" t="s">
        <v>2289</v>
      </c>
      <c r="F2257" t="s">
        <v>2290</v>
      </c>
      <c r="G2257" s="1">
        <v>44310</v>
      </c>
      <c r="H2257" s="1">
        <v>44337</v>
      </c>
      <c r="I2257" t="s">
        <v>189</v>
      </c>
      <c r="L2257" t="s">
        <v>6283</v>
      </c>
    </row>
    <row r="2258" spans="1:40" x14ac:dyDescent="0.35">
      <c r="A2258">
        <v>6568318</v>
      </c>
      <c r="B2258" t="s">
        <v>6284</v>
      </c>
      <c r="C2258" t="str">
        <f>"9783030666606"</f>
        <v>9783030666606</v>
      </c>
      <c r="D2258" t="str">
        <f>"9783030666613"</f>
        <v>9783030666613</v>
      </c>
      <c r="E2258" t="s">
        <v>2289</v>
      </c>
      <c r="F2258" t="s">
        <v>2290</v>
      </c>
      <c r="G2258" s="1">
        <v>44271</v>
      </c>
      <c r="H2258" s="1">
        <v>44337</v>
      </c>
      <c r="I2258" t="s">
        <v>189</v>
      </c>
      <c r="L2258" t="s">
        <v>6285</v>
      </c>
    </row>
    <row r="2259" spans="1:40" x14ac:dyDescent="0.35">
      <c r="A2259">
        <v>6571537</v>
      </c>
      <c r="B2259" t="s">
        <v>6286</v>
      </c>
      <c r="C2259" t="str">
        <f>"9789633863213"</f>
        <v>9789633863213</v>
      </c>
      <c r="D2259" t="str">
        <f>"9789633863220"</f>
        <v>9789633863220</v>
      </c>
      <c r="E2259" t="s">
        <v>1797</v>
      </c>
      <c r="F2259" t="s">
        <v>1797</v>
      </c>
      <c r="G2259" s="1">
        <v>43862</v>
      </c>
      <c r="H2259" s="1">
        <v>44425</v>
      </c>
      <c r="I2259" t="s">
        <v>189</v>
      </c>
      <c r="J2259">
        <v>1</v>
      </c>
      <c r="L2259" t="s">
        <v>6287</v>
      </c>
      <c r="M2259" t="s">
        <v>282</v>
      </c>
    </row>
    <row r="2260" spans="1:40" x14ac:dyDescent="0.35">
      <c r="A2260">
        <v>6578004</v>
      </c>
      <c r="B2260" t="s">
        <v>6288</v>
      </c>
      <c r="C2260" t="str">
        <f>"9783030641702"</f>
        <v>9783030641702</v>
      </c>
      <c r="D2260" t="str">
        <f>"9783030641719"</f>
        <v>9783030641719</v>
      </c>
      <c r="E2260" t="s">
        <v>2289</v>
      </c>
      <c r="F2260" t="s">
        <v>2290</v>
      </c>
      <c r="G2260" s="1">
        <v>44315</v>
      </c>
      <c r="H2260" s="1">
        <v>44337</v>
      </c>
      <c r="I2260" t="s">
        <v>189</v>
      </c>
      <c r="L2260" t="s">
        <v>6289</v>
      </c>
    </row>
    <row r="2261" spans="1:40" x14ac:dyDescent="0.35">
      <c r="A2261">
        <v>6578098</v>
      </c>
      <c r="B2261" t="s">
        <v>6290</v>
      </c>
      <c r="C2261" t="str">
        <f>""</f>
        <v/>
      </c>
      <c r="D2261" t="str">
        <f>"9782759232789"</f>
        <v>9782759232789</v>
      </c>
      <c r="E2261" t="s">
        <v>1928</v>
      </c>
      <c r="F2261" t="s">
        <v>1928</v>
      </c>
      <c r="G2261" s="1">
        <v>44266</v>
      </c>
      <c r="H2261" s="1">
        <v>44460</v>
      </c>
      <c r="I2261" t="s">
        <v>189</v>
      </c>
      <c r="K2261" t="s">
        <v>2571</v>
      </c>
      <c r="L2261" t="s">
        <v>6291</v>
      </c>
    </row>
    <row r="2262" spans="1:40" x14ac:dyDescent="0.35">
      <c r="A2262">
        <v>6578099</v>
      </c>
      <c r="B2262" t="s">
        <v>6292</v>
      </c>
      <c r="C2262" t="str">
        <f>""</f>
        <v/>
      </c>
      <c r="D2262" t="str">
        <f>"9782759232949"</f>
        <v>9782759232949</v>
      </c>
      <c r="E2262" t="s">
        <v>1928</v>
      </c>
      <c r="F2262" t="s">
        <v>1928</v>
      </c>
      <c r="G2262" s="1">
        <v>44183</v>
      </c>
      <c r="H2262" s="1">
        <v>44546</v>
      </c>
      <c r="I2262" t="s">
        <v>189</v>
      </c>
      <c r="K2262" t="s">
        <v>2571</v>
      </c>
      <c r="L2262" t="s">
        <v>6293</v>
      </c>
    </row>
    <row r="2263" spans="1:40" x14ac:dyDescent="0.35">
      <c r="A2263">
        <v>6578102</v>
      </c>
      <c r="B2263" t="s">
        <v>6294</v>
      </c>
      <c r="C2263" t="str">
        <f>""</f>
        <v/>
      </c>
      <c r="D2263" t="str">
        <f>"9782759232826"</f>
        <v>9782759232826</v>
      </c>
      <c r="E2263" t="s">
        <v>1928</v>
      </c>
      <c r="F2263" t="s">
        <v>1928</v>
      </c>
      <c r="G2263" s="1">
        <v>44183</v>
      </c>
      <c r="H2263" s="1">
        <v>44462</v>
      </c>
      <c r="I2263" t="s">
        <v>189</v>
      </c>
      <c r="K2263" t="s">
        <v>1929</v>
      </c>
      <c r="L2263" t="s">
        <v>6295</v>
      </c>
    </row>
    <row r="2264" spans="1:40" x14ac:dyDescent="0.35">
      <c r="A2264">
        <v>6578533</v>
      </c>
      <c r="B2264" t="s">
        <v>6296</v>
      </c>
      <c r="C2264" t="str">
        <f>"9783030639150"</f>
        <v>9783030639150</v>
      </c>
      <c r="D2264" t="str">
        <f>"9783030639167"</f>
        <v>9783030639167</v>
      </c>
      <c r="E2264" t="s">
        <v>2289</v>
      </c>
      <c r="F2264" t="s">
        <v>2290</v>
      </c>
      <c r="G2264" s="1">
        <v>44316</v>
      </c>
      <c r="H2264" s="1">
        <v>44337</v>
      </c>
      <c r="I2264" t="s">
        <v>189</v>
      </c>
      <c r="K2264" t="s">
        <v>6297</v>
      </c>
      <c r="L2264" t="s">
        <v>6298</v>
      </c>
    </row>
    <row r="2265" spans="1:40" x14ac:dyDescent="0.35">
      <c r="A2265">
        <v>6578553</v>
      </c>
      <c r="B2265" t="s">
        <v>6299</v>
      </c>
      <c r="C2265" t="str">
        <f>"9783658337711"</f>
        <v>9783658337711</v>
      </c>
      <c r="D2265" t="str">
        <f>"9783658337728"</f>
        <v>9783658337728</v>
      </c>
      <c r="E2265" t="s">
        <v>3972</v>
      </c>
      <c r="F2265" t="s">
        <v>3972</v>
      </c>
      <c r="G2265" s="1">
        <v>44316</v>
      </c>
      <c r="H2265" s="1">
        <v>44337</v>
      </c>
      <c r="I2265" t="s">
        <v>189</v>
      </c>
      <c r="K2265" t="s">
        <v>4874</v>
      </c>
      <c r="L2265" t="s">
        <v>6300</v>
      </c>
      <c r="M2265" t="s">
        <v>249</v>
      </c>
      <c r="N2265" t="s">
        <v>6301</v>
      </c>
      <c r="Q2265" t="s">
        <v>408</v>
      </c>
      <c r="R2265" t="s">
        <v>261</v>
      </c>
      <c r="S2265" t="s">
        <v>261</v>
      </c>
      <c r="T2265" t="s">
        <v>261</v>
      </c>
      <c r="U2265" t="s">
        <v>262</v>
      </c>
      <c r="V2265" t="s">
        <v>262</v>
      </c>
      <c r="W2265" t="s">
        <v>261</v>
      </c>
      <c r="X2265" t="s">
        <v>261</v>
      </c>
      <c r="Y2265" t="s">
        <v>261</v>
      </c>
      <c r="Z2265" t="s">
        <v>409</v>
      </c>
      <c r="AA2265" t="s">
        <v>409</v>
      </c>
      <c r="AB2265" t="s">
        <v>409</v>
      </c>
      <c r="AC2265" t="s">
        <v>409</v>
      </c>
      <c r="AD2265" t="s">
        <v>261</v>
      </c>
      <c r="AH2265" t="s">
        <v>262</v>
      </c>
      <c r="AI2265" t="s">
        <v>262</v>
      </c>
      <c r="AJ2265" t="s">
        <v>261</v>
      </c>
      <c r="AK2265" t="s">
        <v>261</v>
      </c>
      <c r="AM2265" t="s">
        <v>262</v>
      </c>
      <c r="AN2265" t="s">
        <v>6302</v>
      </c>
    </row>
    <row r="2266" spans="1:40" x14ac:dyDescent="0.35">
      <c r="A2266">
        <v>6578564</v>
      </c>
      <c r="B2266" t="s">
        <v>6303</v>
      </c>
      <c r="C2266" t="str">
        <f>"9783030674977"</f>
        <v>9783030674977</v>
      </c>
      <c r="D2266" t="str">
        <f>"9783030674984"</f>
        <v>9783030674984</v>
      </c>
      <c r="E2266" t="s">
        <v>2289</v>
      </c>
      <c r="F2266" t="s">
        <v>2290</v>
      </c>
      <c r="G2266" s="1">
        <v>44316</v>
      </c>
      <c r="H2266" s="1">
        <v>44337</v>
      </c>
      <c r="I2266" t="s">
        <v>189</v>
      </c>
      <c r="K2266" t="s">
        <v>1208</v>
      </c>
      <c r="L2266" t="s">
        <v>6304</v>
      </c>
    </row>
    <row r="2267" spans="1:40" x14ac:dyDescent="0.35">
      <c r="A2267">
        <v>6578583</v>
      </c>
      <c r="B2267" t="s">
        <v>6305</v>
      </c>
      <c r="C2267" t="str">
        <f>"9789811621703"</f>
        <v>9789811621703</v>
      </c>
      <c r="D2267" t="str">
        <f>"9789811621710"</f>
        <v>9789811621710</v>
      </c>
      <c r="E2267" t="s">
        <v>3404</v>
      </c>
      <c r="F2267" t="s">
        <v>2290</v>
      </c>
      <c r="G2267" s="1">
        <v>44316</v>
      </c>
      <c r="H2267" s="1">
        <v>44337</v>
      </c>
      <c r="I2267" t="s">
        <v>189</v>
      </c>
      <c r="K2267" t="s">
        <v>6306</v>
      </c>
      <c r="L2267" t="s">
        <v>6307</v>
      </c>
    </row>
    <row r="2268" spans="1:40" x14ac:dyDescent="0.35">
      <c r="A2268">
        <v>6578718</v>
      </c>
      <c r="B2268" t="s">
        <v>6308</v>
      </c>
      <c r="C2268" t="str">
        <f>"9783658330613"</f>
        <v>9783658330613</v>
      </c>
      <c r="D2268" t="str">
        <f>"9783658330620"</f>
        <v>9783658330620</v>
      </c>
      <c r="E2268" t="s">
        <v>3972</v>
      </c>
      <c r="F2268" t="s">
        <v>3998</v>
      </c>
      <c r="G2268" s="1">
        <v>44316</v>
      </c>
      <c r="H2268" s="1">
        <v>44337</v>
      </c>
      <c r="I2268" t="s">
        <v>189</v>
      </c>
      <c r="L2268" t="s">
        <v>6309</v>
      </c>
      <c r="M2268" t="s">
        <v>323</v>
      </c>
      <c r="N2268" t="s">
        <v>6310</v>
      </c>
      <c r="Q2268" t="s">
        <v>408</v>
      </c>
      <c r="R2268" t="s">
        <v>261</v>
      </c>
      <c r="S2268" t="s">
        <v>261</v>
      </c>
      <c r="T2268" t="s">
        <v>261</v>
      </c>
      <c r="U2268" t="s">
        <v>262</v>
      </c>
      <c r="V2268" t="s">
        <v>262</v>
      </c>
      <c r="W2268" t="s">
        <v>261</v>
      </c>
      <c r="X2268" t="s">
        <v>262</v>
      </c>
      <c r="Y2268" t="s">
        <v>261</v>
      </c>
      <c r="Z2268" t="s">
        <v>409</v>
      </c>
      <c r="AA2268" t="s">
        <v>409</v>
      </c>
      <c r="AB2268" t="s">
        <v>409</v>
      </c>
      <c r="AC2268" t="s">
        <v>409</v>
      </c>
      <c r="AD2268" t="s">
        <v>261</v>
      </c>
      <c r="AH2268" t="s">
        <v>262</v>
      </c>
      <c r="AI2268" t="s">
        <v>262</v>
      </c>
      <c r="AJ2268" t="s">
        <v>261</v>
      </c>
      <c r="AK2268" t="s">
        <v>261</v>
      </c>
      <c r="AM2268" t="s">
        <v>262</v>
      </c>
      <c r="AN2268" t="s">
        <v>6311</v>
      </c>
    </row>
    <row r="2269" spans="1:40" x14ac:dyDescent="0.35">
      <c r="A2269">
        <v>6578756</v>
      </c>
      <c r="B2269" t="s">
        <v>6312</v>
      </c>
      <c r="C2269" t="str">
        <f>"9783030635220"</f>
        <v>9783030635220</v>
      </c>
      <c r="D2269" t="str">
        <f>"9783030635237"</f>
        <v>9783030635237</v>
      </c>
      <c r="E2269" t="s">
        <v>2289</v>
      </c>
      <c r="F2269" t="s">
        <v>2290</v>
      </c>
      <c r="G2269" s="1">
        <v>44316</v>
      </c>
      <c r="H2269" s="1">
        <v>44337</v>
      </c>
      <c r="I2269" t="s">
        <v>189</v>
      </c>
      <c r="K2269" t="s">
        <v>6313</v>
      </c>
      <c r="L2269" t="s">
        <v>6314</v>
      </c>
    </row>
    <row r="2270" spans="1:40" x14ac:dyDescent="0.35">
      <c r="A2270">
        <v>6578762</v>
      </c>
      <c r="B2270" t="s">
        <v>6315</v>
      </c>
      <c r="C2270" t="str">
        <f>"9783658329235"</f>
        <v>9783658329235</v>
      </c>
      <c r="D2270" t="str">
        <f>"9783658329242"</f>
        <v>9783658329242</v>
      </c>
      <c r="E2270" t="s">
        <v>3972</v>
      </c>
      <c r="F2270" t="s">
        <v>4048</v>
      </c>
      <c r="G2270" s="1">
        <v>44414</v>
      </c>
      <c r="H2270" s="1">
        <v>44337</v>
      </c>
      <c r="I2270" t="s">
        <v>189</v>
      </c>
      <c r="L2270" t="s">
        <v>6316</v>
      </c>
      <c r="M2270" t="s">
        <v>964</v>
      </c>
      <c r="N2270" t="s">
        <v>6317</v>
      </c>
      <c r="Q2270" t="s">
        <v>408</v>
      </c>
      <c r="R2270" t="s">
        <v>261</v>
      </c>
      <c r="S2270" t="s">
        <v>261</v>
      </c>
      <c r="T2270" t="s">
        <v>261</v>
      </c>
      <c r="U2270" t="s">
        <v>262</v>
      </c>
      <c r="V2270" t="s">
        <v>262</v>
      </c>
      <c r="W2270" t="s">
        <v>261</v>
      </c>
      <c r="X2270" t="s">
        <v>262</v>
      </c>
      <c r="Y2270" t="s">
        <v>261</v>
      </c>
      <c r="Z2270" t="s">
        <v>409</v>
      </c>
      <c r="AA2270" t="s">
        <v>409</v>
      </c>
      <c r="AB2270" t="s">
        <v>409</v>
      </c>
      <c r="AC2270" t="s">
        <v>409</v>
      </c>
      <c r="AD2270" t="s">
        <v>261</v>
      </c>
      <c r="AH2270" t="s">
        <v>262</v>
      </c>
      <c r="AI2270" t="s">
        <v>262</v>
      </c>
      <c r="AJ2270" t="s">
        <v>261</v>
      </c>
      <c r="AK2270" t="s">
        <v>261</v>
      </c>
      <c r="AM2270" t="s">
        <v>262</v>
      </c>
      <c r="AN2270" t="s">
        <v>6318</v>
      </c>
    </row>
    <row r="2271" spans="1:40" x14ac:dyDescent="0.35">
      <c r="A2271">
        <v>6579433</v>
      </c>
      <c r="B2271" t="s">
        <v>6319</v>
      </c>
      <c r="C2271" t="str">
        <f>""</f>
        <v/>
      </c>
      <c r="D2271" t="str">
        <f>"9789179296285"</f>
        <v>9789179296285</v>
      </c>
      <c r="E2271" t="s">
        <v>3642</v>
      </c>
      <c r="F2271" t="s">
        <v>3642</v>
      </c>
      <c r="G2271" s="1">
        <v>44314</v>
      </c>
      <c r="H2271" s="1">
        <v>44340</v>
      </c>
      <c r="I2271" t="s">
        <v>189</v>
      </c>
      <c r="J2271">
        <v>1</v>
      </c>
      <c r="L2271" t="s">
        <v>6320</v>
      </c>
      <c r="Q2271" t="s">
        <v>260</v>
      </c>
      <c r="R2271" t="s">
        <v>261</v>
      </c>
      <c r="S2271" t="s">
        <v>261</v>
      </c>
      <c r="T2271" t="s">
        <v>261</v>
      </c>
      <c r="U2271" t="s">
        <v>261</v>
      </c>
      <c r="V2271" t="s">
        <v>262</v>
      </c>
      <c r="W2271" t="s">
        <v>261</v>
      </c>
      <c r="X2271" t="s">
        <v>261</v>
      </c>
      <c r="Y2271" t="s">
        <v>261</v>
      </c>
      <c r="AD2271" t="s">
        <v>261</v>
      </c>
      <c r="AH2271" t="s">
        <v>262</v>
      </c>
      <c r="AI2271" t="s">
        <v>261</v>
      </c>
      <c r="AJ2271" t="s">
        <v>261</v>
      </c>
      <c r="AK2271" t="s">
        <v>261</v>
      </c>
      <c r="AM2271" t="s">
        <v>262</v>
      </c>
      <c r="AN2271" t="s">
        <v>6321</v>
      </c>
    </row>
    <row r="2272" spans="1:40" x14ac:dyDescent="0.35">
      <c r="A2272">
        <v>6579434</v>
      </c>
      <c r="B2272" t="s">
        <v>6322</v>
      </c>
      <c r="C2272" t="str">
        <f>""</f>
        <v/>
      </c>
      <c r="D2272" t="str">
        <f>"9789179296674"</f>
        <v>9789179296674</v>
      </c>
      <c r="E2272" t="s">
        <v>3642</v>
      </c>
      <c r="F2272" t="s">
        <v>3642</v>
      </c>
      <c r="G2272" s="1">
        <v>44315</v>
      </c>
      <c r="H2272" s="1">
        <v>44333</v>
      </c>
      <c r="I2272" t="s">
        <v>189</v>
      </c>
      <c r="J2272">
        <v>1</v>
      </c>
      <c r="L2272" t="s">
        <v>6323</v>
      </c>
      <c r="Q2272" t="s">
        <v>260</v>
      </c>
      <c r="R2272" t="s">
        <v>261</v>
      </c>
      <c r="S2272" t="s">
        <v>261</v>
      </c>
      <c r="T2272" t="s">
        <v>261</v>
      </c>
      <c r="U2272" t="s">
        <v>261</v>
      </c>
      <c r="V2272" t="s">
        <v>262</v>
      </c>
      <c r="W2272" t="s">
        <v>261</v>
      </c>
      <c r="X2272" t="s">
        <v>261</v>
      </c>
      <c r="Y2272" t="s">
        <v>261</v>
      </c>
      <c r="AD2272" t="s">
        <v>261</v>
      </c>
      <c r="AH2272" t="s">
        <v>262</v>
      </c>
      <c r="AI2272" t="s">
        <v>261</v>
      </c>
      <c r="AJ2272" t="s">
        <v>261</v>
      </c>
      <c r="AK2272" t="s">
        <v>261</v>
      </c>
      <c r="AM2272" t="s">
        <v>262</v>
      </c>
      <c r="AN2272" t="s">
        <v>6324</v>
      </c>
    </row>
    <row r="2273" spans="1:40" x14ac:dyDescent="0.35">
      <c r="A2273">
        <v>6579435</v>
      </c>
      <c r="B2273" t="s">
        <v>6325</v>
      </c>
      <c r="C2273" t="str">
        <f>""</f>
        <v/>
      </c>
      <c r="D2273" t="str">
        <f>"9789179296766"</f>
        <v>9789179296766</v>
      </c>
      <c r="E2273" t="s">
        <v>3642</v>
      </c>
      <c r="F2273" t="s">
        <v>3642</v>
      </c>
      <c r="G2273" s="1">
        <v>44312</v>
      </c>
      <c r="H2273" s="1">
        <v>44326</v>
      </c>
      <c r="I2273" t="s">
        <v>189</v>
      </c>
      <c r="J2273">
        <v>1</v>
      </c>
      <c r="L2273" t="s">
        <v>6326</v>
      </c>
      <c r="Q2273" t="s">
        <v>260</v>
      </c>
      <c r="R2273" t="s">
        <v>261</v>
      </c>
      <c r="S2273" t="s">
        <v>261</v>
      </c>
      <c r="T2273" t="s">
        <v>261</v>
      </c>
      <c r="U2273" t="s">
        <v>261</v>
      </c>
      <c r="V2273" t="s">
        <v>262</v>
      </c>
      <c r="W2273" t="s">
        <v>261</v>
      </c>
      <c r="X2273" t="s">
        <v>261</v>
      </c>
      <c r="Y2273" t="s">
        <v>261</v>
      </c>
      <c r="AD2273" t="s">
        <v>261</v>
      </c>
      <c r="AH2273" t="s">
        <v>262</v>
      </c>
      <c r="AI2273" t="s">
        <v>261</v>
      </c>
      <c r="AJ2273" t="s">
        <v>261</v>
      </c>
      <c r="AK2273" t="s">
        <v>261</v>
      </c>
      <c r="AM2273" t="s">
        <v>262</v>
      </c>
      <c r="AN2273" t="s">
        <v>6327</v>
      </c>
    </row>
    <row r="2274" spans="1:40" x14ac:dyDescent="0.35">
      <c r="A2274">
        <v>6579436</v>
      </c>
      <c r="B2274" t="s">
        <v>6328</v>
      </c>
      <c r="C2274" t="str">
        <f>""</f>
        <v/>
      </c>
      <c r="D2274" t="str">
        <f>"9789179296735"</f>
        <v>9789179296735</v>
      </c>
      <c r="E2274" t="s">
        <v>3642</v>
      </c>
      <c r="F2274" t="s">
        <v>3642</v>
      </c>
      <c r="G2274" s="1">
        <v>44251</v>
      </c>
      <c r="H2274" s="1">
        <v>44319</v>
      </c>
      <c r="I2274" t="s">
        <v>189</v>
      </c>
      <c r="J2274">
        <v>1</v>
      </c>
      <c r="L2274" t="s">
        <v>6329</v>
      </c>
      <c r="Q2274" t="s">
        <v>260</v>
      </c>
      <c r="R2274" t="s">
        <v>261</v>
      </c>
      <c r="S2274" t="s">
        <v>261</v>
      </c>
      <c r="T2274" t="s">
        <v>261</v>
      </c>
      <c r="U2274" t="s">
        <v>261</v>
      </c>
      <c r="V2274" t="s">
        <v>262</v>
      </c>
      <c r="W2274" t="s">
        <v>261</v>
      </c>
      <c r="X2274" t="s">
        <v>261</v>
      </c>
      <c r="Y2274" t="s">
        <v>261</v>
      </c>
      <c r="AD2274" t="s">
        <v>261</v>
      </c>
      <c r="AH2274" t="s">
        <v>262</v>
      </c>
      <c r="AI2274" t="s">
        <v>261</v>
      </c>
      <c r="AJ2274" t="s">
        <v>261</v>
      </c>
      <c r="AK2274" t="s">
        <v>261</v>
      </c>
      <c r="AM2274" t="s">
        <v>262</v>
      </c>
      <c r="AN2274" t="s">
        <v>6330</v>
      </c>
    </row>
    <row r="2275" spans="1:40" x14ac:dyDescent="0.35">
      <c r="A2275">
        <v>6579437</v>
      </c>
      <c r="B2275" t="s">
        <v>6331</v>
      </c>
      <c r="C2275" t="str">
        <f>""</f>
        <v/>
      </c>
      <c r="D2275" t="str">
        <f>"9789179296858"</f>
        <v>9789179296858</v>
      </c>
      <c r="E2275" t="s">
        <v>3642</v>
      </c>
      <c r="F2275" t="s">
        <v>3642</v>
      </c>
      <c r="G2275" s="1">
        <v>44315</v>
      </c>
      <c r="H2275" s="1">
        <v>44319</v>
      </c>
      <c r="I2275" t="s">
        <v>189</v>
      </c>
      <c r="J2275">
        <v>1</v>
      </c>
      <c r="L2275" t="s">
        <v>6332</v>
      </c>
      <c r="Q2275" t="s">
        <v>260</v>
      </c>
      <c r="R2275" t="s">
        <v>261</v>
      </c>
      <c r="S2275" t="s">
        <v>261</v>
      </c>
      <c r="T2275" t="s">
        <v>261</v>
      </c>
      <c r="U2275" t="s">
        <v>261</v>
      </c>
      <c r="V2275" t="s">
        <v>262</v>
      </c>
      <c r="W2275" t="s">
        <v>261</v>
      </c>
      <c r="X2275" t="s">
        <v>261</v>
      </c>
      <c r="Y2275" t="s">
        <v>261</v>
      </c>
      <c r="AD2275" t="s">
        <v>261</v>
      </c>
      <c r="AH2275" t="s">
        <v>262</v>
      </c>
      <c r="AI2275" t="s">
        <v>261</v>
      </c>
      <c r="AJ2275" t="s">
        <v>261</v>
      </c>
      <c r="AK2275" t="s">
        <v>261</v>
      </c>
      <c r="AM2275" t="s">
        <v>262</v>
      </c>
      <c r="AN2275" t="s">
        <v>6333</v>
      </c>
    </row>
    <row r="2276" spans="1:40" x14ac:dyDescent="0.35">
      <c r="A2276">
        <v>6579438</v>
      </c>
      <c r="B2276" t="s">
        <v>6334</v>
      </c>
      <c r="C2276" t="str">
        <f>""</f>
        <v/>
      </c>
      <c r="D2276" t="str">
        <f>"9789179296650"</f>
        <v>9789179296650</v>
      </c>
      <c r="E2276" t="s">
        <v>3642</v>
      </c>
      <c r="F2276" t="s">
        <v>3642</v>
      </c>
      <c r="G2276" s="1">
        <v>44314</v>
      </c>
      <c r="H2276" s="1">
        <v>44319</v>
      </c>
      <c r="I2276" t="s">
        <v>189</v>
      </c>
      <c r="J2276">
        <v>1</v>
      </c>
      <c r="L2276" t="s">
        <v>6335</v>
      </c>
      <c r="Q2276" t="s">
        <v>260</v>
      </c>
      <c r="R2276" t="s">
        <v>261</v>
      </c>
      <c r="S2276" t="s">
        <v>261</v>
      </c>
      <c r="T2276" t="s">
        <v>261</v>
      </c>
      <c r="U2276" t="s">
        <v>261</v>
      </c>
      <c r="V2276" t="s">
        <v>262</v>
      </c>
      <c r="W2276" t="s">
        <v>261</v>
      </c>
      <c r="X2276" t="s">
        <v>261</v>
      </c>
      <c r="Y2276" t="s">
        <v>261</v>
      </c>
      <c r="AD2276" t="s">
        <v>261</v>
      </c>
      <c r="AH2276" t="s">
        <v>262</v>
      </c>
      <c r="AI2276" t="s">
        <v>261</v>
      </c>
      <c r="AJ2276" t="s">
        <v>261</v>
      </c>
      <c r="AK2276" t="s">
        <v>261</v>
      </c>
      <c r="AM2276" t="s">
        <v>262</v>
      </c>
      <c r="AN2276" t="s">
        <v>6336</v>
      </c>
    </row>
    <row r="2277" spans="1:40" x14ac:dyDescent="0.35">
      <c r="A2277">
        <v>6579439</v>
      </c>
      <c r="B2277" t="s">
        <v>6337</v>
      </c>
      <c r="C2277" t="str">
        <f>""</f>
        <v/>
      </c>
      <c r="D2277" t="str">
        <f>"9789179297022"</f>
        <v>9789179297022</v>
      </c>
      <c r="E2277" t="s">
        <v>3642</v>
      </c>
      <c r="F2277" t="s">
        <v>3642</v>
      </c>
      <c r="G2277" s="1">
        <v>44312</v>
      </c>
      <c r="H2277" s="1">
        <v>44319</v>
      </c>
      <c r="I2277" t="s">
        <v>189</v>
      </c>
      <c r="J2277">
        <v>1</v>
      </c>
      <c r="L2277" t="s">
        <v>6338</v>
      </c>
      <c r="Q2277" t="s">
        <v>260</v>
      </c>
      <c r="R2277" t="s">
        <v>261</v>
      </c>
      <c r="S2277" t="s">
        <v>261</v>
      </c>
      <c r="T2277" t="s">
        <v>261</v>
      </c>
      <c r="U2277" t="s">
        <v>261</v>
      </c>
      <c r="V2277" t="s">
        <v>262</v>
      </c>
      <c r="W2277" t="s">
        <v>261</v>
      </c>
      <c r="X2277" t="s">
        <v>261</v>
      </c>
      <c r="Y2277" t="s">
        <v>261</v>
      </c>
      <c r="AD2277" t="s">
        <v>261</v>
      </c>
      <c r="AH2277" t="s">
        <v>262</v>
      </c>
      <c r="AI2277" t="s">
        <v>261</v>
      </c>
      <c r="AJ2277" t="s">
        <v>261</v>
      </c>
      <c r="AK2277" t="s">
        <v>261</v>
      </c>
      <c r="AM2277" t="s">
        <v>262</v>
      </c>
      <c r="AN2277" t="s">
        <v>6339</v>
      </c>
    </row>
    <row r="2278" spans="1:40" x14ac:dyDescent="0.35">
      <c r="A2278">
        <v>6579440</v>
      </c>
      <c r="B2278" t="s">
        <v>6340</v>
      </c>
      <c r="C2278" t="str">
        <f>""</f>
        <v/>
      </c>
      <c r="D2278" t="str">
        <f>"9789179296865"</f>
        <v>9789179296865</v>
      </c>
      <c r="E2278" t="s">
        <v>3642</v>
      </c>
      <c r="F2278" t="s">
        <v>3642</v>
      </c>
      <c r="G2278" s="1">
        <v>44312</v>
      </c>
      <c r="H2278" s="1">
        <v>44347</v>
      </c>
      <c r="I2278" t="s">
        <v>189</v>
      </c>
      <c r="J2278">
        <v>1</v>
      </c>
      <c r="L2278" t="s">
        <v>6341</v>
      </c>
      <c r="Q2278" t="s">
        <v>260</v>
      </c>
      <c r="R2278" t="s">
        <v>261</v>
      </c>
      <c r="S2278" t="s">
        <v>261</v>
      </c>
      <c r="T2278" t="s">
        <v>261</v>
      </c>
      <c r="U2278" t="s">
        <v>261</v>
      </c>
      <c r="V2278" t="s">
        <v>262</v>
      </c>
      <c r="W2278" t="s">
        <v>261</v>
      </c>
      <c r="X2278" t="s">
        <v>261</v>
      </c>
      <c r="Y2278" t="s">
        <v>261</v>
      </c>
      <c r="AD2278" t="s">
        <v>261</v>
      </c>
      <c r="AH2278" t="s">
        <v>262</v>
      </c>
      <c r="AI2278" t="s">
        <v>261</v>
      </c>
      <c r="AJ2278" t="s">
        <v>261</v>
      </c>
      <c r="AK2278" t="s">
        <v>261</v>
      </c>
      <c r="AM2278" t="s">
        <v>262</v>
      </c>
      <c r="AN2278" t="s">
        <v>6342</v>
      </c>
    </row>
    <row r="2279" spans="1:40" x14ac:dyDescent="0.35">
      <c r="A2279">
        <v>6587290</v>
      </c>
      <c r="B2279" t="s">
        <v>6343</v>
      </c>
      <c r="C2279" t="str">
        <f>"9781438484099"</f>
        <v>9781438484099</v>
      </c>
      <c r="D2279" t="str">
        <f>"9781438484112"</f>
        <v>9781438484112</v>
      </c>
      <c r="E2279" t="s">
        <v>2073</v>
      </c>
      <c r="F2279" t="s">
        <v>2074</v>
      </c>
      <c r="G2279" s="1">
        <v>44287</v>
      </c>
      <c r="H2279" s="1">
        <v>44321</v>
      </c>
      <c r="I2279" t="s">
        <v>189</v>
      </c>
      <c r="J2279">
        <v>1</v>
      </c>
      <c r="K2279" t="s">
        <v>2075</v>
      </c>
      <c r="L2279" t="s">
        <v>6344</v>
      </c>
    </row>
    <row r="2280" spans="1:40" x14ac:dyDescent="0.35">
      <c r="A2280">
        <v>6606016</v>
      </c>
      <c r="B2280" t="s">
        <v>6345</v>
      </c>
      <c r="C2280" t="str">
        <f>"9783030643072"</f>
        <v>9783030643072</v>
      </c>
      <c r="D2280" t="str">
        <f>"9783030643089"</f>
        <v>9783030643089</v>
      </c>
      <c r="E2280" t="s">
        <v>2289</v>
      </c>
      <c r="F2280" t="s">
        <v>2290</v>
      </c>
      <c r="G2280" s="1">
        <v>44321</v>
      </c>
      <c r="H2280" s="1">
        <v>44337</v>
      </c>
      <c r="I2280" t="s">
        <v>189</v>
      </c>
      <c r="K2280" t="s">
        <v>6346</v>
      </c>
      <c r="L2280" t="s">
        <v>84</v>
      </c>
    </row>
    <row r="2281" spans="1:40" x14ac:dyDescent="0.35">
      <c r="A2281">
        <v>6606565</v>
      </c>
      <c r="B2281" t="s">
        <v>6347</v>
      </c>
      <c r="C2281" t="str">
        <f>"9783030627911"</f>
        <v>9783030627911</v>
      </c>
      <c r="D2281" t="str">
        <f>"9783030627928"</f>
        <v>9783030627928</v>
      </c>
      <c r="E2281" t="s">
        <v>2289</v>
      </c>
      <c r="F2281" t="s">
        <v>2663</v>
      </c>
      <c r="G2281" s="1">
        <v>44322</v>
      </c>
      <c r="H2281" s="1">
        <v>44337</v>
      </c>
      <c r="I2281" t="s">
        <v>189</v>
      </c>
      <c r="K2281" t="s">
        <v>6348</v>
      </c>
      <c r="L2281" t="s">
        <v>6349</v>
      </c>
      <c r="M2281" t="s">
        <v>535</v>
      </c>
      <c r="N2281" t="s">
        <v>6350</v>
      </c>
      <c r="Q2281" t="s">
        <v>260</v>
      </c>
      <c r="R2281" t="s">
        <v>261</v>
      </c>
      <c r="S2281" t="s">
        <v>261</v>
      </c>
      <c r="T2281" t="s">
        <v>261</v>
      </c>
      <c r="U2281" t="s">
        <v>262</v>
      </c>
      <c r="V2281" t="s">
        <v>262</v>
      </c>
      <c r="W2281" t="s">
        <v>261</v>
      </c>
      <c r="X2281" t="s">
        <v>261</v>
      </c>
      <c r="Y2281" t="s">
        <v>261</v>
      </c>
      <c r="Z2281" t="s">
        <v>409</v>
      </c>
      <c r="AA2281" t="s">
        <v>409</v>
      </c>
      <c r="AB2281" t="s">
        <v>409</v>
      </c>
      <c r="AC2281" t="s">
        <v>409</v>
      </c>
      <c r="AD2281" t="s">
        <v>261</v>
      </c>
      <c r="AH2281" t="s">
        <v>262</v>
      </c>
      <c r="AI2281" t="s">
        <v>262</v>
      </c>
      <c r="AJ2281" t="s">
        <v>261</v>
      </c>
      <c r="AK2281" t="s">
        <v>261</v>
      </c>
      <c r="AM2281" t="s">
        <v>262</v>
      </c>
      <c r="AN2281" t="s">
        <v>6351</v>
      </c>
    </row>
    <row r="2282" spans="1:40" x14ac:dyDescent="0.35">
      <c r="A2282">
        <v>6606566</v>
      </c>
      <c r="B2282" t="s">
        <v>6352</v>
      </c>
      <c r="C2282" t="str">
        <f>"9783030694104"</f>
        <v>9783030694104</v>
      </c>
      <c r="D2282" t="str">
        <f>"9783030694111"</f>
        <v>9783030694111</v>
      </c>
      <c r="E2282" t="s">
        <v>2289</v>
      </c>
      <c r="F2282" t="s">
        <v>2290</v>
      </c>
      <c r="G2282" s="1">
        <v>44322</v>
      </c>
      <c r="H2282" s="1">
        <v>44337</v>
      </c>
      <c r="I2282" t="s">
        <v>189</v>
      </c>
      <c r="L2282" t="s">
        <v>6353</v>
      </c>
      <c r="M2282" t="s">
        <v>329</v>
      </c>
    </row>
    <row r="2283" spans="1:40" x14ac:dyDescent="0.35">
      <c r="A2283">
        <v>6606585</v>
      </c>
      <c r="B2283" t="s">
        <v>6354</v>
      </c>
      <c r="C2283" t="str">
        <f>"9783030665296"</f>
        <v>9783030665296</v>
      </c>
      <c r="D2283" t="str">
        <f>"9783030665302"</f>
        <v>9783030665302</v>
      </c>
      <c r="E2283" t="s">
        <v>2289</v>
      </c>
      <c r="F2283" t="s">
        <v>2290</v>
      </c>
      <c r="G2283" s="1">
        <v>44322</v>
      </c>
      <c r="H2283" s="1">
        <v>44337</v>
      </c>
      <c r="I2283" t="s">
        <v>189</v>
      </c>
      <c r="L2283" t="s">
        <v>6355</v>
      </c>
    </row>
    <row r="2284" spans="1:40" x14ac:dyDescent="0.35">
      <c r="A2284">
        <v>6606589</v>
      </c>
      <c r="B2284" t="s">
        <v>6356</v>
      </c>
      <c r="C2284" t="str">
        <f>"9789813369030"</f>
        <v>9789813369030</v>
      </c>
      <c r="D2284" t="str">
        <f>"9789813369047"</f>
        <v>9789813369047</v>
      </c>
      <c r="E2284" t="s">
        <v>3404</v>
      </c>
      <c r="F2284" t="s">
        <v>2290</v>
      </c>
      <c r="G2284" s="1">
        <v>44322</v>
      </c>
      <c r="H2284" s="1">
        <v>44337</v>
      </c>
      <c r="I2284" t="s">
        <v>189</v>
      </c>
      <c r="K2284" t="s">
        <v>6357</v>
      </c>
      <c r="L2284" t="s">
        <v>6358</v>
      </c>
      <c r="M2284" t="s">
        <v>249</v>
      </c>
      <c r="N2284" t="s">
        <v>6359</v>
      </c>
      <c r="Q2284" t="s">
        <v>260</v>
      </c>
      <c r="R2284" t="s">
        <v>261</v>
      </c>
      <c r="S2284" t="s">
        <v>261</v>
      </c>
      <c r="T2284" t="s">
        <v>261</v>
      </c>
      <c r="U2284" t="s">
        <v>262</v>
      </c>
      <c r="V2284" t="s">
        <v>262</v>
      </c>
      <c r="W2284" t="s">
        <v>261</v>
      </c>
      <c r="X2284" t="s">
        <v>261</v>
      </c>
      <c r="Y2284" t="s">
        <v>261</v>
      </c>
      <c r="Z2284" t="s">
        <v>409</v>
      </c>
      <c r="AA2284" t="s">
        <v>409</v>
      </c>
      <c r="AB2284" t="s">
        <v>409</v>
      </c>
      <c r="AC2284" t="s">
        <v>409</v>
      </c>
      <c r="AD2284" t="s">
        <v>261</v>
      </c>
      <c r="AH2284" t="s">
        <v>262</v>
      </c>
      <c r="AI2284" t="s">
        <v>262</v>
      </c>
      <c r="AJ2284" t="s">
        <v>261</v>
      </c>
      <c r="AK2284" t="s">
        <v>261</v>
      </c>
      <c r="AM2284" t="s">
        <v>262</v>
      </c>
      <c r="AN2284" t="s">
        <v>6360</v>
      </c>
    </row>
    <row r="2285" spans="1:40" x14ac:dyDescent="0.35">
      <c r="A2285">
        <v>6607545</v>
      </c>
      <c r="B2285" t="s">
        <v>6361</v>
      </c>
      <c r="C2285" t="str">
        <f>"9783030703806"</f>
        <v>9783030703806</v>
      </c>
      <c r="D2285" t="str">
        <f>"9783030703813"</f>
        <v>9783030703813</v>
      </c>
      <c r="E2285" t="s">
        <v>2289</v>
      </c>
      <c r="F2285" t="s">
        <v>2663</v>
      </c>
      <c r="G2285" s="1">
        <v>44324</v>
      </c>
      <c r="H2285" s="1">
        <v>44337</v>
      </c>
      <c r="I2285" t="s">
        <v>189</v>
      </c>
      <c r="L2285" t="s">
        <v>6362</v>
      </c>
    </row>
    <row r="2286" spans="1:40" x14ac:dyDescent="0.35">
      <c r="A2286">
        <v>6607571</v>
      </c>
      <c r="B2286" t="s">
        <v>6363</v>
      </c>
      <c r="C2286" t="str">
        <f>""</f>
        <v/>
      </c>
      <c r="D2286" t="str">
        <f>"9789179296445"</f>
        <v>9789179296445</v>
      </c>
      <c r="E2286" t="s">
        <v>3642</v>
      </c>
      <c r="F2286" t="s">
        <v>3642</v>
      </c>
      <c r="G2286" s="1">
        <v>44322</v>
      </c>
      <c r="H2286" s="1">
        <v>44340</v>
      </c>
      <c r="I2286" t="s">
        <v>189</v>
      </c>
      <c r="J2286">
        <v>1</v>
      </c>
      <c r="L2286" t="s">
        <v>6364</v>
      </c>
      <c r="Q2286" t="s">
        <v>260</v>
      </c>
      <c r="R2286" t="s">
        <v>261</v>
      </c>
      <c r="S2286" t="s">
        <v>261</v>
      </c>
      <c r="T2286" t="s">
        <v>261</v>
      </c>
      <c r="U2286" t="s">
        <v>261</v>
      </c>
      <c r="V2286" t="s">
        <v>262</v>
      </c>
      <c r="W2286" t="s">
        <v>261</v>
      </c>
      <c r="X2286" t="s">
        <v>261</v>
      </c>
      <c r="Y2286" t="s">
        <v>261</v>
      </c>
      <c r="AD2286" t="s">
        <v>261</v>
      </c>
      <c r="AH2286" t="s">
        <v>262</v>
      </c>
      <c r="AI2286" t="s">
        <v>261</v>
      </c>
      <c r="AJ2286" t="s">
        <v>261</v>
      </c>
      <c r="AK2286" t="s">
        <v>261</v>
      </c>
      <c r="AM2286" t="s">
        <v>262</v>
      </c>
      <c r="AN2286" t="s">
        <v>6365</v>
      </c>
    </row>
    <row r="2287" spans="1:40" x14ac:dyDescent="0.35">
      <c r="A2287">
        <v>6607572</v>
      </c>
      <c r="B2287" t="s">
        <v>6366</v>
      </c>
      <c r="C2287" t="str">
        <f>""</f>
        <v/>
      </c>
      <c r="D2287" t="str">
        <f>"9789179296483"</f>
        <v>9789179296483</v>
      </c>
      <c r="E2287" t="s">
        <v>3642</v>
      </c>
      <c r="F2287" t="s">
        <v>3642</v>
      </c>
      <c r="G2287" s="1">
        <v>44323</v>
      </c>
      <c r="H2287" s="1">
        <v>44333</v>
      </c>
      <c r="I2287" t="s">
        <v>189</v>
      </c>
      <c r="J2287">
        <v>1</v>
      </c>
      <c r="L2287" t="s">
        <v>6367</v>
      </c>
      <c r="Q2287" t="s">
        <v>260</v>
      </c>
      <c r="R2287" t="s">
        <v>261</v>
      </c>
      <c r="S2287" t="s">
        <v>261</v>
      </c>
      <c r="T2287" t="s">
        <v>261</v>
      </c>
      <c r="U2287" t="s">
        <v>261</v>
      </c>
      <c r="V2287" t="s">
        <v>262</v>
      </c>
      <c r="W2287" t="s">
        <v>261</v>
      </c>
      <c r="X2287" t="s">
        <v>261</v>
      </c>
      <c r="Y2287" t="s">
        <v>261</v>
      </c>
      <c r="AD2287" t="s">
        <v>261</v>
      </c>
      <c r="AH2287" t="s">
        <v>262</v>
      </c>
      <c r="AI2287" t="s">
        <v>261</v>
      </c>
      <c r="AJ2287" t="s">
        <v>261</v>
      </c>
      <c r="AK2287" t="s">
        <v>261</v>
      </c>
      <c r="AM2287" t="s">
        <v>262</v>
      </c>
      <c r="AN2287" t="s">
        <v>6368</v>
      </c>
    </row>
    <row r="2288" spans="1:40" x14ac:dyDescent="0.35">
      <c r="A2288">
        <v>6607573</v>
      </c>
      <c r="B2288" t="s">
        <v>6369</v>
      </c>
      <c r="C2288" t="str">
        <f>""</f>
        <v/>
      </c>
      <c r="D2288" t="str">
        <f>"9789179296995"</f>
        <v>9789179296995</v>
      </c>
      <c r="E2288" t="s">
        <v>3642</v>
      </c>
      <c r="F2288" t="s">
        <v>3642</v>
      </c>
      <c r="G2288" s="1">
        <v>44319</v>
      </c>
      <c r="H2288" s="1">
        <v>44326</v>
      </c>
      <c r="I2288" t="s">
        <v>189</v>
      </c>
      <c r="J2288">
        <v>1</v>
      </c>
      <c r="L2288" t="s">
        <v>6370</v>
      </c>
      <c r="Q2288" t="s">
        <v>260</v>
      </c>
      <c r="R2288" t="s">
        <v>261</v>
      </c>
      <c r="S2288" t="s">
        <v>261</v>
      </c>
      <c r="T2288" t="s">
        <v>261</v>
      </c>
      <c r="U2288" t="s">
        <v>261</v>
      </c>
      <c r="V2288" t="s">
        <v>262</v>
      </c>
      <c r="W2288" t="s">
        <v>261</v>
      </c>
      <c r="X2288" t="s">
        <v>261</v>
      </c>
      <c r="Y2288" t="s">
        <v>261</v>
      </c>
      <c r="AD2288" t="s">
        <v>261</v>
      </c>
      <c r="AH2288" t="s">
        <v>262</v>
      </c>
      <c r="AI2288" t="s">
        <v>261</v>
      </c>
      <c r="AJ2288" t="s">
        <v>261</v>
      </c>
      <c r="AK2288" t="s">
        <v>261</v>
      </c>
      <c r="AM2288" t="s">
        <v>262</v>
      </c>
      <c r="AN2288" t="s">
        <v>6371</v>
      </c>
    </row>
    <row r="2289" spans="1:40" x14ac:dyDescent="0.35">
      <c r="A2289">
        <v>6607574</v>
      </c>
      <c r="B2289" t="s">
        <v>6372</v>
      </c>
      <c r="C2289" t="str">
        <f>""</f>
        <v/>
      </c>
      <c r="D2289" t="str">
        <f>"9789179296278"</f>
        <v>9789179296278</v>
      </c>
      <c r="E2289" t="s">
        <v>3642</v>
      </c>
      <c r="F2289" t="s">
        <v>3642</v>
      </c>
      <c r="G2289" s="1">
        <v>44323</v>
      </c>
      <c r="H2289" s="1">
        <v>44333</v>
      </c>
      <c r="I2289" t="s">
        <v>189</v>
      </c>
      <c r="J2289">
        <v>1</v>
      </c>
      <c r="L2289" t="s">
        <v>6373</v>
      </c>
      <c r="Q2289" t="s">
        <v>260</v>
      </c>
      <c r="R2289" t="s">
        <v>261</v>
      </c>
      <c r="S2289" t="s">
        <v>261</v>
      </c>
      <c r="T2289" t="s">
        <v>261</v>
      </c>
      <c r="U2289" t="s">
        <v>261</v>
      </c>
      <c r="V2289" t="s">
        <v>262</v>
      </c>
      <c r="W2289" t="s">
        <v>261</v>
      </c>
      <c r="X2289" t="s">
        <v>261</v>
      </c>
      <c r="Y2289" t="s">
        <v>261</v>
      </c>
      <c r="AD2289" t="s">
        <v>261</v>
      </c>
      <c r="AH2289" t="s">
        <v>262</v>
      </c>
      <c r="AI2289" t="s">
        <v>261</v>
      </c>
      <c r="AJ2289" t="s">
        <v>261</v>
      </c>
      <c r="AK2289" t="s">
        <v>261</v>
      </c>
      <c r="AM2289" t="s">
        <v>262</v>
      </c>
      <c r="AN2289" t="s">
        <v>6374</v>
      </c>
    </row>
    <row r="2290" spans="1:40" x14ac:dyDescent="0.35">
      <c r="A2290">
        <v>6607575</v>
      </c>
      <c r="B2290" t="s">
        <v>6375</v>
      </c>
      <c r="C2290" t="str">
        <f>""</f>
        <v/>
      </c>
      <c r="D2290" t="str">
        <f>"9789179296919"</f>
        <v>9789179296919</v>
      </c>
      <c r="E2290" t="s">
        <v>3642</v>
      </c>
      <c r="F2290" t="s">
        <v>3642</v>
      </c>
      <c r="G2290" s="1">
        <v>44321</v>
      </c>
      <c r="H2290" s="1">
        <v>44326</v>
      </c>
      <c r="I2290" t="s">
        <v>189</v>
      </c>
      <c r="J2290">
        <v>1</v>
      </c>
      <c r="L2290" t="s">
        <v>6376</v>
      </c>
      <c r="Q2290" t="s">
        <v>260</v>
      </c>
      <c r="R2290" t="s">
        <v>261</v>
      </c>
      <c r="S2290" t="s">
        <v>261</v>
      </c>
      <c r="T2290" t="s">
        <v>261</v>
      </c>
      <c r="U2290" t="s">
        <v>261</v>
      </c>
      <c r="V2290" t="s">
        <v>262</v>
      </c>
      <c r="W2290" t="s">
        <v>261</v>
      </c>
      <c r="X2290" t="s">
        <v>261</v>
      </c>
      <c r="Y2290" t="s">
        <v>261</v>
      </c>
      <c r="AD2290" t="s">
        <v>261</v>
      </c>
      <c r="AH2290" t="s">
        <v>262</v>
      </c>
      <c r="AI2290" t="s">
        <v>261</v>
      </c>
      <c r="AJ2290" t="s">
        <v>261</v>
      </c>
      <c r="AK2290" t="s">
        <v>261</v>
      </c>
      <c r="AM2290" t="s">
        <v>262</v>
      </c>
      <c r="AN2290" t="s">
        <v>6377</v>
      </c>
    </row>
    <row r="2291" spans="1:40" x14ac:dyDescent="0.35">
      <c r="A2291">
        <v>6607576</v>
      </c>
      <c r="B2291" t="s">
        <v>6378</v>
      </c>
      <c r="C2291" t="str">
        <f>""</f>
        <v/>
      </c>
      <c r="D2291" t="str">
        <f>"9789179296711"</f>
        <v>9789179296711</v>
      </c>
      <c r="E2291" t="s">
        <v>3642</v>
      </c>
      <c r="F2291" t="s">
        <v>3642</v>
      </c>
      <c r="G2291" s="1">
        <v>44306</v>
      </c>
      <c r="H2291" s="1">
        <v>44333</v>
      </c>
      <c r="I2291" t="s">
        <v>189</v>
      </c>
      <c r="J2291">
        <v>1</v>
      </c>
      <c r="L2291" t="s">
        <v>6379</v>
      </c>
      <c r="Q2291" t="s">
        <v>260</v>
      </c>
      <c r="R2291" t="s">
        <v>261</v>
      </c>
      <c r="S2291" t="s">
        <v>261</v>
      </c>
      <c r="T2291" t="s">
        <v>261</v>
      </c>
      <c r="U2291" t="s">
        <v>261</v>
      </c>
      <c r="V2291" t="s">
        <v>262</v>
      </c>
      <c r="W2291" t="s">
        <v>261</v>
      </c>
      <c r="X2291" t="s">
        <v>261</v>
      </c>
      <c r="Y2291" t="s">
        <v>261</v>
      </c>
      <c r="AD2291" t="s">
        <v>261</v>
      </c>
      <c r="AH2291" t="s">
        <v>262</v>
      </c>
      <c r="AI2291" t="s">
        <v>261</v>
      </c>
      <c r="AJ2291" t="s">
        <v>261</v>
      </c>
      <c r="AK2291" t="s">
        <v>261</v>
      </c>
      <c r="AM2291" t="s">
        <v>262</v>
      </c>
      <c r="AN2291" t="s">
        <v>6380</v>
      </c>
    </row>
    <row r="2292" spans="1:40" x14ac:dyDescent="0.35">
      <c r="A2292">
        <v>6607577</v>
      </c>
      <c r="B2292" t="s">
        <v>6381</v>
      </c>
      <c r="C2292" t="str">
        <f>""</f>
        <v/>
      </c>
      <c r="D2292" t="str">
        <f>"9789179296704"</f>
        <v>9789179296704</v>
      </c>
      <c r="E2292" t="s">
        <v>3642</v>
      </c>
      <c r="F2292" t="s">
        <v>3642</v>
      </c>
      <c r="G2292" s="1">
        <v>44316</v>
      </c>
      <c r="H2292" s="1">
        <v>44326</v>
      </c>
      <c r="I2292" t="s">
        <v>189</v>
      </c>
      <c r="J2292">
        <v>1</v>
      </c>
      <c r="L2292" t="s">
        <v>6382</v>
      </c>
      <c r="Q2292" t="s">
        <v>260</v>
      </c>
      <c r="R2292" t="s">
        <v>261</v>
      </c>
      <c r="S2292" t="s">
        <v>261</v>
      </c>
      <c r="T2292" t="s">
        <v>261</v>
      </c>
      <c r="U2292" t="s">
        <v>261</v>
      </c>
      <c r="V2292" t="s">
        <v>262</v>
      </c>
      <c r="W2292" t="s">
        <v>261</v>
      </c>
      <c r="X2292" t="s">
        <v>261</v>
      </c>
      <c r="Y2292" t="s">
        <v>261</v>
      </c>
      <c r="AD2292" t="s">
        <v>261</v>
      </c>
      <c r="AH2292" t="s">
        <v>262</v>
      </c>
      <c r="AI2292" t="s">
        <v>261</v>
      </c>
      <c r="AJ2292" t="s">
        <v>261</v>
      </c>
      <c r="AK2292" t="s">
        <v>261</v>
      </c>
      <c r="AM2292" t="s">
        <v>262</v>
      </c>
      <c r="AN2292" t="s">
        <v>6383</v>
      </c>
    </row>
    <row r="2293" spans="1:40" x14ac:dyDescent="0.35">
      <c r="A2293">
        <v>6607699</v>
      </c>
      <c r="B2293" t="s">
        <v>6384</v>
      </c>
      <c r="C2293" t="str">
        <f>"9783030705152"</f>
        <v>9783030705152</v>
      </c>
      <c r="D2293" t="str">
        <f>"9783030705169"</f>
        <v>9783030705169</v>
      </c>
      <c r="E2293" t="s">
        <v>2289</v>
      </c>
      <c r="F2293" t="s">
        <v>2663</v>
      </c>
      <c r="G2293" s="1">
        <v>44325</v>
      </c>
      <c r="H2293" s="1">
        <v>44337</v>
      </c>
      <c r="I2293" t="s">
        <v>189</v>
      </c>
      <c r="L2293" t="s">
        <v>6385</v>
      </c>
    </row>
    <row r="2294" spans="1:40" x14ac:dyDescent="0.35">
      <c r="A2294">
        <v>6611767</v>
      </c>
      <c r="B2294" t="s">
        <v>6386</v>
      </c>
      <c r="C2294" t="str">
        <f>"9783030726799"</f>
        <v>9783030726799</v>
      </c>
      <c r="D2294" t="str">
        <f>"9783030726805"</f>
        <v>9783030726805</v>
      </c>
      <c r="E2294" t="s">
        <v>2289</v>
      </c>
      <c r="F2294" t="s">
        <v>4450</v>
      </c>
      <c r="G2294" s="1">
        <v>44327</v>
      </c>
      <c r="H2294" s="1">
        <v>44337</v>
      </c>
      <c r="I2294" t="s">
        <v>189</v>
      </c>
      <c r="L2294" t="s">
        <v>4589</v>
      </c>
    </row>
    <row r="2295" spans="1:40" x14ac:dyDescent="0.35">
      <c r="A2295">
        <v>6611769</v>
      </c>
      <c r="B2295" t="s">
        <v>6387</v>
      </c>
      <c r="C2295" t="str">
        <f>"9783030706913"</f>
        <v>9783030706913</v>
      </c>
      <c r="D2295" t="str">
        <f>"9783030706920"</f>
        <v>9783030706920</v>
      </c>
      <c r="E2295" t="s">
        <v>2289</v>
      </c>
      <c r="F2295" t="s">
        <v>2663</v>
      </c>
      <c r="G2295" s="1">
        <v>44327</v>
      </c>
      <c r="H2295" s="1">
        <v>44337</v>
      </c>
      <c r="I2295" t="s">
        <v>189</v>
      </c>
      <c r="L2295" t="s">
        <v>4589</v>
      </c>
    </row>
    <row r="2296" spans="1:40" x14ac:dyDescent="0.35">
      <c r="A2296">
        <v>6611784</v>
      </c>
      <c r="B2296" t="s">
        <v>6388</v>
      </c>
      <c r="C2296" t="str">
        <f>"9783030613891"</f>
        <v>9783030613891</v>
      </c>
      <c r="D2296" t="str">
        <f>"9783030613907"</f>
        <v>9783030613907</v>
      </c>
      <c r="E2296" t="s">
        <v>2289</v>
      </c>
      <c r="F2296" t="s">
        <v>2290</v>
      </c>
      <c r="G2296" s="1">
        <v>44327</v>
      </c>
      <c r="H2296" s="1">
        <v>44337</v>
      </c>
      <c r="I2296" t="s">
        <v>189</v>
      </c>
      <c r="K2296" t="s">
        <v>1208</v>
      </c>
      <c r="L2296" t="s">
        <v>6389</v>
      </c>
    </row>
    <row r="2297" spans="1:40" x14ac:dyDescent="0.35">
      <c r="A2297">
        <v>6611787</v>
      </c>
      <c r="B2297" t="s">
        <v>6390</v>
      </c>
      <c r="C2297" t="str">
        <f>"9783030634520"</f>
        <v>9783030634520</v>
      </c>
      <c r="D2297" t="str">
        <f>"9783030634537"</f>
        <v>9783030634537</v>
      </c>
      <c r="E2297" t="s">
        <v>2289</v>
      </c>
      <c r="F2297" t="s">
        <v>2290</v>
      </c>
      <c r="G2297" s="1">
        <v>44327</v>
      </c>
      <c r="H2297" s="1">
        <v>44337</v>
      </c>
      <c r="I2297" t="s">
        <v>189</v>
      </c>
      <c r="K2297" t="s">
        <v>6391</v>
      </c>
      <c r="L2297" t="s">
        <v>6392</v>
      </c>
    </row>
    <row r="2298" spans="1:40" x14ac:dyDescent="0.35">
      <c r="A2298">
        <v>6611801</v>
      </c>
      <c r="B2298" t="s">
        <v>6393</v>
      </c>
      <c r="C2298" t="str">
        <f>"9783030673642"</f>
        <v>9783030673642</v>
      </c>
      <c r="D2298" t="str">
        <f>"9783030673659"</f>
        <v>9783030673659</v>
      </c>
      <c r="E2298" t="s">
        <v>2289</v>
      </c>
      <c r="F2298" t="s">
        <v>2290</v>
      </c>
      <c r="G2298" s="1">
        <v>44327</v>
      </c>
      <c r="H2298" s="1">
        <v>44337</v>
      </c>
      <c r="I2298" t="s">
        <v>189</v>
      </c>
      <c r="K2298" t="s">
        <v>1208</v>
      </c>
      <c r="L2298" t="s">
        <v>6394</v>
      </c>
    </row>
    <row r="2299" spans="1:40" x14ac:dyDescent="0.35">
      <c r="A2299">
        <v>6613021</v>
      </c>
      <c r="B2299" t="s">
        <v>6395</v>
      </c>
      <c r="C2299" t="str">
        <f>"9781800641556"</f>
        <v>9781800641556</v>
      </c>
      <c r="D2299" t="str">
        <f>"9781800641549"</f>
        <v>9781800641549</v>
      </c>
      <c r="E2299" t="s">
        <v>1807</v>
      </c>
      <c r="F2299" t="s">
        <v>1807</v>
      </c>
      <c r="G2299" s="1">
        <v>44317</v>
      </c>
      <c r="H2299" s="1">
        <v>44329</v>
      </c>
      <c r="I2299" t="s">
        <v>189</v>
      </c>
      <c r="J2299">
        <v>1</v>
      </c>
      <c r="L2299" t="s">
        <v>6396</v>
      </c>
      <c r="M2299" t="s">
        <v>219</v>
      </c>
    </row>
    <row r="2300" spans="1:40" x14ac:dyDescent="0.35">
      <c r="A2300">
        <v>6613022</v>
      </c>
      <c r="B2300" t="s">
        <v>6397</v>
      </c>
      <c r="C2300" t="str">
        <f>"9781800640993"</f>
        <v>9781800640993</v>
      </c>
      <c r="D2300" t="str">
        <f>"9781800641006"</f>
        <v>9781800641006</v>
      </c>
      <c r="E2300" t="s">
        <v>1807</v>
      </c>
      <c r="F2300" t="s">
        <v>1807</v>
      </c>
      <c r="G2300" s="1">
        <v>44301</v>
      </c>
      <c r="H2300" s="1">
        <v>44329</v>
      </c>
      <c r="I2300" t="s">
        <v>189</v>
      </c>
      <c r="J2300">
        <v>1</v>
      </c>
      <c r="L2300" t="s">
        <v>6398</v>
      </c>
    </row>
    <row r="2301" spans="1:40" x14ac:dyDescent="0.35">
      <c r="A2301">
        <v>6613023</v>
      </c>
      <c r="B2301" t="s">
        <v>6399</v>
      </c>
      <c r="C2301" t="str">
        <f>"9781783749942"</f>
        <v>9781783749942</v>
      </c>
      <c r="D2301" t="str">
        <f>"9781783749959"</f>
        <v>9781783749959</v>
      </c>
      <c r="E2301" t="s">
        <v>1807</v>
      </c>
      <c r="F2301" t="s">
        <v>1807</v>
      </c>
      <c r="G2301" s="1">
        <v>44317</v>
      </c>
      <c r="H2301" s="1">
        <v>44329</v>
      </c>
      <c r="I2301" t="s">
        <v>189</v>
      </c>
      <c r="J2301">
        <v>1</v>
      </c>
      <c r="K2301" t="s">
        <v>3667</v>
      </c>
      <c r="L2301" t="s">
        <v>6400</v>
      </c>
    </row>
    <row r="2302" spans="1:40" x14ac:dyDescent="0.35">
      <c r="A2302">
        <v>6613024</v>
      </c>
      <c r="B2302" t="s">
        <v>6401</v>
      </c>
      <c r="C2302" t="str">
        <f>"9781783749621"</f>
        <v>9781783749621</v>
      </c>
      <c r="D2302" t="str">
        <f>"9781783749638"</f>
        <v>9781783749638</v>
      </c>
      <c r="E2302" t="s">
        <v>1807</v>
      </c>
      <c r="F2302" t="s">
        <v>1807</v>
      </c>
      <c r="G2302" s="1">
        <v>44286</v>
      </c>
      <c r="H2302" s="1">
        <v>44329</v>
      </c>
      <c r="I2302" t="s">
        <v>189</v>
      </c>
      <c r="J2302">
        <v>1</v>
      </c>
      <c r="L2302" t="s">
        <v>6402</v>
      </c>
    </row>
    <row r="2303" spans="1:40" x14ac:dyDescent="0.35">
      <c r="A2303">
        <v>6614548</v>
      </c>
      <c r="B2303" t="s">
        <v>6403</v>
      </c>
      <c r="C2303" t="str">
        <f>"9783030582500"</f>
        <v>9783030582500</v>
      </c>
      <c r="D2303" t="str">
        <f>"9783030582517"</f>
        <v>9783030582517</v>
      </c>
      <c r="E2303" t="s">
        <v>2289</v>
      </c>
      <c r="F2303" t="s">
        <v>2290</v>
      </c>
      <c r="G2303" s="1">
        <v>44329</v>
      </c>
      <c r="H2303" s="1">
        <v>44337</v>
      </c>
      <c r="I2303" t="s">
        <v>189</v>
      </c>
      <c r="K2303" t="s">
        <v>6404</v>
      </c>
      <c r="L2303" t="s">
        <v>6405</v>
      </c>
    </row>
    <row r="2304" spans="1:40" x14ac:dyDescent="0.35">
      <c r="A2304">
        <v>6621447</v>
      </c>
      <c r="B2304" t="s">
        <v>6406</v>
      </c>
      <c r="C2304" t="str">
        <f>"9783030713997"</f>
        <v>9783030713997</v>
      </c>
      <c r="D2304" t="str">
        <f>"9783030714000"</f>
        <v>9783030714000</v>
      </c>
      <c r="E2304" t="s">
        <v>2289</v>
      </c>
      <c r="F2304" t="s">
        <v>2290</v>
      </c>
      <c r="G2304" s="1">
        <v>44330</v>
      </c>
      <c r="H2304" s="1">
        <v>44337</v>
      </c>
      <c r="I2304" t="s">
        <v>189</v>
      </c>
      <c r="K2304" t="s">
        <v>4011</v>
      </c>
      <c r="L2304" t="s">
        <v>6407</v>
      </c>
    </row>
    <row r="2305" spans="1:40" x14ac:dyDescent="0.35">
      <c r="A2305">
        <v>6623865</v>
      </c>
      <c r="B2305" t="s">
        <v>6408</v>
      </c>
      <c r="C2305" t="str">
        <f>"9781644694053"</f>
        <v>9781644694053</v>
      </c>
      <c r="D2305" t="str">
        <f>"9781644694060"</f>
        <v>9781644694060</v>
      </c>
      <c r="E2305" t="s">
        <v>1592</v>
      </c>
      <c r="F2305" t="s">
        <v>1592</v>
      </c>
      <c r="G2305" s="1">
        <v>44390</v>
      </c>
      <c r="H2305" s="1">
        <v>44357</v>
      </c>
      <c r="I2305" t="s">
        <v>189</v>
      </c>
      <c r="J2305">
        <v>1</v>
      </c>
      <c r="L2305" t="s">
        <v>6409</v>
      </c>
      <c r="M2305" t="s">
        <v>219</v>
      </c>
      <c r="O2305" s="2">
        <v>809933552</v>
      </c>
      <c r="Q2305" t="s">
        <v>260</v>
      </c>
      <c r="R2305" t="s">
        <v>261</v>
      </c>
      <c r="S2305" t="s">
        <v>261</v>
      </c>
      <c r="T2305" t="s">
        <v>261</v>
      </c>
      <c r="U2305" t="s">
        <v>261</v>
      </c>
      <c r="V2305" t="s">
        <v>262</v>
      </c>
      <c r="W2305" t="s">
        <v>261</v>
      </c>
      <c r="X2305" t="s">
        <v>261</v>
      </c>
      <c r="Y2305" t="s">
        <v>261</v>
      </c>
      <c r="AC2305" t="s">
        <v>409</v>
      </c>
      <c r="AD2305" t="s">
        <v>261</v>
      </c>
      <c r="AH2305" t="s">
        <v>262</v>
      </c>
      <c r="AI2305" t="s">
        <v>262</v>
      </c>
      <c r="AJ2305" t="s">
        <v>261</v>
      </c>
      <c r="AK2305" t="s">
        <v>261</v>
      </c>
      <c r="AM2305" t="s">
        <v>262</v>
      </c>
      <c r="AN2305" t="s">
        <v>6410</v>
      </c>
    </row>
    <row r="2306" spans="1:40" x14ac:dyDescent="0.35">
      <c r="A2306">
        <v>6623922</v>
      </c>
      <c r="B2306" t="s">
        <v>6411</v>
      </c>
      <c r="C2306" t="str">
        <f>""</f>
        <v/>
      </c>
      <c r="D2306" t="str">
        <f>"9789179296308"</f>
        <v>9789179296308</v>
      </c>
      <c r="E2306" t="s">
        <v>3642</v>
      </c>
      <c r="F2306" t="s">
        <v>3642</v>
      </c>
      <c r="G2306" s="1">
        <v>44326</v>
      </c>
      <c r="H2306" s="1">
        <v>44333</v>
      </c>
      <c r="I2306" t="s">
        <v>189</v>
      </c>
      <c r="J2306">
        <v>1</v>
      </c>
      <c r="L2306" t="s">
        <v>6412</v>
      </c>
      <c r="Q2306" t="s">
        <v>260</v>
      </c>
      <c r="R2306" t="s">
        <v>261</v>
      </c>
      <c r="S2306" t="s">
        <v>261</v>
      </c>
      <c r="T2306" t="s">
        <v>261</v>
      </c>
      <c r="U2306" t="s">
        <v>261</v>
      </c>
      <c r="V2306" t="s">
        <v>262</v>
      </c>
      <c r="W2306" t="s">
        <v>261</v>
      </c>
      <c r="X2306" t="s">
        <v>261</v>
      </c>
      <c r="Y2306" t="s">
        <v>261</v>
      </c>
      <c r="AD2306" t="s">
        <v>261</v>
      </c>
      <c r="AH2306" t="s">
        <v>262</v>
      </c>
      <c r="AI2306" t="s">
        <v>261</v>
      </c>
      <c r="AJ2306" t="s">
        <v>261</v>
      </c>
      <c r="AK2306" t="s">
        <v>261</v>
      </c>
      <c r="AM2306" t="s">
        <v>262</v>
      </c>
      <c r="AN2306" t="s">
        <v>6413</v>
      </c>
    </row>
    <row r="2307" spans="1:40" x14ac:dyDescent="0.35">
      <c r="A2307">
        <v>6623923</v>
      </c>
      <c r="B2307" t="s">
        <v>6414</v>
      </c>
      <c r="C2307" t="str">
        <f>""</f>
        <v/>
      </c>
      <c r="D2307" t="str">
        <f>"9789179296469"</f>
        <v>9789179296469</v>
      </c>
      <c r="E2307" t="s">
        <v>3642</v>
      </c>
      <c r="F2307" t="s">
        <v>3642</v>
      </c>
      <c r="G2307" s="1">
        <v>44326</v>
      </c>
      <c r="H2307" s="1">
        <v>44333</v>
      </c>
      <c r="I2307" t="s">
        <v>189</v>
      </c>
      <c r="J2307">
        <v>1</v>
      </c>
      <c r="L2307" t="s">
        <v>6415</v>
      </c>
      <c r="Q2307" t="s">
        <v>260</v>
      </c>
      <c r="R2307" t="s">
        <v>261</v>
      </c>
      <c r="S2307" t="s">
        <v>261</v>
      </c>
      <c r="T2307" t="s">
        <v>261</v>
      </c>
      <c r="U2307" t="s">
        <v>261</v>
      </c>
      <c r="V2307" t="s">
        <v>262</v>
      </c>
      <c r="W2307" t="s">
        <v>261</v>
      </c>
      <c r="X2307" t="s">
        <v>261</v>
      </c>
      <c r="Y2307" t="s">
        <v>261</v>
      </c>
      <c r="AD2307" t="s">
        <v>261</v>
      </c>
      <c r="AH2307" t="s">
        <v>262</v>
      </c>
      <c r="AI2307" t="s">
        <v>261</v>
      </c>
      <c r="AJ2307" t="s">
        <v>261</v>
      </c>
      <c r="AK2307" t="s">
        <v>261</v>
      </c>
      <c r="AM2307" t="s">
        <v>262</v>
      </c>
      <c r="AN2307" t="s">
        <v>6416</v>
      </c>
    </row>
    <row r="2308" spans="1:40" x14ac:dyDescent="0.35">
      <c r="A2308">
        <v>6623924</v>
      </c>
      <c r="B2308" t="s">
        <v>6417</v>
      </c>
      <c r="C2308" t="str">
        <f>""</f>
        <v/>
      </c>
      <c r="D2308" t="str">
        <f>"9789179296223"</f>
        <v>9789179296223</v>
      </c>
      <c r="E2308" t="s">
        <v>3642</v>
      </c>
      <c r="F2308" t="s">
        <v>3642</v>
      </c>
      <c r="G2308" s="1">
        <v>44319</v>
      </c>
      <c r="H2308" s="1">
        <v>44340</v>
      </c>
      <c r="I2308" t="s">
        <v>189</v>
      </c>
      <c r="J2308">
        <v>1</v>
      </c>
      <c r="L2308" t="s">
        <v>6418</v>
      </c>
      <c r="Q2308" t="s">
        <v>260</v>
      </c>
      <c r="R2308" t="s">
        <v>261</v>
      </c>
      <c r="S2308" t="s">
        <v>261</v>
      </c>
      <c r="T2308" t="s">
        <v>261</v>
      </c>
      <c r="U2308" t="s">
        <v>261</v>
      </c>
      <c r="V2308" t="s">
        <v>262</v>
      </c>
      <c r="W2308" t="s">
        <v>261</v>
      </c>
      <c r="X2308" t="s">
        <v>261</v>
      </c>
      <c r="Y2308" t="s">
        <v>261</v>
      </c>
      <c r="AD2308" t="s">
        <v>261</v>
      </c>
      <c r="AH2308" t="s">
        <v>262</v>
      </c>
      <c r="AI2308" t="s">
        <v>261</v>
      </c>
      <c r="AJ2308" t="s">
        <v>261</v>
      </c>
      <c r="AK2308" t="s">
        <v>261</v>
      </c>
      <c r="AM2308" t="s">
        <v>262</v>
      </c>
      <c r="AN2308" t="s">
        <v>6419</v>
      </c>
    </row>
    <row r="2309" spans="1:40" x14ac:dyDescent="0.35">
      <c r="A2309">
        <v>6623997</v>
      </c>
      <c r="B2309" t="s">
        <v>6420</v>
      </c>
      <c r="C2309" t="str">
        <f>"9783030669768"</f>
        <v>9783030669768</v>
      </c>
      <c r="D2309" t="str">
        <f>"9783030669775"</f>
        <v>9783030669775</v>
      </c>
      <c r="E2309" t="s">
        <v>2289</v>
      </c>
      <c r="F2309" t="s">
        <v>2290</v>
      </c>
      <c r="G2309" s="1">
        <v>44332</v>
      </c>
      <c r="H2309" s="1">
        <v>44337</v>
      </c>
      <c r="I2309" t="s">
        <v>189</v>
      </c>
      <c r="L2309" t="s">
        <v>6421</v>
      </c>
      <c r="M2309" t="s">
        <v>2680</v>
      </c>
    </row>
    <row r="2310" spans="1:40" x14ac:dyDescent="0.35">
      <c r="A2310">
        <v>6624790</v>
      </c>
      <c r="B2310" t="s">
        <v>6422</v>
      </c>
      <c r="C2310" t="str">
        <f>"9789633863121"</f>
        <v>9789633863121</v>
      </c>
      <c r="D2310" t="str">
        <f>"9789633862827"</f>
        <v>9789633862827</v>
      </c>
      <c r="E2310" t="s">
        <v>1797</v>
      </c>
      <c r="F2310" t="s">
        <v>1797</v>
      </c>
      <c r="G2310" s="1">
        <v>43739</v>
      </c>
      <c r="H2310" s="1">
        <v>44425</v>
      </c>
      <c r="I2310" t="s">
        <v>189</v>
      </c>
      <c r="J2310">
        <v>1</v>
      </c>
      <c r="L2310" t="s">
        <v>6423</v>
      </c>
    </row>
    <row r="2311" spans="1:40" x14ac:dyDescent="0.35">
      <c r="A2311">
        <v>6624791</v>
      </c>
      <c r="B2311" t="s">
        <v>6424</v>
      </c>
      <c r="C2311" t="str">
        <f>"9789633863848"</f>
        <v>9789633863848</v>
      </c>
      <c r="D2311" t="str">
        <f>"9789633863855"</f>
        <v>9789633863855</v>
      </c>
      <c r="E2311" t="s">
        <v>1797</v>
      </c>
      <c r="F2311" t="s">
        <v>1797</v>
      </c>
      <c r="G2311" s="1">
        <v>44075</v>
      </c>
      <c r="H2311" s="1">
        <v>44425</v>
      </c>
      <c r="I2311" t="s">
        <v>189</v>
      </c>
      <c r="J2311">
        <v>1</v>
      </c>
      <c r="L2311" t="s">
        <v>6425</v>
      </c>
      <c r="M2311" t="s">
        <v>249</v>
      </c>
      <c r="Q2311" t="s">
        <v>260</v>
      </c>
      <c r="R2311" t="s">
        <v>261</v>
      </c>
      <c r="S2311" t="s">
        <v>261</v>
      </c>
      <c r="T2311" t="s">
        <v>261</v>
      </c>
      <c r="U2311" t="s">
        <v>261</v>
      </c>
      <c r="V2311" t="s">
        <v>262</v>
      </c>
      <c r="W2311" t="s">
        <v>261</v>
      </c>
      <c r="X2311" t="s">
        <v>261</v>
      </c>
      <c r="Y2311" t="s">
        <v>261</v>
      </c>
      <c r="Z2311" t="s">
        <v>409</v>
      </c>
      <c r="AA2311" t="s">
        <v>409</v>
      </c>
      <c r="AB2311" t="s">
        <v>409</v>
      </c>
      <c r="AC2311" t="s">
        <v>409</v>
      </c>
      <c r="AD2311" t="s">
        <v>261</v>
      </c>
      <c r="AH2311" t="s">
        <v>262</v>
      </c>
      <c r="AI2311" t="s">
        <v>262</v>
      </c>
      <c r="AJ2311" t="s">
        <v>261</v>
      </c>
      <c r="AK2311" t="s">
        <v>261</v>
      </c>
      <c r="AM2311" t="s">
        <v>262</v>
      </c>
      <c r="AN2311" t="s">
        <v>6426</v>
      </c>
    </row>
    <row r="2312" spans="1:40" x14ac:dyDescent="0.35">
      <c r="A2312">
        <v>6624792</v>
      </c>
      <c r="B2312" t="s">
        <v>6427</v>
      </c>
      <c r="C2312" t="str">
        <f>"9789633863190"</f>
        <v>9789633863190</v>
      </c>
      <c r="D2312" t="str">
        <f>"9789633863206"</f>
        <v>9789633863206</v>
      </c>
      <c r="E2312" t="s">
        <v>1797</v>
      </c>
      <c r="F2312" t="s">
        <v>1797</v>
      </c>
      <c r="G2312" s="1">
        <v>43862</v>
      </c>
      <c r="H2312" s="1">
        <v>44425</v>
      </c>
      <c r="I2312" t="s">
        <v>189</v>
      </c>
      <c r="J2312">
        <v>1</v>
      </c>
      <c r="L2312" t="s">
        <v>6428</v>
      </c>
      <c r="M2312" t="s">
        <v>329</v>
      </c>
    </row>
    <row r="2313" spans="1:40" x14ac:dyDescent="0.35">
      <c r="A2313">
        <v>6627528</v>
      </c>
      <c r="B2313" t="s">
        <v>6429</v>
      </c>
      <c r="C2313" t="str">
        <f>"9783030708832"</f>
        <v>9783030708832</v>
      </c>
      <c r="D2313" t="str">
        <f>"9783030708849"</f>
        <v>9783030708849</v>
      </c>
      <c r="E2313" t="s">
        <v>2289</v>
      </c>
      <c r="F2313" t="s">
        <v>2290</v>
      </c>
      <c r="G2313" s="1">
        <v>44335</v>
      </c>
      <c r="H2313" s="1">
        <v>44357</v>
      </c>
      <c r="I2313" t="s">
        <v>189</v>
      </c>
      <c r="K2313" t="s">
        <v>6430</v>
      </c>
      <c r="L2313" t="s">
        <v>6431</v>
      </c>
    </row>
    <row r="2314" spans="1:40" x14ac:dyDescent="0.35">
      <c r="A2314">
        <v>6627534</v>
      </c>
      <c r="B2314" t="s">
        <v>6432</v>
      </c>
      <c r="C2314" t="str">
        <f>"9783030742201"</f>
        <v>9783030742201</v>
      </c>
      <c r="D2314" t="str">
        <f>"9783030742218"</f>
        <v>9783030742218</v>
      </c>
      <c r="E2314" t="s">
        <v>2289</v>
      </c>
      <c r="F2314" t="s">
        <v>2663</v>
      </c>
      <c r="G2314" s="1">
        <v>44335</v>
      </c>
      <c r="H2314" s="1">
        <v>44357</v>
      </c>
      <c r="I2314" t="s">
        <v>189</v>
      </c>
      <c r="L2314" t="s">
        <v>6433</v>
      </c>
    </row>
    <row r="2315" spans="1:40" x14ac:dyDescent="0.35">
      <c r="A2315">
        <v>6627586</v>
      </c>
      <c r="B2315" t="s">
        <v>6434</v>
      </c>
      <c r="C2315" t="str">
        <f>"9783030689438"</f>
        <v>9783030689438</v>
      </c>
      <c r="D2315" t="str">
        <f>"9783030689445"</f>
        <v>9783030689445</v>
      </c>
      <c r="E2315" t="s">
        <v>2289</v>
      </c>
      <c r="F2315" t="s">
        <v>2663</v>
      </c>
      <c r="G2315" s="1">
        <v>44334</v>
      </c>
      <c r="H2315" s="1">
        <v>44357</v>
      </c>
      <c r="I2315" t="s">
        <v>189</v>
      </c>
      <c r="L2315" t="s">
        <v>6435</v>
      </c>
    </row>
    <row r="2316" spans="1:40" x14ac:dyDescent="0.35">
      <c r="A2316">
        <v>6627597</v>
      </c>
      <c r="B2316" t="s">
        <v>6436</v>
      </c>
      <c r="C2316" t="str">
        <f>"9783662630167"</f>
        <v>9783662630167</v>
      </c>
      <c r="D2316" t="str">
        <f>"9783662630174"</f>
        <v>9783662630174</v>
      </c>
      <c r="E2316" t="s">
        <v>5118</v>
      </c>
      <c r="F2316" t="s">
        <v>5118</v>
      </c>
      <c r="G2316" s="1">
        <v>44334</v>
      </c>
      <c r="H2316" s="1">
        <v>44357</v>
      </c>
      <c r="I2316" t="s">
        <v>189</v>
      </c>
      <c r="L2316" t="s">
        <v>6437</v>
      </c>
      <c r="M2316" t="s">
        <v>219</v>
      </c>
      <c r="N2316" t="s">
        <v>6438</v>
      </c>
      <c r="Q2316" t="s">
        <v>408</v>
      </c>
      <c r="R2316" t="s">
        <v>261</v>
      </c>
      <c r="S2316" t="s">
        <v>261</v>
      </c>
      <c r="T2316" t="s">
        <v>261</v>
      </c>
      <c r="U2316" t="s">
        <v>262</v>
      </c>
      <c r="V2316" t="s">
        <v>262</v>
      </c>
      <c r="W2316" t="s">
        <v>261</v>
      </c>
      <c r="X2316" t="s">
        <v>261</v>
      </c>
      <c r="Y2316" t="s">
        <v>261</v>
      </c>
      <c r="Z2316" t="s">
        <v>409</v>
      </c>
      <c r="AA2316" t="s">
        <v>409</v>
      </c>
      <c r="AB2316" t="s">
        <v>409</v>
      </c>
      <c r="AC2316" t="s">
        <v>409</v>
      </c>
      <c r="AD2316" t="s">
        <v>261</v>
      </c>
      <c r="AH2316" t="s">
        <v>262</v>
      </c>
      <c r="AI2316" t="s">
        <v>262</v>
      </c>
      <c r="AJ2316" t="s">
        <v>261</v>
      </c>
      <c r="AK2316" t="s">
        <v>261</v>
      </c>
      <c r="AM2316" t="s">
        <v>262</v>
      </c>
      <c r="AN2316" t="s">
        <v>6439</v>
      </c>
    </row>
    <row r="2317" spans="1:40" x14ac:dyDescent="0.35">
      <c r="A2317">
        <v>6627599</v>
      </c>
      <c r="B2317" t="s">
        <v>6440</v>
      </c>
      <c r="C2317" t="str">
        <f>"9783030711429"</f>
        <v>9783030711429</v>
      </c>
      <c r="D2317" t="str">
        <f>"9783030711436"</f>
        <v>9783030711436</v>
      </c>
      <c r="E2317" t="s">
        <v>2289</v>
      </c>
      <c r="F2317" t="s">
        <v>2290</v>
      </c>
      <c r="G2317" s="1">
        <v>44335</v>
      </c>
      <c r="H2317" s="1">
        <v>44337</v>
      </c>
      <c r="I2317" t="s">
        <v>189</v>
      </c>
      <c r="K2317" t="s">
        <v>1208</v>
      </c>
      <c r="L2317" t="s">
        <v>6441</v>
      </c>
      <c r="M2317" t="s">
        <v>210</v>
      </c>
      <c r="N2317" t="s">
        <v>4706</v>
      </c>
      <c r="Q2317" t="s">
        <v>260</v>
      </c>
      <c r="R2317" t="s">
        <v>261</v>
      </c>
      <c r="S2317" t="s">
        <v>261</v>
      </c>
      <c r="T2317" t="s">
        <v>261</v>
      </c>
      <c r="U2317" t="s">
        <v>262</v>
      </c>
      <c r="V2317" t="s">
        <v>262</v>
      </c>
      <c r="W2317" t="s">
        <v>261</v>
      </c>
      <c r="X2317" t="s">
        <v>261</v>
      </c>
      <c r="Y2317" t="s">
        <v>261</v>
      </c>
      <c r="Z2317" t="s">
        <v>409</v>
      </c>
      <c r="AA2317" t="s">
        <v>409</v>
      </c>
      <c r="AB2317" t="s">
        <v>409</v>
      </c>
      <c r="AC2317" t="s">
        <v>409</v>
      </c>
      <c r="AD2317" t="s">
        <v>261</v>
      </c>
      <c r="AH2317" t="s">
        <v>262</v>
      </c>
      <c r="AI2317" t="s">
        <v>262</v>
      </c>
      <c r="AJ2317" t="s">
        <v>261</v>
      </c>
      <c r="AK2317" t="s">
        <v>261</v>
      </c>
      <c r="AM2317" t="s">
        <v>262</v>
      </c>
      <c r="AN2317" t="s">
        <v>6442</v>
      </c>
    </row>
    <row r="2318" spans="1:40" x14ac:dyDescent="0.35">
      <c r="A2318">
        <v>6628087</v>
      </c>
      <c r="B2318" t="s">
        <v>6443</v>
      </c>
      <c r="C2318" t="str">
        <f>"9783030705893"</f>
        <v>9783030705893</v>
      </c>
      <c r="D2318" t="str">
        <f>"9783030705909"</f>
        <v>9783030705909</v>
      </c>
      <c r="E2318" t="s">
        <v>2289</v>
      </c>
      <c r="F2318" t="s">
        <v>2663</v>
      </c>
      <c r="G2318" s="1">
        <v>44336</v>
      </c>
      <c r="H2318" s="1">
        <v>44337</v>
      </c>
      <c r="I2318" t="s">
        <v>189</v>
      </c>
      <c r="L2318" t="s">
        <v>6444</v>
      </c>
      <c r="M2318" t="s">
        <v>578</v>
      </c>
      <c r="N2318" t="s">
        <v>6445</v>
      </c>
      <c r="O2318" s="2">
        <v>79143658</v>
      </c>
      <c r="Q2318" t="s">
        <v>260</v>
      </c>
      <c r="R2318" t="s">
        <v>261</v>
      </c>
      <c r="S2318" t="s">
        <v>261</v>
      </c>
      <c r="T2318" t="s">
        <v>261</v>
      </c>
      <c r="U2318" t="s">
        <v>262</v>
      </c>
      <c r="V2318" t="s">
        <v>262</v>
      </c>
      <c r="W2318" t="s">
        <v>261</v>
      </c>
      <c r="X2318" t="s">
        <v>261</v>
      </c>
      <c r="Y2318" t="s">
        <v>261</v>
      </c>
      <c r="Z2318" t="s">
        <v>409</v>
      </c>
      <c r="AA2318" t="s">
        <v>409</v>
      </c>
      <c r="AB2318" t="s">
        <v>409</v>
      </c>
      <c r="AC2318" t="s">
        <v>409</v>
      </c>
      <c r="AD2318" t="s">
        <v>261</v>
      </c>
      <c r="AH2318" t="s">
        <v>262</v>
      </c>
      <c r="AI2318" t="s">
        <v>262</v>
      </c>
      <c r="AJ2318" t="s">
        <v>261</v>
      </c>
      <c r="AK2318" t="s">
        <v>261</v>
      </c>
      <c r="AM2318" t="s">
        <v>262</v>
      </c>
      <c r="AN2318" t="s">
        <v>6446</v>
      </c>
    </row>
    <row r="2319" spans="1:40" x14ac:dyDescent="0.35">
      <c r="A2319">
        <v>6628587</v>
      </c>
      <c r="B2319" t="s">
        <v>6447</v>
      </c>
      <c r="C2319" t="str">
        <f>"9783030451059"</f>
        <v>9783030451059</v>
      </c>
      <c r="D2319" t="str">
        <f>"9783030451066"</f>
        <v>9783030451066</v>
      </c>
      <c r="E2319" t="s">
        <v>2289</v>
      </c>
      <c r="F2319" t="s">
        <v>2290</v>
      </c>
      <c r="G2319" s="1">
        <v>44337</v>
      </c>
      <c r="H2319" s="1">
        <v>44380</v>
      </c>
      <c r="I2319" t="s">
        <v>189</v>
      </c>
      <c r="L2319" t="s">
        <v>85</v>
      </c>
    </row>
    <row r="2320" spans="1:40" x14ac:dyDescent="0.35">
      <c r="A2320">
        <v>6628607</v>
      </c>
      <c r="B2320" t="s">
        <v>6448</v>
      </c>
      <c r="C2320" t="str">
        <f>"9783030657673"</f>
        <v>9783030657673</v>
      </c>
      <c r="D2320" t="str">
        <f>"9783030657680"</f>
        <v>9783030657680</v>
      </c>
      <c r="E2320" t="s">
        <v>2289</v>
      </c>
      <c r="F2320" t="s">
        <v>2290</v>
      </c>
      <c r="G2320" s="1">
        <v>44337</v>
      </c>
      <c r="H2320" s="1">
        <v>44357</v>
      </c>
      <c r="I2320" t="s">
        <v>189</v>
      </c>
      <c r="J2320">
        <v>2</v>
      </c>
      <c r="K2320" t="s">
        <v>4320</v>
      </c>
      <c r="L2320" t="s">
        <v>6449</v>
      </c>
      <c r="M2320" t="s">
        <v>339</v>
      </c>
      <c r="N2320" t="s">
        <v>6450</v>
      </c>
      <c r="Q2320" t="s">
        <v>260</v>
      </c>
      <c r="R2320" t="s">
        <v>261</v>
      </c>
      <c r="S2320" t="s">
        <v>261</v>
      </c>
      <c r="T2320" t="s">
        <v>261</v>
      </c>
      <c r="U2320" t="s">
        <v>262</v>
      </c>
      <c r="V2320" t="s">
        <v>262</v>
      </c>
      <c r="W2320" t="s">
        <v>261</v>
      </c>
      <c r="X2320" t="s">
        <v>261</v>
      </c>
      <c r="Y2320" t="s">
        <v>261</v>
      </c>
      <c r="Z2320" t="s">
        <v>409</v>
      </c>
      <c r="AA2320" t="s">
        <v>409</v>
      </c>
      <c r="AB2320" t="s">
        <v>409</v>
      </c>
      <c r="AC2320" t="s">
        <v>409</v>
      </c>
      <c r="AD2320" t="s">
        <v>261</v>
      </c>
      <c r="AH2320" t="s">
        <v>262</v>
      </c>
      <c r="AI2320" t="s">
        <v>262</v>
      </c>
      <c r="AJ2320" t="s">
        <v>261</v>
      </c>
      <c r="AK2320" t="s">
        <v>261</v>
      </c>
      <c r="AM2320" t="s">
        <v>262</v>
      </c>
      <c r="AN2320" t="s">
        <v>6451</v>
      </c>
    </row>
    <row r="2321" spans="1:40" x14ac:dyDescent="0.35">
      <c r="A2321">
        <v>6628611</v>
      </c>
      <c r="B2321" t="s">
        <v>6452</v>
      </c>
      <c r="C2321" t="str">
        <f>"9789811628801"</f>
        <v>9789811628801</v>
      </c>
      <c r="D2321" t="str">
        <f>"9789811628818"</f>
        <v>9789811628818</v>
      </c>
      <c r="E2321" t="s">
        <v>3404</v>
      </c>
      <c r="F2321" t="s">
        <v>2290</v>
      </c>
      <c r="G2321" s="1">
        <v>44337</v>
      </c>
      <c r="H2321" s="1">
        <v>44357</v>
      </c>
      <c r="I2321" t="s">
        <v>189</v>
      </c>
      <c r="K2321" t="s">
        <v>6453</v>
      </c>
      <c r="L2321" t="s">
        <v>6454</v>
      </c>
    </row>
    <row r="2322" spans="1:40" x14ac:dyDescent="0.35">
      <c r="A2322">
        <v>6628984</v>
      </c>
      <c r="B2322" t="s">
        <v>6455</v>
      </c>
      <c r="C2322" t="str">
        <f>""</f>
        <v/>
      </c>
      <c r="D2322" t="str">
        <f>"9789179296322"</f>
        <v>9789179296322</v>
      </c>
      <c r="E2322" t="s">
        <v>3642</v>
      </c>
      <c r="F2322" t="s">
        <v>3642</v>
      </c>
      <c r="G2322" s="1">
        <v>44337</v>
      </c>
      <c r="H2322" s="1">
        <v>44340</v>
      </c>
      <c r="I2322" t="s">
        <v>189</v>
      </c>
      <c r="J2322">
        <v>1</v>
      </c>
      <c r="L2322" t="s">
        <v>6456</v>
      </c>
      <c r="Q2322" t="s">
        <v>260</v>
      </c>
      <c r="R2322" t="s">
        <v>261</v>
      </c>
      <c r="S2322" t="s">
        <v>261</v>
      </c>
      <c r="T2322" t="s">
        <v>261</v>
      </c>
      <c r="U2322" t="s">
        <v>261</v>
      </c>
      <c r="V2322" t="s">
        <v>262</v>
      </c>
      <c r="W2322" t="s">
        <v>261</v>
      </c>
      <c r="X2322" t="s">
        <v>261</v>
      </c>
      <c r="Y2322" t="s">
        <v>261</v>
      </c>
      <c r="AD2322" t="s">
        <v>261</v>
      </c>
      <c r="AH2322" t="s">
        <v>262</v>
      </c>
      <c r="AI2322" t="s">
        <v>261</v>
      </c>
      <c r="AJ2322" t="s">
        <v>261</v>
      </c>
      <c r="AK2322" t="s">
        <v>261</v>
      </c>
      <c r="AM2322" t="s">
        <v>262</v>
      </c>
      <c r="AN2322" t="s">
        <v>6457</v>
      </c>
    </row>
    <row r="2323" spans="1:40" x14ac:dyDescent="0.35">
      <c r="A2323">
        <v>6628985</v>
      </c>
      <c r="B2323" t="s">
        <v>6458</v>
      </c>
      <c r="C2323" t="str">
        <f>""</f>
        <v/>
      </c>
      <c r="D2323" t="str">
        <f>"9789179296513"</f>
        <v>9789179296513</v>
      </c>
      <c r="E2323" t="s">
        <v>3642</v>
      </c>
      <c r="F2323" t="s">
        <v>3642</v>
      </c>
      <c r="G2323" s="1">
        <v>44337</v>
      </c>
      <c r="H2323" s="1">
        <v>44368</v>
      </c>
      <c r="I2323" t="s">
        <v>189</v>
      </c>
      <c r="J2323">
        <v>1</v>
      </c>
      <c r="L2323" t="s">
        <v>6459</v>
      </c>
      <c r="Q2323" t="s">
        <v>260</v>
      </c>
      <c r="R2323" t="s">
        <v>261</v>
      </c>
      <c r="S2323" t="s">
        <v>261</v>
      </c>
      <c r="T2323" t="s">
        <v>261</v>
      </c>
      <c r="U2323" t="s">
        <v>261</v>
      </c>
      <c r="V2323" t="s">
        <v>262</v>
      </c>
      <c r="W2323" t="s">
        <v>261</v>
      </c>
      <c r="X2323" t="s">
        <v>261</v>
      </c>
      <c r="Y2323" t="s">
        <v>261</v>
      </c>
      <c r="AD2323" t="s">
        <v>261</v>
      </c>
      <c r="AH2323" t="s">
        <v>262</v>
      </c>
      <c r="AI2323" t="s">
        <v>261</v>
      </c>
      <c r="AJ2323" t="s">
        <v>261</v>
      </c>
      <c r="AK2323" t="s">
        <v>261</v>
      </c>
      <c r="AM2323" t="s">
        <v>262</v>
      </c>
      <c r="AN2323" t="s">
        <v>6460</v>
      </c>
    </row>
    <row r="2324" spans="1:40" x14ac:dyDescent="0.35">
      <c r="A2324">
        <v>6628986</v>
      </c>
      <c r="B2324" t="s">
        <v>6461</v>
      </c>
      <c r="C2324" t="str">
        <f>""</f>
        <v/>
      </c>
      <c r="D2324" t="str">
        <f>"9789179296452"</f>
        <v>9789179296452</v>
      </c>
      <c r="E2324" t="s">
        <v>3642</v>
      </c>
      <c r="F2324" t="s">
        <v>3642</v>
      </c>
      <c r="G2324" s="1">
        <v>44333</v>
      </c>
      <c r="H2324" s="1">
        <v>44340</v>
      </c>
      <c r="I2324" t="s">
        <v>189</v>
      </c>
      <c r="J2324">
        <v>1</v>
      </c>
      <c r="L2324" t="s">
        <v>6462</v>
      </c>
      <c r="Q2324" t="s">
        <v>260</v>
      </c>
      <c r="R2324" t="s">
        <v>261</v>
      </c>
      <c r="S2324" t="s">
        <v>261</v>
      </c>
      <c r="T2324" t="s">
        <v>261</v>
      </c>
      <c r="U2324" t="s">
        <v>261</v>
      </c>
      <c r="V2324" t="s">
        <v>262</v>
      </c>
      <c r="W2324" t="s">
        <v>261</v>
      </c>
      <c r="X2324" t="s">
        <v>261</v>
      </c>
      <c r="Y2324" t="s">
        <v>261</v>
      </c>
      <c r="AD2324" t="s">
        <v>261</v>
      </c>
      <c r="AH2324" t="s">
        <v>262</v>
      </c>
      <c r="AI2324" t="s">
        <v>261</v>
      </c>
      <c r="AJ2324" t="s">
        <v>261</v>
      </c>
      <c r="AK2324" t="s">
        <v>261</v>
      </c>
      <c r="AM2324" t="s">
        <v>262</v>
      </c>
      <c r="AN2324" t="s">
        <v>6463</v>
      </c>
    </row>
    <row r="2325" spans="1:40" x14ac:dyDescent="0.35">
      <c r="A2325">
        <v>6628987</v>
      </c>
      <c r="B2325" t="s">
        <v>6464</v>
      </c>
      <c r="C2325" t="str">
        <f>""</f>
        <v/>
      </c>
      <c r="D2325" t="str">
        <f>"9789179296742"</f>
        <v>9789179296742</v>
      </c>
      <c r="E2325" t="s">
        <v>3642</v>
      </c>
      <c r="F2325" t="s">
        <v>3642</v>
      </c>
      <c r="G2325" s="1">
        <v>44258</v>
      </c>
      <c r="H2325" s="1">
        <v>44340</v>
      </c>
      <c r="I2325" t="s">
        <v>189</v>
      </c>
      <c r="J2325">
        <v>1</v>
      </c>
      <c r="L2325" t="s">
        <v>6465</v>
      </c>
      <c r="Q2325" t="s">
        <v>260</v>
      </c>
      <c r="R2325" t="s">
        <v>261</v>
      </c>
      <c r="S2325" t="s">
        <v>261</v>
      </c>
      <c r="T2325" t="s">
        <v>261</v>
      </c>
      <c r="U2325" t="s">
        <v>261</v>
      </c>
      <c r="V2325" t="s">
        <v>262</v>
      </c>
      <c r="W2325" t="s">
        <v>261</v>
      </c>
      <c r="X2325" t="s">
        <v>261</v>
      </c>
      <c r="Y2325" t="s">
        <v>261</v>
      </c>
      <c r="AD2325" t="s">
        <v>261</v>
      </c>
      <c r="AH2325" t="s">
        <v>262</v>
      </c>
      <c r="AI2325" t="s">
        <v>261</v>
      </c>
      <c r="AJ2325" t="s">
        <v>261</v>
      </c>
      <c r="AK2325" t="s">
        <v>261</v>
      </c>
      <c r="AM2325" t="s">
        <v>262</v>
      </c>
      <c r="AN2325" t="s">
        <v>6466</v>
      </c>
    </row>
    <row r="2326" spans="1:40" x14ac:dyDescent="0.35">
      <c r="A2326">
        <v>6628988</v>
      </c>
      <c r="B2326" t="s">
        <v>6467</v>
      </c>
      <c r="C2326" t="str">
        <f>""</f>
        <v/>
      </c>
      <c r="D2326" t="str">
        <f>"9789179296360"</f>
        <v>9789179296360</v>
      </c>
      <c r="E2326" t="s">
        <v>3642</v>
      </c>
      <c r="F2326" t="s">
        <v>3642</v>
      </c>
      <c r="G2326" s="1">
        <v>44305</v>
      </c>
      <c r="H2326" s="1">
        <v>44347</v>
      </c>
      <c r="I2326" t="s">
        <v>189</v>
      </c>
      <c r="J2326">
        <v>1</v>
      </c>
      <c r="L2326" t="s">
        <v>6468</v>
      </c>
      <c r="Q2326" t="s">
        <v>260</v>
      </c>
      <c r="R2326" t="s">
        <v>261</v>
      </c>
      <c r="S2326" t="s">
        <v>261</v>
      </c>
      <c r="T2326" t="s">
        <v>261</v>
      </c>
      <c r="U2326" t="s">
        <v>261</v>
      </c>
      <c r="V2326" t="s">
        <v>262</v>
      </c>
      <c r="W2326" t="s">
        <v>261</v>
      </c>
      <c r="X2326" t="s">
        <v>261</v>
      </c>
      <c r="Y2326" t="s">
        <v>261</v>
      </c>
      <c r="AD2326" t="s">
        <v>261</v>
      </c>
      <c r="AH2326" t="s">
        <v>262</v>
      </c>
      <c r="AI2326" t="s">
        <v>261</v>
      </c>
      <c r="AJ2326" t="s">
        <v>261</v>
      </c>
      <c r="AK2326" t="s">
        <v>261</v>
      </c>
      <c r="AM2326" t="s">
        <v>262</v>
      </c>
      <c r="AN2326" t="s">
        <v>6469</v>
      </c>
    </row>
    <row r="2327" spans="1:40" x14ac:dyDescent="0.35">
      <c r="A2327">
        <v>6628989</v>
      </c>
      <c r="B2327" t="s">
        <v>6470</v>
      </c>
      <c r="C2327" t="str">
        <f>""</f>
        <v/>
      </c>
      <c r="D2327" t="str">
        <f>"9789179296667"</f>
        <v>9789179296667</v>
      </c>
      <c r="E2327" t="s">
        <v>3642</v>
      </c>
      <c r="F2327" t="s">
        <v>3642</v>
      </c>
      <c r="G2327" s="1">
        <v>44330</v>
      </c>
      <c r="H2327" s="1">
        <v>44340</v>
      </c>
      <c r="I2327" t="s">
        <v>189</v>
      </c>
      <c r="J2327">
        <v>1</v>
      </c>
      <c r="L2327" t="s">
        <v>6471</v>
      </c>
      <c r="Q2327" t="s">
        <v>260</v>
      </c>
      <c r="R2327" t="s">
        <v>261</v>
      </c>
      <c r="S2327" t="s">
        <v>261</v>
      </c>
      <c r="T2327" t="s">
        <v>261</v>
      </c>
      <c r="U2327" t="s">
        <v>261</v>
      </c>
      <c r="V2327" t="s">
        <v>262</v>
      </c>
      <c r="W2327" t="s">
        <v>261</v>
      </c>
      <c r="X2327" t="s">
        <v>261</v>
      </c>
      <c r="Y2327" t="s">
        <v>261</v>
      </c>
      <c r="AD2327" t="s">
        <v>261</v>
      </c>
      <c r="AH2327" t="s">
        <v>262</v>
      </c>
      <c r="AI2327" t="s">
        <v>261</v>
      </c>
      <c r="AJ2327" t="s">
        <v>261</v>
      </c>
      <c r="AK2327" t="s">
        <v>261</v>
      </c>
      <c r="AM2327" t="s">
        <v>262</v>
      </c>
      <c r="AN2327" t="s">
        <v>6472</v>
      </c>
    </row>
    <row r="2328" spans="1:40" x14ac:dyDescent="0.35">
      <c r="A2328">
        <v>6629016</v>
      </c>
      <c r="B2328" t="s">
        <v>6473</v>
      </c>
      <c r="C2328" t="str">
        <f>"9789811609718"</f>
        <v>9789811609718</v>
      </c>
      <c r="D2328" t="str">
        <f>"9789811609725"</f>
        <v>9789811609725</v>
      </c>
      <c r="E2328" t="s">
        <v>3404</v>
      </c>
      <c r="F2328" t="s">
        <v>2290</v>
      </c>
      <c r="G2328" s="1">
        <v>44339</v>
      </c>
      <c r="H2328" s="1">
        <v>44357</v>
      </c>
      <c r="I2328" t="s">
        <v>189</v>
      </c>
      <c r="K2328" t="s">
        <v>6474</v>
      </c>
      <c r="L2328" t="s">
        <v>6475</v>
      </c>
    </row>
    <row r="2329" spans="1:40" x14ac:dyDescent="0.35">
      <c r="A2329">
        <v>6631043</v>
      </c>
      <c r="B2329" t="s">
        <v>6476</v>
      </c>
      <c r="C2329" t="str">
        <f>"9789027208859"</f>
        <v>9789027208859</v>
      </c>
      <c r="D2329" t="str">
        <f>"9789027259820"</f>
        <v>9789027259820</v>
      </c>
      <c r="E2329" t="s">
        <v>1372</v>
      </c>
      <c r="F2329" t="s">
        <v>1372</v>
      </c>
      <c r="G2329" s="1">
        <v>44363</v>
      </c>
      <c r="H2329" s="1">
        <v>44344</v>
      </c>
      <c r="I2329" t="s">
        <v>189</v>
      </c>
      <c r="J2329">
        <v>1</v>
      </c>
      <c r="K2329" t="s">
        <v>6477</v>
      </c>
      <c r="L2329" t="s">
        <v>6478</v>
      </c>
    </row>
    <row r="2330" spans="1:40" x14ac:dyDescent="0.35">
      <c r="A2330">
        <v>6631291</v>
      </c>
      <c r="B2330" t="s">
        <v>6479</v>
      </c>
      <c r="C2330" t="str">
        <f>"9783030772550"</f>
        <v>9783030772550</v>
      </c>
      <c r="D2330" t="str">
        <f>"9783030772567"</f>
        <v>9783030772567</v>
      </c>
      <c r="E2330" t="s">
        <v>2289</v>
      </c>
      <c r="F2330" t="s">
        <v>2290</v>
      </c>
      <c r="G2330" s="1">
        <v>44343</v>
      </c>
      <c r="H2330" s="1">
        <v>44357</v>
      </c>
      <c r="I2330" t="s">
        <v>189</v>
      </c>
      <c r="K2330" t="s">
        <v>6260</v>
      </c>
      <c r="L2330" t="s">
        <v>6480</v>
      </c>
    </row>
    <row r="2331" spans="1:40" x14ac:dyDescent="0.35">
      <c r="A2331">
        <v>6631347</v>
      </c>
      <c r="B2331" t="s">
        <v>6481</v>
      </c>
      <c r="C2331" t="str">
        <f>"9783030711016"</f>
        <v>9783030711016</v>
      </c>
      <c r="D2331" t="str">
        <f>"9783030711023"</f>
        <v>9783030711023</v>
      </c>
      <c r="E2331" t="s">
        <v>2289</v>
      </c>
      <c r="F2331" t="s">
        <v>2290</v>
      </c>
      <c r="G2331" s="1">
        <v>44343</v>
      </c>
      <c r="H2331" s="1">
        <v>44357</v>
      </c>
      <c r="I2331" t="s">
        <v>189</v>
      </c>
      <c r="L2331" t="s">
        <v>6482</v>
      </c>
    </row>
    <row r="2332" spans="1:40" x14ac:dyDescent="0.35">
      <c r="A2332">
        <v>6633237</v>
      </c>
      <c r="B2332" t="s">
        <v>6483</v>
      </c>
      <c r="C2332" t="str">
        <f>"9783030711221"</f>
        <v>9783030711221</v>
      </c>
      <c r="D2332" t="str">
        <f>"9783030711238"</f>
        <v>9783030711238</v>
      </c>
      <c r="E2332" t="s">
        <v>2289</v>
      </c>
      <c r="F2332" t="s">
        <v>2290</v>
      </c>
      <c r="G2332" s="1">
        <v>44345</v>
      </c>
      <c r="H2332" s="1">
        <v>44357</v>
      </c>
      <c r="I2332" t="s">
        <v>189</v>
      </c>
      <c r="L2332" t="s">
        <v>6484</v>
      </c>
      <c r="M2332" t="s">
        <v>3181</v>
      </c>
    </row>
    <row r="2333" spans="1:40" x14ac:dyDescent="0.35">
      <c r="A2333">
        <v>6633243</v>
      </c>
      <c r="B2333" t="s">
        <v>6485</v>
      </c>
      <c r="C2333" t="str">
        <f>"9783030742263"</f>
        <v>9783030742263</v>
      </c>
      <c r="D2333" t="str">
        <f>"9783030742270"</f>
        <v>9783030742270</v>
      </c>
      <c r="E2333" t="s">
        <v>2289</v>
      </c>
      <c r="F2333" t="s">
        <v>2663</v>
      </c>
      <c r="G2333" s="1">
        <v>44345</v>
      </c>
      <c r="H2333" s="1">
        <v>44357</v>
      </c>
      <c r="I2333" t="s">
        <v>189</v>
      </c>
      <c r="K2333" t="s">
        <v>6486</v>
      </c>
      <c r="L2333" t="s">
        <v>6487</v>
      </c>
      <c r="M2333" t="s">
        <v>578</v>
      </c>
      <c r="N2333" t="s">
        <v>6488</v>
      </c>
      <c r="Q2333" t="s">
        <v>260</v>
      </c>
      <c r="R2333" t="s">
        <v>261</v>
      </c>
      <c r="S2333" t="s">
        <v>261</v>
      </c>
      <c r="T2333" t="s">
        <v>261</v>
      </c>
      <c r="U2333" t="s">
        <v>262</v>
      </c>
      <c r="V2333" t="s">
        <v>262</v>
      </c>
      <c r="W2333" t="s">
        <v>261</v>
      </c>
      <c r="X2333" t="s">
        <v>261</v>
      </c>
      <c r="Y2333" t="s">
        <v>261</v>
      </c>
      <c r="Z2333" t="s">
        <v>409</v>
      </c>
      <c r="AA2333" t="s">
        <v>409</v>
      </c>
      <c r="AB2333" t="s">
        <v>409</v>
      </c>
      <c r="AC2333" t="s">
        <v>409</v>
      </c>
      <c r="AD2333" t="s">
        <v>261</v>
      </c>
      <c r="AH2333" t="s">
        <v>262</v>
      </c>
      <c r="AI2333" t="s">
        <v>262</v>
      </c>
      <c r="AJ2333" t="s">
        <v>261</v>
      </c>
      <c r="AK2333" t="s">
        <v>261</v>
      </c>
      <c r="AM2333" t="s">
        <v>262</v>
      </c>
      <c r="AN2333" t="s">
        <v>6489</v>
      </c>
    </row>
    <row r="2334" spans="1:40" x14ac:dyDescent="0.35">
      <c r="A2334">
        <v>6633269</v>
      </c>
      <c r="B2334" t="s">
        <v>6490</v>
      </c>
      <c r="C2334" t="str">
        <f>"9783030501990"</f>
        <v>9783030501990</v>
      </c>
      <c r="D2334" t="str">
        <f>"9783030502003"</f>
        <v>9783030502003</v>
      </c>
      <c r="E2334" t="s">
        <v>2289</v>
      </c>
      <c r="F2334" t="s">
        <v>2290</v>
      </c>
      <c r="G2334" s="1">
        <v>44345</v>
      </c>
      <c r="H2334" s="1">
        <v>44357</v>
      </c>
      <c r="I2334" t="s">
        <v>189</v>
      </c>
      <c r="K2334" t="s">
        <v>4784</v>
      </c>
      <c r="L2334" t="s">
        <v>6491</v>
      </c>
    </row>
    <row r="2335" spans="1:40" x14ac:dyDescent="0.35">
      <c r="A2335">
        <v>6633279</v>
      </c>
      <c r="B2335" t="s">
        <v>6492</v>
      </c>
      <c r="C2335" t="str">
        <f>""</f>
        <v/>
      </c>
      <c r="D2335" t="str">
        <f>"9789179297015"</f>
        <v>9789179297015</v>
      </c>
      <c r="E2335" t="s">
        <v>3642</v>
      </c>
      <c r="F2335" t="s">
        <v>3642</v>
      </c>
      <c r="G2335" s="1">
        <v>44314</v>
      </c>
      <c r="H2335" s="1">
        <v>44347</v>
      </c>
      <c r="I2335" t="s">
        <v>189</v>
      </c>
      <c r="J2335">
        <v>1</v>
      </c>
      <c r="L2335" t="s">
        <v>6493</v>
      </c>
      <c r="Q2335" t="s">
        <v>260</v>
      </c>
      <c r="R2335" t="s">
        <v>261</v>
      </c>
      <c r="S2335" t="s">
        <v>261</v>
      </c>
      <c r="T2335" t="s">
        <v>261</v>
      </c>
      <c r="U2335" t="s">
        <v>261</v>
      </c>
      <c r="V2335" t="s">
        <v>262</v>
      </c>
      <c r="W2335" t="s">
        <v>261</v>
      </c>
      <c r="X2335" t="s">
        <v>261</v>
      </c>
      <c r="Y2335" t="s">
        <v>261</v>
      </c>
      <c r="AD2335" t="s">
        <v>261</v>
      </c>
      <c r="AH2335" t="s">
        <v>262</v>
      </c>
      <c r="AI2335" t="s">
        <v>261</v>
      </c>
      <c r="AJ2335" t="s">
        <v>261</v>
      </c>
      <c r="AK2335" t="s">
        <v>261</v>
      </c>
      <c r="AM2335" t="s">
        <v>262</v>
      </c>
      <c r="AN2335" t="s">
        <v>6494</v>
      </c>
    </row>
    <row r="2336" spans="1:40" x14ac:dyDescent="0.35">
      <c r="A2336">
        <v>6633453</v>
      </c>
      <c r="B2336" t="s">
        <v>6495</v>
      </c>
      <c r="C2336" t="str">
        <f>"9781800640900"</f>
        <v>9781800640900</v>
      </c>
      <c r="D2336" t="str">
        <f>"9781800640917"</f>
        <v>9781800640917</v>
      </c>
      <c r="E2336" t="s">
        <v>1807</v>
      </c>
      <c r="F2336" t="s">
        <v>1807</v>
      </c>
      <c r="G2336" s="1">
        <v>44319</v>
      </c>
      <c r="H2336" s="1">
        <v>44348</v>
      </c>
      <c r="I2336" t="s">
        <v>189</v>
      </c>
      <c r="J2336">
        <v>1</v>
      </c>
      <c r="L2336" t="s">
        <v>6496</v>
      </c>
      <c r="M2336" t="s">
        <v>323</v>
      </c>
    </row>
    <row r="2337" spans="1:40" x14ac:dyDescent="0.35">
      <c r="A2337">
        <v>6633454</v>
      </c>
      <c r="B2337" t="s">
        <v>6497</v>
      </c>
      <c r="C2337" t="str">
        <f>"9781783747702"</f>
        <v>9781783747702</v>
      </c>
      <c r="D2337" t="str">
        <f>"9781783747719"</f>
        <v>9781783747719</v>
      </c>
      <c r="E2337" t="s">
        <v>1807</v>
      </c>
      <c r="F2337" t="s">
        <v>1807</v>
      </c>
      <c r="G2337" s="1">
        <v>44336</v>
      </c>
      <c r="H2337" s="1">
        <v>44348</v>
      </c>
      <c r="I2337" t="s">
        <v>189</v>
      </c>
      <c r="J2337">
        <v>1</v>
      </c>
      <c r="L2337" t="s">
        <v>6498</v>
      </c>
      <c r="M2337" t="s">
        <v>219</v>
      </c>
      <c r="Q2337" t="s">
        <v>260</v>
      </c>
      <c r="R2337" t="s">
        <v>261</v>
      </c>
      <c r="S2337" t="s">
        <v>261</v>
      </c>
      <c r="T2337" t="s">
        <v>261</v>
      </c>
      <c r="U2337" t="s">
        <v>261</v>
      </c>
      <c r="V2337" t="s">
        <v>262</v>
      </c>
      <c r="W2337" t="s">
        <v>261</v>
      </c>
      <c r="X2337" t="s">
        <v>261</v>
      </c>
      <c r="Y2337" t="s">
        <v>261</v>
      </c>
      <c r="Z2337" t="s">
        <v>409</v>
      </c>
      <c r="AA2337" t="s">
        <v>409</v>
      </c>
      <c r="AB2337" t="s">
        <v>409</v>
      </c>
      <c r="AC2337" t="s">
        <v>409</v>
      </c>
      <c r="AD2337" t="s">
        <v>261</v>
      </c>
      <c r="AH2337" t="s">
        <v>262</v>
      </c>
      <c r="AI2337" t="s">
        <v>262</v>
      </c>
      <c r="AJ2337" t="s">
        <v>261</v>
      </c>
      <c r="AK2337" t="s">
        <v>261</v>
      </c>
      <c r="AM2337" t="s">
        <v>262</v>
      </c>
      <c r="AN2337" t="s">
        <v>6499</v>
      </c>
    </row>
    <row r="2338" spans="1:40" x14ac:dyDescent="0.35">
      <c r="A2338">
        <v>6633455</v>
      </c>
      <c r="B2338" t="s">
        <v>6500</v>
      </c>
      <c r="C2338" t="str">
        <f>"9781800641761"</f>
        <v>9781800641761</v>
      </c>
      <c r="D2338" t="str">
        <f>"9781800641778"</f>
        <v>9781800641778</v>
      </c>
      <c r="E2338" t="s">
        <v>1807</v>
      </c>
      <c r="F2338" t="s">
        <v>1807</v>
      </c>
      <c r="G2338" s="1">
        <v>44347</v>
      </c>
      <c r="H2338" s="1">
        <v>44348</v>
      </c>
      <c r="I2338" t="s">
        <v>189</v>
      </c>
      <c r="J2338">
        <v>1</v>
      </c>
      <c r="L2338" t="s">
        <v>6501</v>
      </c>
      <c r="M2338" t="s">
        <v>249</v>
      </c>
    </row>
    <row r="2339" spans="1:40" x14ac:dyDescent="0.35">
      <c r="A2339">
        <v>6634971</v>
      </c>
      <c r="B2339" t="s">
        <v>6502</v>
      </c>
      <c r="C2339" t="str">
        <f>"9783658338541"</f>
        <v>9783658338541</v>
      </c>
      <c r="D2339" t="str">
        <f>"9783658338558"</f>
        <v>9783658338558</v>
      </c>
      <c r="E2339" t="s">
        <v>3972</v>
      </c>
      <c r="F2339" t="s">
        <v>3998</v>
      </c>
      <c r="G2339" s="1">
        <v>44348</v>
      </c>
      <c r="H2339" s="1">
        <v>44357</v>
      </c>
      <c r="I2339" t="s">
        <v>189</v>
      </c>
      <c r="K2339" t="s">
        <v>5871</v>
      </c>
      <c r="L2339" t="s">
        <v>6503</v>
      </c>
      <c r="M2339" t="s">
        <v>389</v>
      </c>
      <c r="N2339" t="s">
        <v>5023</v>
      </c>
      <c r="Q2339" t="s">
        <v>408</v>
      </c>
      <c r="R2339" t="s">
        <v>261</v>
      </c>
      <c r="S2339" t="s">
        <v>261</v>
      </c>
      <c r="T2339" t="s">
        <v>261</v>
      </c>
      <c r="U2339" t="s">
        <v>262</v>
      </c>
      <c r="V2339" t="s">
        <v>262</v>
      </c>
      <c r="W2339" t="s">
        <v>261</v>
      </c>
      <c r="X2339" t="s">
        <v>262</v>
      </c>
      <c r="Y2339" t="s">
        <v>261</v>
      </c>
      <c r="Z2339" t="s">
        <v>409</v>
      </c>
      <c r="AA2339" t="s">
        <v>409</v>
      </c>
      <c r="AB2339" t="s">
        <v>409</v>
      </c>
      <c r="AC2339" t="s">
        <v>409</v>
      </c>
      <c r="AD2339" t="s">
        <v>261</v>
      </c>
      <c r="AH2339" t="s">
        <v>262</v>
      </c>
      <c r="AI2339" t="s">
        <v>262</v>
      </c>
      <c r="AJ2339" t="s">
        <v>261</v>
      </c>
      <c r="AK2339" t="s">
        <v>261</v>
      </c>
      <c r="AM2339" t="s">
        <v>262</v>
      </c>
      <c r="AN2339" t="s">
        <v>6504</v>
      </c>
    </row>
    <row r="2340" spans="1:40" x14ac:dyDescent="0.35">
      <c r="A2340">
        <v>6635000</v>
      </c>
      <c r="B2340" t="s">
        <v>6505</v>
      </c>
      <c r="C2340" t="str">
        <f>"9783662630204"</f>
        <v>9783662630204</v>
      </c>
      <c r="D2340" t="str">
        <f>"9783662630211"</f>
        <v>9783662630211</v>
      </c>
      <c r="E2340" t="s">
        <v>4047</v>
      </c>
      <c r="F2340" t="s">
        <v>2290</v>
      </c>
      <c r="G2340" s="1">
        <v>44348</v>
      </c>
      <c r="H2340" s="1">
        <v>44357</v>
      </c>
      <c r="I2340" t="s">
        <v>189</v>
      </c>
      <c r="L2340" t="s">
        <v>6506</v>
      </c>
    </row>
    <row r="2341" spans="1:40" x14ac:dyDescent="0.35">
      <c r="A2341">
        <v>6635544</v>
      </c>
      <c r="B2341" t="s">
        <v>6507</v>
      </c>
      <c r="C2341" t="str">
        <f>"9789462984127"</f>
        <v>9789462984127</v>
      </c>
      <c r="D2341" t="str">
        <f>"9789048534623"</f>
        <v>9789048534623</v>
      </c>
      <c r="E2341" t="s">
        <v>361</v>
      </c>
      <c r="F2341" t="s">
        <v>361</v>
      </c>
      <c r="G2341" s="1">
        <v>43033</v>
      </c>
      <c r="H2341" s="1">
        <v>44462</v>
      </c>
      <c r="I2341" t="s">
        <v>189</v>
      </c>
      <c r="J2341">
        <v>1</v>
      </c>
      <c r="K2341" t="s">
        <v>6508</v>
      </c>
      <c r="L2341" t="s">
        <v>6509</v>
      </c>
    </row>
    <row r="2342" spans="1:40" x14ac:dyDescent="0.35">
      <c r="A2342">
        <v>6635733</v>
      </c>
      <c r="B2342" t="s">
        <v>6510</v>
      </c>
      <c r="C2342" t="str">
        <f>"9789811606533"</f>
        <v>9789811606533</v>
      </c>
      <c r="D2342" t="str">
        <f>"9789811606540"</f>
        <v>9789811606540</v>
      </c>
      <c r="E2342" t="s">
        <v>3404</v>
      </c>
      <c r="F2342" t="s">
        <v>2290</v>
      </c>
      <c r="G2342" s="1">
        <v>44349</v>
      </c>
      <c r="H2342" s="1">
        <v>44357</v>
      </c>
      <c r="I2342" t="s">
        <v>189</v>
      </c>
      <c r="L2342" t="s">
        <v>6511</v>
      </c>
      <c r="M2342" t="s">
        <v>239</v>
      </c>
      <c r="N2342" t="s">
        <v>6512</v>
      </c>
      <c r="Q2342" t="s">
        <v>260</v>
      </c>
      <c r="R2342" t="s">
        <v>261</v>
      </c>
      <c r="S2342" t="s">
        <v>261</v>
      </c>
      <c r="T2342" t="s">
        <v>261</v>
      </c>
      <c r="U2342" t="s">
        <v>262</v>
      </c>
      <c r="V2342" t="s">
        <v>262</v>
      </c>
      <c r="W2342" t="s">
        <v>261</v>
      </c>
      <c r="X2342" t="s">
        <v>262</v>
      </c>
      <c r="Y2342" t="s">
        <v>261</v>
      </c>
      <c r="Z2342" t="s">
        <v>409</v>
      </c>
      <c r="AA2342" t="s">
        <v>409</v>
      </c>
      <c r="AB2342" t="s">
        <v>409</v>
      </c>
      <c r="AC2342" t="s">
        <v>409</v>
      </c>
      <c r="AD2342" t="s">
        <v>261</v>
      </c>
      <c r="AH2342" t="s">
        <v>262</v>
      </c>
      <c r="AI2342" t="s">
        <v>262</v>
      </c>
      <c r="AJ2342" t="s">
        <v>261</v>
      </c>
      <c r="AK2342" t="s">
        <v>261</v>
      </c>
      <c r="AM2342" t="s">
        <v>262</v>
      </c>
      <c r="AN2342" t="s">
        <v>6513</v>
      </c>
    </row>
    <row r="2343" spans="1:40" x14ac:dyDescent="0.35">
      <c r="A2343">
        <v>6636681</v>
      </c>
      <c r="B2343" t="s">
        <v>6514</v>
      </c>
      <c r="C2343" t="str">
        <f>"9783030632335"</f>
        <v>9783030632335</v>
      </c>
      <c r="D2343" t="str">
        <f>"9783030632342"</f>
        <v>9783030632342</v>
      </c>
      <c r="E2343" t="s">
        <v>2289</v>
      </c>
      <c r="F2343" t="s">
        <v>2290</v>
      </c>
      <c r="G2343" s="1">
        <v>44350</v>
      </c>
      <c r="H2343" s="1">
        <v>44357</v>
      </c>
      <c r="I2343" t="s">
        <v>189</v>
      </c>
      <c r="L2343" t="s">
        <v>6515</v>
      </c>
    </row>
    <row r="2344" spans="1:40" x14ac:dyDescent="0.35">
      <c r="A2344">
        <v>6636687</v>
      </c>
      <c r="B2344" t="s">
        <v>6516</v>
      </c>
      <c r="C2344" t="str">
        <f>"9783030688127"</f>
        <v>9783030688127</v>
      </c>
      <c r="D2344" t="str">
        <f>"9783030688134"</f>
        <v>9783030688134</v>
      </c>
      <c r="E2344" t="s">
        <v>2289</v>
      </c>
      <c r="F2344" t="s">
        <v>2290</v>
      </c>
      <c r="G2344" s="1">
        <v>44350</v>
      </c>
      <c r="H2344" s="1">
        <v>44357</v>
      </c>
      <c r="I2344" t="s">
        <v>189</v>
      </c>
      <c r="K2344" t="s">
        <v>6517</v>
      </c>
      <c r="L2344" t="s">
        <v>6518</v>
      </c>
    </row>
    <row r="2345" spans="1:40" x14ac:dyDescent="0.35">
      <c r="A2345">
        <v>6636696</v>
      </c>
      <c r="B2345" t="s">
        <v>6519</v>
      </c>
      <c r="C2345" t="str">
        <f>"9783030708894"</f>
        <v>9783030708894</v>
      </c>
      <c r="D2345" t="str">
        <f>"9783030708900"</f>
        <v>9783030708900</v>
      </c>
      <c r="E2345" t="s">
        <v>2289</v>
      </c>
      <c r="F2345" t="s">
        <v>2663</v>
      </c>
      <c r="G2345" s="1">
        <v>44350</v>
      </c>
      <c r="H2345" s="1">
        <v>44357</v>
      </c>
      <c r="I2345" t="s">
        <v>189</v>
      </c>
      <c r="L2345" t="s">
        <v>6520</v>
      </c>
    </row>
    <row r="2346" spans="1:40" x14ac:dyDescent="0.35">
      <c r="A2346">
        <v>6637090</v>
      </c>
      <c r="B2346" t="s">
        <v>6521</v>
      </c>
      <c r="C2346" t="str">
        <f>"9783658324995"</f>
        <v>9783658324995</v>
      </c>
      <c r="D2346" t="str">
        <f>"9783658325008"</f>
        <v>9783658325008</v>
      </c>
      <c r="E2346" t="s">
        <v>3972</v>
      </c>
      <c r="F2346" t="s">
        <v>3998</v>
      </c>
      <c r="G2346" s="1">
        <v>44351</v>
      </c>
      <c r="H2346" s="1">
        <v>44357</v>
      </c>
      <c r="I2346" t="s">
        <v>189</v>
      </c>
      <c r="L2346" t="s">
        <v>6522</v>
      </c>
    </row>
    <row r="2347" spans="1:40" x14ac:dyDescent="0.35">
      <c r="A2347">
        <v>6637099</v>
      </c>
      <c r="B2347" t="s">
        <v>6523</v>
      </c>
      <c r="C2347" t="str">
        <f>"9783030702496"</f>
        <v>9783030702496</v>
      </c>
      <c r="D2347" t="str">
        <f>"9783030702502"</f>
        <v>9783030702502</v>
      </c>
      <c r="E2347" t="s">
        <v>2289</v>
      </c>
      <c r="F2347" t="s">
        <v>2290</v>
      </c>
      <c r="G2347" s="1">
        <v>44351</v>
      </c>
      <c r="H2347" s="1">
        <v>44357</v>
      </c>
      <c r="I2347" t="s">
        <v>189</v>
      </c>
      <c r="K2347" t="s">
        <v>6524</v>
      </c>
      <c r="L2347" t="s">
        <v>6525</v>
      </c>
    </row>
    <row r="2348" spans="1:40" x14ac:dyDescent="0.35">
      <c r="A2348">
        <v>6637327</v>
      </c>
      <c r="B2348" t="s">
        <v>6526</v>
      </c>
      <c r="C2348" t="str">
        <f>""</f>
        <v/>
      </c>
      <c r="D2348" t="str">
        <f>"9788395609558"</f>
        <v>9788395609558</v>
      </c>
      <c r="E2348" t="s">
        <v>415</v>
      </c>
      <c r="F2348" t="s">
        <v>659</v>
      </c>
      <c r="G2348" s="1">
        <v>43871</v>
      </c>
      <c r="H2348" s="1">
        <v>44459</v>
      </c>
      <c r="I2348" t="s">
        <v>189</v>
      </c>
      <c r="J2348">
        <v>1</v>
      </c>
      <c r="L2348" t="s">
        <v>6527</v>
      </c>
      <c r="M2348" t="s">
        <v>219</v>
      </c>
      <c r="Q2348" t="s">
        <v>260</v>
      </c>
      <c r="R2348" t="s">
        <v>261</v>
      </c>
      <c r="S2348" t="s">
        <v>261</v>
      </c>
      <c r="T2348" t="s">
        <v>261</v>
      </c>
      <c r="U2348" t="s">
        <v>261</v>
      </c>
      <c r="V2348" t="s">
        <v>262</v>
      </c>
      <c r="W2348" t="s">
        <v>261</v>
      </c>
      <c r="X2348" t="s">
        <v>261</v>
      </c>
      <c r="Y2348" t="s">
        <v>261</v>
      </c>
      <c r="Z2348" t="s">
        <v>409</v>
      </c>
      <c r="AA2348" t="s">
        <v>409</v>
      </c>
      <c r="AB2348" t="s">
        <v>409</v>
      </c>
      <c r="AC2348" t="s">
        <v>409</v>
      </c>
      <c r="AD2348" t="s">
        <v>261</v>
      </c>
      <c r="AH2348" t="s">
        <v>262</v>
      </c>
      <c r="AI2348" t="s">
        <v>262</v>
      </c>
      <c r="AJ2348" t="s">
        <v>261</v>
      </c>
      <c r="AK2348" t="s">
        <v>261</v>
      </c>
      <c r="AM2348" t="s">
        <v>262</v>
      </c>
      <c r="AN2348" t="s">
        <v>6528</v>
      </c>
    </row>
    <row r="2349" spans="1:40" x14ac:dyDescent="0.35">
      <c r="A2349">
        <v>6637390</v>
      </c>
      <c r="B2349" t="s">
        <v>6529</v>
      </c>
      <c r="C2349" t="str">
        <f>"9783110622027"</f>
        <v>9783110622027</v>
      </c>
      <c r="D2349" t="str">
        <f>"9783110622034"</f>
        <v>9783110622034</v>
      </c>
      <c r="E2349" t="s">
        <v>415</v>
      </c>
      <c r="F2349" t="s">
        <v>415</v>
      </c>
      <c r="G2349" s="1">
        <v>43605</v>
      </c>
      <c r="H2349" s="1">
        <v>44459</v>
      </c>
      <c r="I2349" t="s">
        <v>189</v>
      </c>
      <c r="J2349">
        <v>1</v>
      </c>
      <c r="L2349" t="s">
        <v>6530</v>
      </c>
    </row>
    <row r="2350" spans="1:40" x14ac:dyDescent="0.35">
      <c r="A2350">
        <v>6637394</v>
      </c>
      <c r="B2350" t="s">
        <v>6531</v>
      </c>
      <c r="C2350" t="str">
        <f>""</f>
        <v/>
      </c>
      <c r="D2350" t="str">
        <f>"9783110647495"</f>
        <v>9783110647495</v>
      </c>
      <c r="E2350" t="s">
        <v>415</v>
      </c>
      <c r="F2350" t="s">
        <v>415</v>
      </c>
      <c r="G2350" s="1">
        <v>44130</v>
      </c>
      <c r="H2350" s="1">
        <v>44459</v>
      </c>
      <c r="I2350" t="s">
        <v>189</v>
      </c>
      <c r="J2350">
        <v>1</v>
      </c>
      <c r="L2350" t="s">
        <v>6532</v>
      </c>
    </row>
    <row r="2351" spans="1:40" x14ac:dyDescent="0.35">
      <c r="A2351">
        <v>6637395</v>
      </c>
      <c r="B2351" t="s">
        <v>6533</v>
      </c>
      <c r="C2351" t="str">
        <f>""</f>
        <v/>
      </c>
      <c r="D2351" t="str">
        <f>"9783110639063"</f>
        <v>9783110639063</v>
      </c>
      <c r="E2351" t="s">
        <v>415</v>
      </c>
      <c r="F2351" t="s">
        <v>415</v>
      </c>
      <c r="G2351" s="1">
        <v>43570</v>
      </c>
      <c r="H2351" s="1">
        <v>44459</v>
      </c>
      <c r="I2351" t="s">
        <v>189</v>
      </c>
      <c r="J2351">
        <v>1</v>
      </c>
      <c r="K2351" t="s">
        <v>2442</v>
      </c>
      <c r="L2351" t="s">
        <v>6534</v>
      </c>
    </row>
    <row r="2352" spans="1:40" x14ac:dyDescent="0.35">
      <c r="A2352">
        <v>6637396</v>
      </c>
      <c r="B2352" t="s">
        <v>6535</v>
      </c>
      <c r="C2352" t="str">
        <f>""</f>
        <v/>
      </c>
      <c r="D2352" t="str">
        <f>"9783110668797"</f>
        <v>9783110668797</v>
      </c>
      <c r="E2352" t="s">
        <v>415</v>
      </c>
      <c r="F2352" t="s">
        <v>415</v>
      </c>
      <c r="G2352" s="1">
        <v>44081</v>
      </c>
      <c r="H2352" s="1">
        <v>44459</v>
      </c>
      <c r="I2352" t="s">
        <v>189</v>
      </c>
      <c r="J2352">
        <v>1</v>
      </c>
      <c r="L2352" t="s">
        <v>3901</v>
      </c>
    </row>
    <row r="2353" spans="1:40" x14ac:dyDescent="0.35">
      <c r="A2353">
        <v>6637398</v>
      </c>
      <c r="B2353" t="s">
        <v>6536</v>
      </c>
      <c r="C2353" t="str">
        <f>""</f>
        <v/>
      </c>
      <c r="D2353" t="str">
        <f>"9783110684384"</f>
        <v>9783110684384</v>
      </c>
      <c r="E2353" t="s">
        <v>415</v>
      </c>
      <c r="F2353" t="s">
        <v>415</v>
      </c>
      <c r="G2353" s="1">
        <v>44081</v>
      </c>
      <c r="H2353" s="1">
        <v>44459</v>
      </c>
      <c r="I2353" t="s">
        <v>189</v>
      </c>
      <c r="J2353">
        <v>1</v>
      </c>
      <c r="K2353" t="s">
        <v>3034</v>
      </c>
      <c r="L2353" t="s">
        <v>6537</v>
      </c>
      <c r="M2353" t="s">
        <v>1831</v>
      </c>
      <c r="O2353">
        <v>91</v>
      </c>
      <c r="Q2353" t="s">
        <v>260</v>
      </c>
      <c r="R2353" t="s">
        <v>261</v>
      </c>
      <c r="S2353" t="s">
        <v>261</v>
      </c>
      <c r="T2353" t="s">
        <v>261</v>
      </c>
      <c r="U2353" t="s">
        <v>261</v>
      </c>
      <c r="V2353" t="s">
        <v>262</v>
      </c>
      <c r="W2353" t="s">
        <v>261</v>
      </c>
      <c r="X2353" t="s">
        <v>261</v>
      </c>
      <c r="Y2353" t="s">
        <v>261</v>
      </c>
      <c r="Z2353" t="s">
        <v>409</v>
      </c>
      <c r="AA2353" t="s">
        <v>409</v>
      </c>
      <c r="AB2353" t="s">
        <v>409</v>
      </c>
      <c r="AC2353" t="s">
        <v>409</v>
      </c>
      <c r="AD2353" t="s">
        <v>261</v>
      </c>
      <c r="AH2353" t="s">
        <v>262</v>
      </c>
      <c r="AI2353" t="s">
        <v>262</v>
      </c>
      <c r="AJ2353" t="s">
        <v>261</v>
      </c>
      <c r="AK2353" t="s">
        <v>261</v>
      </c>
      <c r="AM2353" t="s">
        <v>262</v>
      </c>
      <c r="AN2353" t="s">
        <v>6538</v>
      </c>
    </row>
    <row r="2354" spans="1:40" x14ac:dyDescent="0.35">
      <c r="A2354">
        <v>6637400</v>
      </c>
      <c r="B2354" t="s">
        <v>6539</v>
      </c>
      <c r="C2354" t="str">
        <f>"9783110610444"</f>
        <v>9783110610444</v>
      </c>
      <c r="D2354" t="str">
        <f>"9783110615630"</f>
        <v>9783110615630</v>
      </c>
      <c r="E2354" t="s">
        <v>415</v>
      </c>
      <c r="F2354" t="s">
        <v>415</v>
      </c>
      <c r="G2354" s="1">
        <v>43556</v>
      </c>
      <c r="H2354" s="1">
        <v>44459</v>
      </c>
      <c r="I2354" t="s">
        <v>189</v>
      </c>
      <c r="J2354">
        <v>1</v>
      </c>
      <c r="L2354" t="s">
        <v>6540</v>
      </c>
    </row>
    <row r="2355" spans="1:40" x14ac:dyDescent="0.35">
      <c r="A2355">
        <v>6637401</v>
      </c>
      <c r="B2355" t="s">
        <v>6541</v>
      </c>
      <c r="C2355" t="str">
        <f>""</f>
        <v/>
      </c>
      <c r="D2355" t="str">
        <f>"9783110657746"</f>
        <v>9783110657746</v>
      </c>
      <c r="E2355" t="s">
        <v>415</v>
      </c>
      <c r="F2355" t="s">
        <v>665</v>
      </c>
      <c r="G2355" s="1">
        <v>43801</v>
      </c>
      <c r="H2355" s="1">
        <v>44459</v>
      </c>
      <c r="I2355" t="s">
        <v>189</v>
      </c>
      <c r="J2355">
        <v>1</v>
      </c>
      <c r="L2355" t="s">
        <v>6542</v>
      </c>
      <c r="M2355" t="s">
        <v>239</v>
      </c>
      <c r="O2355" t="s">
        <v>6543</v>
      </c>
      <c r="Q2355" t="s">
        <v>408</v>
      </c>
      <c r="R2355" t="s">
        <v>261</v>
      </c>
      <c r="S2355" t="s">
        <v>261</v>
      </c>
      <c r="T2355" t="s">
        <v>261</v>
      </c>
      <c r="U2355" t="s">
        <v>261</v>
      </c>
      <c r="V2355" t="s">
        <v>262</v>
      </c>
      <c r="W2355" t="s">
        <v>261</v>
      </c>
      <c r="X2355" t="s">
        <v>261</v>
      </c>
      <c r="Y2355" t="s">
        <v>261</v>
      </c>
      <c r="Z2355" t="s">
        <v>409</v>
      </c>
      <c r="AA2355" t="s">
        <v>409</v>
      </c>
      <c r="AB2355" t="s">
        <v>409</v>
      </c>
      <c r="AC2355" t="s">
        <v>409</v>
      </c>
      <c r="AD2355" t="s">
        <v>261</v>
      </c>
      <c r="AH2355" t="s">
        <v>262</v>
      </c>
      <c r="AI2355" t="s">
        <v>262</v>
      </c>
      <c r="AJ2355" t="s">
        <v>261</v>
      </c>
      <c r="AK2355" t="s">
        <v>261</v>
      </c>
      <c r="AM2355" t="s">
        <v>262</v>
      </c>
      <c r="AN2355" t="s">
        <v>6544</v>
      </c>
    </row>
    <row r="2356" spans="1:40" x14ac:dyDescent="0.35">
      <c r="A2356">
        <v>6637402</v>
      </c>
      <c r="B2356" t="s">
        <v>6545</v>
      </c>
      <c r="C2356" t="str">
        <f>""</f>
        <v/>
      </c>
      <c r="D2356" t="str">
        <f>"9783110697179"</f>
        <v>9783110697179</v>
      </c>
      <c r="E2356" t="s">
        <v>415</v>
      </c>
      <c r="F2356" t="s">
        <v>415</v>
      </c>
      <c r="G2356" s="1">
        <v>44130</v>
      </c>
      <c r="H2356" s="1">
        <v>44459</v>
      </c>
      <c r="I2356" t="s">
        <v>189</v>
      </c>
      <c r="J2356">
        <v>1</v>
      </c>
      <c r="K2356" t="s">
        <v>6546</v>
      </c>
      <c r="L2356" t="s">
        <v>6547</v>
      </c>
      <c r="M2356" t="s">
        <v>219</v>
      </c>
    </row>
    <row r="2357" spans="1:40" x14ac:dyDescent="0.35">
      <c r="A2357">
        <v>6637406</v>
      </c>
      <c r="B2357" t="s">
        <v>6548</v>
      </c>
      <c r="C2357" t="str">
        <f>""</f>
        <v/>
      </c>
      <c r="D2357" t="str">
        <f>"9783110629040"</f>
        <v>9783110629040</v>
      </c>
      <c r="E2357" t="s">
        <v>415</v>
      </c>
      <c r="F2357" t="s">
        <v>415</v>
      </c>
      <c r="G2357" s="1">
        <v>43479</v>
      </c>
      <c r="H2357" s="1">
        <v>44459</v>
      </c>
      <c r="I2357" t="s">
        <v>189</v>
      </c>
      <c r="J2357">
        <v>1</v>
      </c>
      <c r="K2357" t="s">
        <v>1159</v>
      </c>
      <c r="L2357" t="s">
        <v>6549</v>
      </c>
    </row>
    <row r="2358" spans="1:40" x14ac:dyDescent="0.35">
      <c r="A2358">
        <v>6637407</v>
      </c>
      <c r="B2358" t="s">
        <v>6550</v>
      </c>
      <c r="C2358" t="str">
        <f>""</f>
        <v/>
      </c>
      <c r="D2358" t="str">
        <f>"9783110660586"</f>
        <v>9783110660586</v>
      </c>
      <c r="E2358" t="s">
        <v>415</v>
      </c>
      <c r="F2358" t="s">
        <v>415</v>
      </c>
      <c r="G2358" s="1">
        <v>43710</v>
      </c>
      <c r="H2358" s="1">
        <v>44459</v>
      </c>
      <c r="I2358" t="s">
        <v>189</v>
      </c>
      <c r="J2358">
        <v>1</v>
      </c>
      <c r="L2358" t="s">
        <v>50</v>
      </c>
      <c r="M2358" t="s">
        <v>219</v>
      </c>
      <c r="O2358" s="2">
        <v>80920094</v>
      </c>
      <c r="Q2358" t="s">
        <v>260</v>
      </c>
      <c r="R2358" t="s">
        <v>261</v>
      </c>
      <c r="S2358" t="s">
        <v>261</v>
      </c>
      <c r="T2358" t="s">
        <v>261</v>
      </c>
      <c r="U2358" t="s">
        <v>261</v>
      </c>
      <c r="V2358" t="s">
        <v>262</v>
      </c>
      <c r="W2358" t="s">
        <v>261</v>
      </c>
      <c r="X2358" t="s">
        <v>261</v>
      </c>
      <c r="Y2358" t="s">
        <v>261</v>
      </c>
      <c r="Z2358" t="s">
        <v>409</v>
      </c>
      <c r="AA2358" t="s">
        <v>409</v>
      </c>
      <c r="AB2358" t="s">
        <v>409</v>
      </c>
      <c r="AC2358" t="s">
        <v>409</v>
      </c>
      <c r="AD2358" t="s">
        <v>261</v>
      </c>
      <c r="AH2358" t="s">
        <v>262</v>
      </c>
      <c r="AI2358" t="s">
        <v>262</v>
      </c>
      <c r="AJ2358" t="s">
        <v>261</v>
      </c>
      <c r="AK2358" t="s">
        <v>261</v>
      </c>
      <c r="AM2358" t="s">
        <v>262</v>
      </c>
      <c r="AN2358" t="s">
        <v>6551</v>
      </c>
    </row>
    <row r="2359" spans="1:40" x14ac:dyDescent="0.35">
      <c r="A2359">
        <v>6637408</v>
      </c>
      <c r="B2359" t="s">
        <v>6552</v>
      </c>
      <c r="C2359" t="str">
        <f>""</f>
        <v/>
      </c>
      <c r="D2359" t="str">
        <f>"9783110667219"</f>
        <v>9783110667219</v>
      </c>
      <c r="E2359" t="s">
        <v>415</v>
      </c>
      <c r="F2359" t="s">
        <v>415</v>
      </c>
      <c r="G2359" s="1">
        <v>43941</v>
      </c>
      <c r="H2359" s="1">
        <v>44459</v>
      </c>
      <c r="I2359" t="s">
        <v>189</v>
      </c>
      <c r="J2359">
        <v>1</v>
      </c>
      <c r="L2359" t="s">
        <v>6553</v>
      </c>
      <c r="M2359" t="s">
        <v>339</v>
      </c>
      <c r="Q2359" t="s">
        <v>260</v>
      </c>
      <c r="R2359" t="s">
        <v>261</v>
      </c>
      <c r="S2359" t="s">
        <v>261</v>
      </c>
      <c r="T2359" t="s">
        <v>261</v>
      </c>
      <c r="U2359" t="s">
        <v>261</v>
      </c>
      <c r="V2359" t="s">
        <v>262</v>
      </c>
      <c r="W2359" t="s">
        <v>261</v>
      </c>
      <c r="X2359" t="s">
        <v>261</v>
      </c>
      <c r="Y2359" t="s">
        <v>261</v>
      </c>
      <c r="Z2359" t="s">
        <v>409</v>
      </c>
      <c r="AA2359" t="s">
        <v>409</v>
      </c>
      <c r="AB2359" t="s">
        <v>409</v>
      </c>
      <c r="AC2359" t="s">
        <v>409</v>
      </c>
      <c r="AD2359" t="s">
        <v>261</v>
      </c>
      <c r="AH2359" t="s">
        <v>262</v>
      </c>
      <c r="AI2359" t="s">
        <v>262</v>
      </c>
      <c r="AJ2359" t="s">
        <v>261</v>
      </c>
      <c r="AK2359" t="s">
        <v>261</v>
      </c>
      <c r="AM2359" t="s">
        <v>262</v>
      </c>
      <c r="AN2359" t="s">
        <v>6554</v>
      </c>
    </row>
    <row r="2360" spans="1:40" x14ac:dyDescent="0.35">
      <c r="A2360">
        <v>6637409</v>
      </c>
      <c r="B2360" t="s">
        <v>6555</v>
      </c>
      <c r="C2360" t="str">
        <f>""</f>
        <v/>
      </c>
      <c r="D2360" t="str">
        <f>"9783110633566"</f>
        <v>9783110633566</v>
      </c>
      <c r="E2360" t="s">
        <v>415</v>
      </c>
      <c r="F2360" t="s">
        <v>415</v>
      </c>
      <c r="G2360" s="1">
        <v>43787</v>
      </c>
      <c r="H2360" s="1">
        <v>44459</v>
      </c>
      <c r="I2360" t="s">
        <v>189</v>
      </c>
      <c r="J2360">
        <v>1</v>
      </c>
      <c r="K2360" t="s">
        <v>1159</v>
      </c>
      <c r="L2360" t="s">
        <v>53</v>
      </c>
      <c r="M2360" t="s">
        <v>578</v>
      </c>
    </row>
    <row r="2361" spans="1:40" x14ac:dyDescent="0.35">
      <c r="A2361">
        <v>6637411</v>
      </c>
      <c r="B2361" t="s">
        <v>6556</v>
      </c>
      <c r="C2361" t="str">
        <f>""</f>
        <v/>
      </c>
      <c r="D2361" t="str">
        <f>"9783422981454"</f>
        <v>9783422981454</v>
      </c>
      <c r="E2361" t="s">
        <v>6557</v>
      </c>
      <c r="F2361" t="s">
        <v>6557</v>
      </c>
      <c r="G2361" s="1">
        <v>43759</v>
      </c>
      <c r="H2361" s="1">
        <v>44459</v>
      </c>
      <c r="I2361" t="s">
        <v>189</v>
      </c>
      <c r="J2361">
        <v>1</v>
      </c>
      <c r="L2361" t="s">
        <v>6558</v>
      </c>
      <c r="M2361" t="s">
        <v>578</v>
      </c>
      <c r="O2361" t="s">
        <v>6559</v>
      </c>
      <c r="Q2361" t="s">
        <v>408</v>
      </c>
      <c r="R2361" t="s">
        <v>261</v>
      </c>
      <c r="S2361" t="s">
        <v>261</v>
      </c>
      <c r="T2361" t="s">
        <v>261</v>
      </c>
      <c r="U2361" t="s">
        <v>261</v>
      </c>
      <c r="V2361" t="s">
        <v>262</v>
      </c>
      <c r="W2361" t="s">
        <v>261</v>
      </c>
      <c r="X2361" t="s">
        <v>261</v>
      </c>
      <c r="Y2361" t="s">
        <v>261</v>
      </c>
      <c r="Z2361" t="s">
        <v>409</v>
      </c>
      <c r="AA2361" t="s">
        <v>409</v>
      </c>
      <c r="AB2361" t="s">
        <v>409</v>
      </c>
      <c r="AC2361" t="s">
        <v>409</v>
      </c>
      <c r="AD2361" t="s">
        <v>261</v>
      </c>
      <c r="AH2361" t="s">
        <v>262</v>
      </c>
      <c r="AI2361" t="s">
        <v>262</v>
      </c>
      <c r="AJ2361" t="s">
        <v>261</v>
      </c>
      <c r="AK2361" t="s">
        <v>261</v>
      </c>
      <c r="AM2361" t="s">
        <v>262</v>
      </c>
      <c r="AN2361" t="s">
        <v>6560</v>
      </c>
    </row>
    <row r="2362" spans="1:40" x14ac:dyDescent="0.35">
      <c r="A2362">
        <v>6637413</v>
      </c>
      <c r="B2362" t="s">
        <v>6561</v>
      </c>
      <c r="C2362" t="str">
        <f>""</f>
        <v/>
      </c>
      <c r="D2362" t="str">
        <f>"9789048543137"</f>
        <v>9789048543137</v>
      </c>
      <c r="E2362" t="s">
        <v>361</v>
      </c>
      <c r="F2362" t="s">
        <v>361</v>
      </c>
      <c r="G2362" s="1">
        <v>43937</v>
      </c>
      <c r="H2362" s="1">
        <v>44483</v>
      </c>
      <c r="I2362" t="s">
        <v>189</v>
      </c>
      <c r="J2362">
        <v>1</v>
      </c>
      <c r="L2362" t="s">
        <v>6562</v>
      </c>
    </row>
    <row r="2363" spans="1:40" x14ac:dyDescent="0.35">
      <c r="A2363">
        <v>6637415</v>
      </c>
      <c r="B2363" t="s">
        <v>6563</v>
      </c>
      <c r="C2363" t="str">
        <f>"9783110629132"</f>
        <v>9783110629132</v>
      </c>
      <c r="D2363" t="str">
        <f>"9783110629156"</f>
        <v>9783110629156</v>
      </c>
      <c r="E2363" t="s">
        <v>415</v>
      </c>
      <c r="F2363" t="s">
        <v>415</v>
      </c>
      <c r="G2363" s="1">
        <v>43494</v>
      </c>
      <c r="H2363" s="1">
        <v>44459</v>
      </c>
      <c r="I2363" t="s">
        <v>189</v>
      </c>
      <c r="J2363">
        <v>1</v>
      </c>
      <c r="K2363" t="s">
        <v>1159</v>
      </c>
      <c r="L2363" t="s">
        <v>1172</v>
      </c>
    </row>
    <row r="2364" spans="1:40" x14ac:dyDescent="0.35">
      <c r="A2364">
        <v>6637417</v>
      </c>
      <c r="B2364" t="s">
        <v>6564</v>
      </c>
      <c r="C2364" t="str">
        <f>"9783110614466"</f>
        <v>9783110614466</v>
      </c>
      <c r="D2364" t="str">
        <f>"9783110614442"</f>
        <v>9783110614442</v>
      </c>
      <c r="E2364" t="s">
        <v>415</v>
      </c>
      <c r="F2364" t="s">
        <v>415</v>
      </c>
      <c r="G2364" s="1">
        <v>43731</v>
      </c>
      <c r="H2364" s="1">
        <v>44459</v>
      </c>
      <c r="I2364" t="s">
        <v>189</v>
      </c>
      <c r="J2364">
        <v>1</v>
      </c>
      <c r="L2364" t="s">
        <v>6565</v>
      </c>
    </row>
    <row r="2365" spans="1:40" x14ac:dyDescent="0.35">
      <c r="A2365">
        <v>6637419</v>
      </c>
      <c r="B2365" t="s">
        <v>6566</v>
      </c>
      <c r="C2365" t="str">
        <f>""</f>
        <v/>
      </c>
      <c r="D2365" t="str">
        <f>"9789048544271"</f>
        <v>9789048544271</v>
      </c>
      <c r="E2365" t="s">
        <v>361</v>
      </c>
      <c r="F2365" t="s">
        <v>361</v>
      </c>
      <c r="G2365" s="1">
        <v>43776</v>
      </c>
      <c r="H2365" s="1">
        <v>44483</v>
      </c>
      <c r="I2365" t="s">
        <v>189</v>
      </c>
      <c r="J2365">
        <v>1</v>
      </c>
      <c r="K2365" t="s">
        <v>6567</v>
      </c>
      <c r="L2365" t="s">
        <v>6568</v>
      </c>
      <c r="M2365" t="s">
        <v>329</v>
      </c>
    </row>
    <row r="2366" spans="1:40" x14ac:dyDescent="0.35">
      <c r="A2366">
        <v>6637431</v>
      </c>
      <c r="B2366" t="s">
        <v>6569</v>
      </c>
      <c r="C2366" t="str">
        <f>""</f>
        <v/>
      </c>
      <c r="D2366" t="str">
        <f>"9783110668902"</f>
        <v>9783110668902</v>
      </c>
      <c r="E2366" t="s">
        <v>415</v>
      </c>
      <c r="F2366" t="s">
        <v>415</v>
      </c>
      <c r="G2366" s="1">
        <v>44144</v>
      </c>
      <c r="H2366" s="1">
        <v>44459</v>
      </c>
      <c r="I2366" t="s">
        <v>189</v>
      </c>
      <c r="J2366">
        <v>1</v>
      </c>
      <c r="L2366" t="s">
        <v>6570</v>
      </c>
      <c r="M2366" t="s">
        <v>219</v>
      </c>
    </row>
    <row r="2367" spans="1:40" x14ac:dyDescent="0.35">
      <c r="A2367">
        <v>6637432</v>
      </c>
      <c r="B2367" t="s">
        <v>6571</v>
      </c>
      <c r="C2367" t="str">
        <f>"9781641891455"</f>
        <v>9781641891455</v>
      </c>
      <c r="D2367" t="str">
        <f>"9781641891462"</f>
        <v>9781641891462</v>
      </c>
      <c r="E2367" t="s">
        <v>3422</v>
      </c>
      <c r="F2367" t="s">
        <v>3422</v>
      </c>
      <c r="G2367" s="1">
        <v>43890</v>
      </c>
      <c r="H2367" s="1">
        <v>44483</v>
      </c>
      <c r="I2367" t="s">
        <v>189</v>
      </c>
      <c r="J2367">
        <v>1</v>
      </c>
      <c r="K2367" t="s">
        <v>6572</v>
      </c>
      <c r="L2367" t="s">
        <v>6573</v>
      </c>
      <c r="M2367" t="s">
        <v>329</v>
      </c>
      <c r="O2367" s="2">
        <v>30540940902</v>
      </c>
      <c r="Q2367" t="s">
        <v>260</v>
      </c>
      <c r="R2367" t="s">
        <v>261</v>
      </c>
      <c r="S2367" t="s">
        <v>261</v>
      </c>
      <c r="T2367" t="s">
        <v>261</v>
      </c>
      <c r="U2367" t="s">
        <v>261</v>
      </c>
      <c r="V2367" t="s">
        <v>262</v>
      </c>
      <c r="W2367" t="s">
        <v>261</v>
      </c>
      <c r="X2367" t="s">
        <v>261</v>
      </c>
      <c r="Y2367" t="s">
        <v>261</v>
      </c>
      <c r="Z2367" t="s">
        <v>409</v>
      </c>
      <c r="AA2367" t="s">
        <v>409</v>
      </c>
      <c r="AB2367" t="s">
        <v>409</v>
      </c>
      <c r="AC2367" t="s">
        <v>409</v>
      </c>
      <c r="AD2367" t="s">
        <v>261</v>
      </c>
      <c r="AH2367" t="s">
        <v>262</v>
      </c>
      <c r="AI2367" t="s">
        <v>262</v>
      </c>
      <c r="AJ2367" t="s">
        <v>261</v>
      </c>
      <c r="AK2367" t="s">
        <v>261</v>
      </c>
      <c r="AM2367" t="s">
        <v>262</v>
      </c>
      <c r="AN2367" t="s">
        <v>6574</v>
      </c>
    </row>
    <row r="2368" spans="1:40" x14ac:dyDescent="0.35">
      <c r="A2368">
        <v>6637433</v>
      </c>
      <c r="B2368" t="s">
        <v>6575</v>
      </c>
      <c r="C2368" t="str">
        <f>""</f>
        <v/>
      </c>
      <c r="D2368" t="str">
        <f>"9783110662955"</f>
        <v>9783110662955</v>
      </c>
      <c r="E2368" t="s">
        <v>415</v>
      </c>
      <c r="F2368" t="s">
        <v>6576</v>
      </c>
      <c r="G2368" s="1">
        <v>43591</v>
      </c>
      <c r="H2368" s="1">
        <v>44459</v>
      </c>
      <c r="I2368" t="s">
        <v>189</v>
      </c>
      <c r="J2368">
        <v>1</v>
      </c>
      <c r="L2368" t="s">
        <v>6577</v>
      </c>
      <c r="M2368" t="s">
        <v>339</v>
      </c>
      <c r="Q2368" t="s">
        <v>408</v>
      </c>
      <c r="R2368" t="s">
        <v>261</v>
      </c>
      <c r="S2368" t="s">
        <v>261</v>
      </c>
      <c r="T2368" t="s">
        <v>261</v>
      </c>
      <c r="U2368" t="s">
        <v>261</v>
      </c>
      <c r="V2368" t="s">
        <v>262</v>
      </c>
      <c r="W2368" t="s">
        <v>261</v>
      </c>
      <c r="X2368" t="s">
        <v>261</v>
      </c>
      <c r="Y2368" t="s">
        <v>261</v>
      </c>
      <c r="Z2368" t="s">
        <v>409</v>
      </c>
      <c r="AA2368" t="s">
        <v>409</v>
      </c>
      <c r="AB2368" t="s">
        <v>409</v>
      </c>
      <c r="AC2368" t="s">
        <v>409</v>
      </c>
      <c r="AD2368" t="s">
        <v>261</v>
      </c>
      <c r="AH2368" t="s">
        <v>262</v>
      </c>
      <c r="AI2368" t="s">
        <v>262</v>
      </c>
      <c r="AJ2368" t="s">
        <v>261</v>
      </c>
      <c r="AK2368" t="s">
        <v>261</v>
      </c>
      <c r="AM2368" t="s">
        <v>262</v>
      </c>
      <c r="AN2368" t="s">
        <v>6578</v>
      </c>
    </row>
    <row r="2369" spans="1:40" x14ac:dyDescent="0.35">
      <c r="A2369">
        <v>6637434</v>
      </c>
      <c r="B2369" t="s">
        <v>6579</v>
      </c>
      <c r="C2369" t="str">
        <f>""</f>
        <v/>
      </c>
      <c r="D2369" t="str">
        <f>"9783110641813"</f>
        <v>9783110641813</v>
      </c>
      <c r="E2369" t="s">
        <v>415</v>
      </c>
      <c r="F2369" t="s">
        <v>415</v>
      </c>
      <c r="G2369" s="1">
        <v>44158</v>
      </c>
      <c r="H2369" s="1">
        <v>44459</v>
      </c>
      <c r="I2369" t="s">
        <v>189</v>
      </c>
      <c r="J2369">
        <v>1</v>
      </c>
      <c r="K2369" t="s">
        <v>2717</v>
      </c>
      <c r="L2369" t="s">
        <v>6580</v>
      </c>
    </row>
    <row r="2370" spans="1:40" x14ac:dyDescent="0.35">
      <c r="A2370">
        <v>6637437</v>
      </c>
      <c r="B2370" t="s">
        <v>6581</v>
      </c>
      <c r="C2370" t="str">
        <f>"9783110617238"</f>
        <v>9783110617238</v>
      </c>
      <c r="D2370" t="str">
        <f>"9783110617245"</f>
        <v>9783110617245</v>
      </c>
      <c r="E2370" t="s">
        <v>415</v>
      </c>
      <c r="F2370" t="s">
        <v>665</v>
      </c>
      <c r="G2370" s="1">
        <v>43620</v>
      </c>
      <c r="H2370" s="1">
        <v>44459</v>
      </c>
      <c r="I2370" t="s">
        <v>189</v>
      </c>
      <c r="J2370">
        <v>1</v>
      </c>
      <c r="L2370" t="s">
        <v>657</v>
      </c>
    </row>
    <row r="2371" spans="1:40" x14ac:dyDescent="0.35">
      <c r="A2371">
        <v>6637438</v>
      </c>
      <c r="B2371" t="s">
        <v>6582</v>
      </c>
      <c r="C2371" t="str">
        <f>""</f>
        <v/>
      </c>
      <c r="D2371" t="str">
        <f>"9789048550203"</f>
        <v>9789048550203</v>
      </c>
      <c r="E2371" t="s">
        <v>361</v>
      </c>
      <c r="F2371" t="s">
        <v>361</v>
      </c>
      <c r="G2371" s="1">
        <v>43811</v>
      </c>
      <c r="H2371" s="1">
        <v>44483</v>
      </c>
      <c r="I2371" t="s">
        <v>189</v>
      </c>
      <c r="J2371">
        <v>1</v>
      </c>
      <c r="L2371" t="s">
        <v>6583</v>
      </c>
    </row>
    <row r="2372" spans="1:40" x14ac:dyDescent="0.35">
      <c r="A2372">
        <v>6637440</v>
      </c>
      <c r="B2372" t="s">
        <v>6584</v>
      </c>
      <c r="C2372" t="str">
        <f>""</f>
        <v/>
      </c>
      <c r="D2372" t="str">
        <f>"9783110627176"</f>
        <v>9783110627176</v>
      </c>
      <c r="E2372" t="s">
        <v>415</v>
      </c>
      <c r="F2372" t="s">
        <v>415</v>
      </c>
      <c r="G2372" s="1">
        <v>44249</v>
      </c>
      <c r="H2372" s="1">
        <v>44459</v>
      </c>
      <c r="I2372" t="s">
        <v>189</v>
      </c>
      <c r="J2372">
        <v>1</v>
      </c>
      <c r="K2372" t="s">
        <v>3014</v>
      </c>
      <c r="L2372" t="s">
        <v>6585</v>
      </c>
      <c r="M2372" t="s">
        <v>239</v>
      </c>
    </row>
    <row r="2373" spans="1:40" x14ac:dyDescent="0.35">
      <c r="A2373">
        <v>6637441</v>
      </c>
      <c r="B2373" t="s">
        <v>6586</v>
      </c>
      <c r="C2373" t="str">
        <f>""</f>
        <v/>
      </c>
      <c r="D2373" t="str">
        <f>"9783110642261"</f>
        <v>9783110642261</v>
      </c>
      <c r="E2373" t="s">
        <v>415</v>
      </c>
      <c r="F2373" t="s">
        <v>415</v>
      </c>
      <c r="G2373" s="1">
        <v>43528</v>
      </c>
      <c r="H2373" s="1">
        <v>44459</v>
      </c>
      <c r="I2373" t="s">
        <v>189</v>
      </c>
      <c r="J2373">
        <v>1</v>
      </c>
      <c r="K2373" t="s">
        <v>1159</v>
      </c>
      <c r="L2373" t="s">
        <v>53</v>
      </c>
    </row>
    <row r="2374" spans="1:40" x14ac:dyDescent="0.35">
      <c r="A2374">
        <v>6637447</v>
      </c>
      <c r="B2374" t="s">
        <v>6587</v>
      </c>
      <c r="C2374" t="str">
        <f>""</f>
        <v/>
      </c>
      <c r="D2374" t="str">
        <f>"9789048529056"</f>
        <v>9789048529056</v>
      </c>
      <c r="E2374" t="s">
        <v>361</v>
      </c>
      <c r="F2374" t="s">
        <v>361</v>
      </c>
      <c r="G2374" s="1">
        <v>44014</v>
      </c>
      <c r="H2374" s="1">
        <v>44483</v>
      </c>
      <c r="I2374" t="s">
        <v>189</v>
      </c>
      <c r="J2374">
        <v>1</v>
      </c>
      <c r="K2374" t="s">
        <v>580</v>
      </c>
      <c r="L2374" t="s">
        <v>6588</v>
      </c>
    </row>
    <row r="2375" spans="1:40" x14ac:dyDescent="0.35">
      <c r="A2375">
        <v>6637450</v>
      </c>
      <c r="B2375" t="s">
        <v>6589</v>
      </c>
      <c r="C2375" t="str">
        <f>""</f>
        <v/>
      </c>
      <c r="D2375" t="str">
        <f>"9783110668926"</f>
        <v>9783110668926</v>
      </c>
      <c r="E2375" t="s">
        <v>415</v>
      </c>
      <c r="F2375" t="s">
        <v>415</v>
      </c>
      <c r="G2375" s="1">
        <v>44172</v>
      </c>
      <c r="H2375" s="1">
        <v>44459</v>
      </c>
      <c r="I2375" t="s">
        <v>189</v>
      </c>
      <c r="J2375">
        <v>1</v>
      </c>
      <c r="K2375" t="s">
        <v>6590</v>
      </c>
      <c r="L2375" t="s">
        <v>6591</v>
      </c>
    </row>
    <row r="2376" spans="1:40" x14ac:dyDescent="0.35">
      <c r="A2376">
        <v>6637451</v>
      </c>
      <c r="B2376" t="s">
        <v>6592</v>
      </c>
      <c r="C2376" t="str">
        <f>""</f>
        <v/>
      </c>
      <c r="D2376" t="str">
        <f>"9783110671773"</f>
        <v>9783110671773</v>
      </c>
      <c r="E2376" t="s">
        <v>415</v>
      </c>
      <c r="F2376" t="s">
        <v>415</v>
      </c>
      <c r="G2376" s="1">
        <v>44130</v>
      </c>
      <c r="H2376" s="1">
        <v>44459</v>
      </c>
      <c r="I2376" t="s">
        <v>189</v>
      </c>
      <c r="J2376">
        <v>1</v>
      </c>
      <c r="L2376" t="s">
        <v>3882</v>
      </c>
    </row>
    <row r="2377" spans="1:40" x14ac:dyDescent="0.35">
      <c r="A2377">
        <v>6637452</v>
      </c>
      <c r="B2377" t="s">
        <v>6593</v>
      </c>
      <c r="C2377" t="str">
        <f>""</f>
        <v/>
      </c>
      <c r="D2377" t="str">
        <f>"9783110622300"</f>
        <v>9783110622300</v>
      </c>
      <c r="E2377" t="s">
        <v>415</v>
      </c>
      <c r="F2377" t="s">
        <v>665</v>
      </c>
      <c r="G2377" s="1">
        <v>43731</v>
      </c>
      <c r="H2377" s="1">
        <v>44459</v>
      </c>
      <c r="I2377" t="s">
        <v>189</v>
      </c>
      <c r="J2377">
        <v>1</v>
      </c>
      <c r="K2377" t="s">
        <v>6594</v>
      </c>
      <c r="L2377" t="s">
        <v>6595</v>
      </c>
      <c r="M2377" t="s">
        <v>239</v>
      </c>
      <c r="Q2377" t="s">
        <v>408</v>
      </c>
      <c r="R2377" t="s">
        <v>261</v>
      </c>
      <c r="S2377" t="s">
        <v>261</v>
      </c>
      <c r="T2377" t="s">
        <v>261</v>
      </c>
      <c r="U2377" t="s">
        <v>261</v>
      </c>
      <c r="V2377" t="s">
        <v>262</v>
      </c>
      <c r="W2377" t="s">
        <v>261</v>
      </c>
      <c r="X2377" t="s">
        <v>261</v>
      </c>
      <c r="Y2377" t="s">
        <v>261</v>
      </c>
      <c r="Z2377" t="s">
        <v>409</v>
      </c>
      <c r="AA2377" t="s">
        <v>409</v>
      </c>
      <c r="AB2377" t="s">
        <v>409</v>
      </c>
      <c r="AC2377" t="s">
        <v>409</v>
      </c>
      <c r="AD2377" t="s">
        <v>261</v>
      </c>
      <c r="AH2377" t="s">
        <v>262</v>
      </c>
      <c r="AI2377" t="s">
        <v>262</v>
      </c>
      <c r="AJ2377" t="s">
        <v>261</v>
      </c>
      <c r="AK2377" t="s">
        <v>261</v>
      </c>
      <c r="AM2377" t="s">
        <v>262</v>
      </c>
      <c r="AN2377" t="s">
        <v>6596</v>
      </c>
    </row>
    <row r="2378" spans="1:40" x14ac:dyDescent="0.35">
      <c r="A2378">
        <v>6637456</v>
      </c>
      <c r="B2378" t="s">
        <v>6597</v>
      </c>
      <c r="C2378" t="str">
        <f>""</f>
        <v/>
      </c>
      <c r="D2378" t="str">
        <f>"9783110655582"</f>
        <v>9783110655582</v>
      </c>
      <c r="E2378" t="s">
        <v>415</v>
      </c>
      <c r="F2378" t="s">
        <v>415</v>
      </c>
      <c r="G2378" s="1">
        <v>44095</v>
      </c>
      <c r="H2378" s="1">
        <v>44459</v>
      </c>
      <c r="I2378" t="s">
        <v>189</v>
      </c>
      <c r="J2378">
        <v>1</v>
      </c>
      <c r="L2378" t="s">
        <v>6598</v>
      </c>
    </row>
    <row r="2379" spans="1:40" x14ac:dyDescent="0.35">
      <c r="A2379">
        <v>6637462</v>
      </c>
      <c r="B2379" t="s">
        <v>6599</v>
      </c>
      <c r="C2379" t="str">
        <f>""</f>
        <v/>
      </c>
      <c r="D2379" t="str">
        <f>"9789048544509"</f>
        <v>9789048544509</v>
      </c>
      <c r="E2379" t="s">
        <v>361</v>
      </c>
      <c r="F2379" t="s">
        <v>361</v>
      </c>
      <c r="G2379" s="1">
        <v>43808</v>
      </c>
      <c r="H2379" s="1">
        <v>44483</v>
      </c>
      <c r="I2379" t="s">
        <v>189</v>
      </c>
      <c r="J2379">
        <v>1</v>
      </c>
      <c r="K2379" t="s">
        <v>2167</v>
      </c>
      <c r="L2379" t="s">
        <v>6600</v>
      </c>
    </row>
    <row r="2380" spans="1:40" x14ac:dyDescent="0.35">
      <c r="A2380">
        <v>6637463</v>
      </c>
      <c r="B2380" t="s">
        <v>6601</v>
      </c>
      <c r="C2380" t="str">
        <f>""</f>
        <v/>
      </c>
      <c r="D2380" t="str">
        <f>"9783110652741"</f>
        <v>9783110652741</v>
      </c>
      <c r="E2380" t="s">
        <v>415</v>
      </c>
      <c r="F2380" t="s">
        <v>665</v>
      </c>
      <c r="G2380" s="1">
        <v>43620</v>
      </c>
      <c r="H2380" s="1">
        <v>44459</v>
      </c>
      <c r="I2380" t="s">
        <v>189</v>
      </c>
      <c r="J2380">
        <v>1</v>
      </c>
      <c r="L2380" t="s">
        <v>6602</v>
      </c>
      <c r="M2380" t="s">
        <v>249</v>
      </c>
      <c r="N2380" t="s">
        <v>6603</v>
      </c>
      <c r="Q2380" t="s">
        <v>408</v>
      </c>
      <c r="R2380" t="s">
        <v>261</v>
      </c>
      <c r="S2380" t="s">
        <v>261</v>
      </c>
      <c r="T2380" t="s">
        <v>261</v>
      </c>
      <c r="U2380" t="s">
        <v>261</v>
      </c>
      <c r="V2380" t="s">
        <v>262</v>
      </c>
      <c r="W2380" t="s">
        <v>261</v>
      </c>
      <c r="X2380" t="s">
        <v>261</v>
      </c>
      <c r="Y2380" t="s">
        <v>261</v>
      </c>
      <c r="Z2380" t="s">
        <v>409</v>
      </c>
      <c r="AA2380" t="s">
        <v>409</v>
      </c>
      <c r="AB2380" t="s">
        <v>409</v>
      </c>
      <c r="AC2380" t="s">
        <v>409</v>
      </c>
      <c r="AD2380" t="s">
        <v>261</v>
      </c>
      <c r="AH2380" t="s">
        <v>262</v>
      </c>
      <c r="AI2380" t="s">
        <v>262</v>
      </c>
      <c r="AJ2380" t="s">
        <v>261</v>
      </c>
      <c r="AK2380" t="s">
        <v>261</v>
      </c>
      <c r="AM2380" t="s">
        <v>262</v>
      </c>
      <c r="AN2380" t="s">
        <v>6604</v>
      </c>
    </row>
    <row r="2381" spans="1:40" x14ac:dyDescent="0.35">
      <c r="A2381">
        <v>6637464</v>
      </c>
      <c r="B2381" t="s">
        <v>6605</v>
      </c>
      <c r="C2381" t="str">
        <f>""</f>
        <v/>
      </c>
      <c r="D2381" t="str">
        <f>"9789048537846"</f>
        <v>9789048537846</v>
      </c>
      <c r="E2381" t="s">
        <v>361</v>
      </c>
      <c r="F2381" t="s">
        <v>361</v>
      </c>
      <c r="G2381" s="1">
        <v>43723</v>
      </c>
      <c r="H2381" s="1">
        <v>44483</v>
      </c>
      <c r="I2381" t="s">
        <v>189</v>
      </c>
      <c r="J2381">
        <v>1</v>
      </c>
      <c r="K2381" t="s">
        <v>3307</v>
      </c>
      <c r="L2381" t="s">
        <v>6606</v>
      </c>
    </row>
    <row r="2382" spans="1:40" x14ac:dyDescent="0.35">
      <c r="A2382">
        <v>6637466</v>
      </c>
      <c r="B2382" t="s">
        <v>6607</v>
      </c>
      <c r="C2382" t="str">
        <f>""</f>
        <v/>
      </c>
      <c r="D2382" t="str">
        <f>"9781501516948"</f>
        <v>9781501516948</v>
      </c>
      <c r="E2382" t="s">
        <v>346</v>
      </c>
      <c r="F2382" t="s">
        <v>2637</v>
      </c>
      <c r="G2382" s="1">
        <v>43787</v>
      </c>
      <c r="H2382" s="1">
        <v>44459</v>
      </c>
      <c r="I2382" t="s">
        <v>189</v>
      </c>
      <c r="J2382">
        <v>1</v>
      </c>
      <c r="K2382" t="s">
        <v>3258</v>
      </c>
      <c r="L2382" t="s">
        <v>6608</v>
      </c>
      <c r="M2382" t="s">
        <v>676</v>
      </c>
      <c r="O2382" s="2">
        <v>495117</v>
      </c>
      <c r="Q2382" t="s">
        <v>260</v>
      </c>
      <c r="R2382" t="s">
        <v>261</v>
      </c>
      <c r="S2382" t="s">
        <v>261</v>
      </c>
      <c r="T2382" t="s">
        <v>261</v>
      </c>
      <c r="U2382" t="s">
        <v>261</v>
      </c>
      <c r="V2382" t="s">
        <v>262</v>
      </c>
      <c r="W2382" t="s">
        <v>261</v>
      </c>
      <c r="X2382" t="s">
        <v>261</v>
      </c>
      <c r="Y2382" t="s">
        <v>261</v>
      </c>
      <c r="Z2382" t="s">
        <v>409</v>
      </c>
      <c r="AA2382" t="s">
        <v>409</v>
      </c>
      <c r="AB2382" t="s">
        <v>409</v>
      </c>
      <c r="AC2382" t="s">
        <v>409</v>
      </c>
      <c r="AD2382" t="s">
        <v>261</v>
      </c>
      <c r="AH2382" t="s">
        <v>262</v>
      </c>
      <c r="AI2382" t="s">
        <v>262</v>
      </c>
      <c r="AJ2382" t="s">
        <v>261</v>
      </c>
      <c r="AK2382" t="s">
        <v>261</v>
      </c>
      <c r="AM2382" t="s">
        <v>262</v>
      </c>
      <c r="AN2382" t="s">
        <v>6609</v>
      </c>
    </row>
    <row r="2383" spans="1:40" x14ac:dyDescent="0.35">
      <c r="A2383">
        <v>6637469</v>
      </c>
      <c r="B2383" t="s">
        <v>6610</v>
      </c>
      <c r="C2383" t="str">
        <f>""</f>
        <v/>
      </c>
      <c r="D2383" t="str">
        <f>"9783110677263"</f>
        <v>9783110677263</v>
      </c>
      <c r="E2383" t="s">
        <v>415</v>
      </c>
      <c r="F2383" t="s">
        <v>415</v>
      </c>
      <c r="G2383" s="1">
        <v>44053</v>
      </c>
      <c r="H2383" s="1">
        <v>44459</v>
      </c>
      <c r="I2383" t="s">
        <v>189</v>
      </c>
      <c r="J2383">
        <v>1</v>
      </c>
      <c r="L2383" t="s">
        <v>6611</v>
      </c>
      <c r="M2383" t="s">
        <v>389</v>
      </c>
      <c r="Q2383" t="s">
        <v>260</v>
      </c>
      <c r="R2383" t="s">
        <v>261</v>
      </c>
      <c r="S2383" t="s">
        <v>261</v>
      </c>
      <c r="T2383" t="s">
        <v>261</v>
      </c>
      <c r="U2383" t="s">
        <v>261</v>
      </c>
      <c r="V2383" t="s">
        <v>262</v>
      </c>
      <c r="W2383" t="s">
        <v>261</v>
      </c>
      <c r="X2383" t="s">
        <v>261</v>
      </c>
      <c r="Y2383" t="s">
        <v>261</v>
      </c>
      <c r="Z2383" t="s">
        <v>409</v>
      </c>
      <c r="AA2383" t="s">
        <v>409</v>
      </c>
      <c r="AB2383" t="s">
        <v>409</v>
      </c>
      <c r="AC2383" t="s">
        <v>409</v>
      </c>
      <c r="AD2383" t="s">
        <v>261</v>
      </c>
      <c r="AH2383" t="s">
        <v>262</v>
      </c>
      <c r="AI2383" t="s">
        <v>262</v>
      </c>
      <c r="AJ2383" t="s">
        <v>261</v>
      </c>
      <c r="AK2383" t="s">
        <v>261</v>
      </c>
      <c r="AM2383" t="s">
        <v>262</v>
      </c>
      <c r="AN2383" t="s">
        <v>6612</v>
      </c>
    </row>
    <row r="2384" spans="1:40" x14ac:dyDescent="0.35">
      <c r="A2384">
        <v>6637470</v>
      </c>
      <c r="B2384" t="s">
        <v>6613</v>
      </c>
      <c r="C2384" t="str">
        <f>""</f>
        <v/>
      </c>
      <c r="D2384" t="str">
        <f>"9783110689402"</f>
        <v>9783110689402</v>
      </c>
      <c r="E2384" t="s">
        <v>415</v>
      </c>
      <c r="F2384" t="s">
        <v>415</v>
      </c>
      <c r="G2384" s="1">
        <v>44081</v>
      </c>
      <c r="H2384" s="1">
        <v>44459</v>
      </c>
      <c r="I2384" t="s">
        <v>189</v>
      </c>
      <c r="J2384">
        <v>1</v>
      </c>
      <c r="K2384" t="s">
        <v>1272</v>
      </c>
      <c r="L2384" t="s">
        <v>6614</v>
      </c>
      <c r="M2384" t="s">
        <v>676</v>
      </c>
    </row>
    <row r="2385" spans="1:40" x14ac:dyDescent="0.35">
      <c r="A2385">
        <v>6637472</v>
      </c>
      <c r="B2385" t="s">
        <v>6615</v>
      </c>
      <c r="C2385" t="str">
        <f>""</f>
        <v/>
      </c>
      <c r="D2385" t="str">
        <f>"9783110634440"</f>
        <v>9783110634440</v>
      </c>
      <c r="E2385" t="s">
        <v>415</v>
      </c>
      <c r="F2385" t="s">
        <v>415</v>
      </c>
      <c r="G2385" s="1">
        <v>44004</v>
      </c>
      <c r="H2385" s="1">
        <v>44459</v>
      </c>
      <c r="I2385" t="s">
        <v>189</v>
      </c>
      <c r="J2385">
        <v>1</v>
      </c>
      <c r="K2385" t="s">
        <v>6616</v>
      </c>
      <c r="L2385" t="s">
        <v>6617</v>
      </c>
      <c r="M2385" t="s">
        <v>219</v>
      </c>
    </row>
    <row r="2386" spans="1:40" x14ac:dyDescent="0.35">
      <c r="A2386">
        <v>6637473</v>
      </c>
      <c r="B2386" t="s">
        <v>6618</v>
      </c>
      <c r="C2386" t="str">
        <f>""</f>
        <v/>
      </c>
      <c r="D2386" t="str">
        <f>"9783110671490"</f>
        <v>9783110671490</v>
      </c>
      <c r="E2386" t="s">
        <v>415</v>
      </c>
      <c r="F2386" t="s">
        <v>415</v>
      </c>
      <c r="G2386" s="1">
        <v>44181</v>
      </c>
      <c r="H2386" s="1">
        <v>44463</v>
      </c>
      <c r="I2386" t="s">
        <v>189</v>
      </c>
      <c r="J2386">
        <v>1</v>
      </c>
      <c r="L2386" t="s">
        <v>6619</v>
      </c>
    </row>
    <row r="2387" spans="1:40" x14ac:dyDescent="0.35">
      <c r="A2387">
        <v>6637477</v>
      </c>
      <c r="B2387" t="s">
        <v>6620</v>
      </c>
      <c r="C2387" t="str">
        <f>""</f>
        <v/>
      </c>
      <c r="D2387" t="str">
        <f>"9783110652543"</f>
        <v>9783110652543</v>
      </c>
      <c r="E2387" t="s">
        <v>415</v>
      </c>
      <c r="F2387" t="s">
        <v>415</v>
      </c>
      <c r="G2387" s="1">
        <v>43787</v>
      </c>
      <c r="H2387" s="1">
        <v>44459</v>
      </c>
      <c r="I2387" t="s">
        <v>189</v>
      </c>
      <c r="J2387">
        <v>1</v>
      </c>
      <c r="K2387" t="s">
        <v>6621</v>
      </c>
      <c r="L2387" t="s">
        <v>124</v>
      </c>
    </row>
    <row r="2388" spans="1:40" x14ac:dyDescent="0.35">
      <c r="A2388">
        <v>6637485</v>
      </c>
      <c r="B2388" t="s">
        <v>6622</v>
      </c>
      <c r="C2388" t="str">
        <f>""</f>
        <v/>
      </c>
      <c r="D2388" t="str">
        <f>"9783110618839"</f>
        <v>9783110618839</v>
      </c>
      <c r="E2388" t="s">
        <v>415</v>
      </c>
      <c r="F2388" t="s">
        <v>415</v>
      </c>
      <c r="G2388" s="1">
        <v>43956</v>
      </c>
      <c r="H2388" s="1">
        <v>44459</v>
      </c>
      <c r="I2388" t="s">
        <v>189</v>
      </c>
      <c r="J2388">
        <v>1</v>
      </c>
      <c r="L2388" t="s">
        <v>41</v>
      </c>
      <c r="M2388" t="s">
        <v>389</v>
      </c>
    </row>
    <row r="2389" spans="1:40" x14ac:dyDescent="0.35">
      <c r="A2389">
        <v>6637489</v>
      </c>
      <c r="B2389" t="s">
        <v>6623</v>
      </c>
      <c r="C2389" t="str">
        <f>""</f>
        <v/>
      </c>
      <c r="D2389" t="str">
        <f>"9783110665093"</f>
        <v>9783110665093</v>
      </c>
      <c r="E2389" t="s">
        <v>415</v>
      </c>
      <c r="F2389" t="s">
        <v>415</v>
      </c>
      <c r="G2389" s="1">
        <v>44032</v>
      </c>
      <c r="H2389" s="1">
        <v>44463</v>
      </c>
      <c r="I2389" t="s">
        <v>189</v>
      </c>
      <c r="J2389">
        <v>1</v>
      </c>
      <c r="L2389" t="s">
        <v>3873</v>
      </c>
      <c r="M2389" t="s">
        <v>219</v>
      </c>
      <c r="Q2389" t="s">
        <v>408</v>
      </c>
      <c r="R2389" t="s">
        <v>261</v>
      </c>
      <c r="S2389" t="s">
        <v>261</v>
      </c>
      <c r="T2389" t="s">
        <v>261</v>
      </c>
      <c r="U2389" t="s">
        <v>261</v>
      </c>
      <c r="V2389" t="s">
        <v>262</v>
      </c>
      <c r="W2389" t="s">
        <v>261</v>
      </c>
      <c r="X2389" t="s">
        <v>261</v>
      </c>
      <c r="Y2389" t="s">
        <v>261</v>
      </c>
      <c r="Z2389" t="s">
        <v>409</v>
      </c>
      <c r="AA2389" t="s">
        <v>409</v>
      </c>
      <c r="AB2389" t="s">
        <v>409</v>
      </c>
      <c r="AC2389" t="s">
        <v>409</v>
      </c>
      <c r="AD2389" t="s">
        <v>261</v>
      </c>
      <c r="AH2389" t="s">
        <v>262</v>
      </c>
      <c r="AI2389" t="s">
        <v>262</v>
      </c>
      <c r="AJ2389" t="s">
        <v>261</v>
      </c>
      <c r="AK2389" t="s">
        <v>261</v>
      </c>
      <c r="AM2389" t="s">
        <v>262</v>
      </c>
      <c r="AN2389" t="s">
        <v>6624</v>
      </c>
    </row>
    <row r="2390" spans="1:40" x14ac:dyDescent="0.35">
      <c r="A2390">
        <v>6637491</v>
      </c>
      <c r="B2390" t="s">
        <v>6625</v>
      </c>
      <c r="C2390" t="str">
        <f>"9783110608113"</f>
        <v>9783110608113</v>
      </c>
      <c r="D2390" t="str">
        <f>"9783110629057"</f>
        <v>9783110629057</v>
      </c>
      <c r="E2390" t="s">
        <v>415</v>
      </c>
      <c r="F2390" t="s">
        <v>665</v>
      </c>
      <c r="G2390" s="1">
        <v>43542</v>
      </c>
      <c r="H2390" s="1">
        <v>44459</v>
      </c>
      <c r="I2390" t="s">
        <v>189</v>
      </c>
      <c r="J2390">
        <v>1</v>
      </c>
      <c r="L2390" t="s">
        <v>6626</v>
      </c>
    </row>
    <row r="2391" spans="1:40" x14ac:dyDescent="0.35">
      <c r="A2391">
        <v>6637493</v>
      </c>
      <c r="B2391" t="s">
        <v>6627</v>
      </c>
      <c r="C2391" t="str">
        <f>""</f>
        <v/>
      </c>
      <c r="D2391" t="str">
        <f>"9789048551873"</f>
        <v>9789048551873</v>
      </c>
      <c r="E2391" t="s">
        <v>361</v>
      </c>
      <c r="F2391" t="s">
        <v>361</v>
      </c>
      <c r="G2391" s="1">
        <v>43952</v>
      </c>
      <c r="H2391" s="1">
        <v>44483</v>
      </c>
      <c r="I2391" t="s">
        <v>189</v>
      </c>
      <c r="J2391">
        <v>1</v>
      </c>
      <c r="L2391" t="s">
        <v>6628</v>
      </c>
    </row>
    <row r="2392" spans="1:40" x14ac:dyDescent="0.35">
      <c r="A2392">
        <v>6637495</v>
      </c>
      <c r="B2392" t="s">
        <v>6629</v>
      </c>
      <c r="C2392" t="str">
        <f>""</f>
        <v/>
      </c>
      <c r="D2392" t="str">
        <f>"9783110669367"</f>
        <v>9783110669367</v>
      </c>
      <c r="E2392" t="s">
        <v>415</v>
      </c>
      <c r="F2392" t="s">
        <v>415</v>
      </c>
      <c r="G2392" s="1">
        <v>44158</v>
      </c>
      <c r="H2392" s="1">
        <v>44459</v>
      </c>
      <c r="I2392" t="s">
        <v>189</v>
      </c>
      <c r="J2392">
        <v>1</v>
      </c>
      <c r="K2392" t="s">
        <v>6630</v>
      </c>
      <c r="L2392" t="s">
        <v>6631</v>
      </c>
      <c r="M2392" t="s">
        <v>1578</v>
      </c>
    </row>
    <row r="2393" spans="1:40" x14ac:dyDescent="0.35">
      <c r="A2393">
        <v>6637496</v>
      </c>
      <c r="B2393" t="s">
        <v>6632</v>
      </c>
      <c r="C2393" t="str">
        <f>""</f>
        <v/>
      </c>
      <c r="D2393" t="str">
        <f>"9789048535002"</f>
        <v>9789048535002</v>
      </c>
      <c r="E2393" t="s">
        <v>361</v>
      </c>
      <c r="F2393" t="s">
        <v>361</v>
      </c>
      <c r="G2393" s="1">
        <v>43738</v>
      </c>
      <c r="H2393" s="1">
        <v>44483</v>
      </c>
      <c r="I2393" t="s">
        <v>189</v>
      </c>
      <c r="J2393">
        <v>1</v>
      </c>
      <c r="K2393" t="s">
        <v>6633</v>
      </c>
      <c r="L2393" t="s">
        <v>6634</v>
      </c>
    </row>
    <row r="2394" spans="1:40" x14ac:dyDescent="0.35">
      <c r="A2394">
        <v>6637497</v>
      </c>
      <c r="B2394" t="s">
        <v>6635</v>
      </c>
      <c r="C2394" t="str">
        <f>"9783110622041"</f>
        <v>9783110622041</v>
      </c>
      <c r="D2394" t="str">
        <f>"9783110622096"</f>
        <v>9783110622096</v>
      </c>
      <c r="E2394" t="s">
        <v>415</v>
      </c>
      <c r="F2394" t="s">
        <v>415</v>
      </c>
      <c r="G2394" s="1">
        <v>43542</v>
      </c>
      <c r="H2394" s="1">
        <v>44459</v>
      </c>
      <c r="I2394" t="s">
        <v>189</v>
      </c>
      <c r="J2394">
        <v>1</v>
      </c>
      <c r="K2394" t="s">
        <v>3327</v>
      </c>
      <c r="L2394" t="s">
        <v>58</v>
      </c>
      <c r="M2394" t="s">
        <v>219</v>
      </c>
      <c r="Q2394" t="s">
        <v>6636</v>
      </c>
    </row>
    <row r="2395" spans="1:40" x14ac:dyDescent="0.35">
      <c r="A2395">
        <v>6637498</v>
      </c>
      <c r="B2395" t="s">
        <v>6637</v>
      </c>
      <c r="C2395" t="str">
        <f>""</f>
        <v/>
      </c>
      <c r="D2395" t="str">
        <f>"9783110628715"</f>
        <v>9783110628715</v>
      </c>
      <c r="E2395" t="s">
        <v>415</v>
      </c>
      <c r="F2395" t="s">
        <v>415</v>
      </c>
      <c r="G2395" s="1">
        <v>43620</v>
      </c>
      <c r="H2395" s="1">
        <v>44459</v>
      </c>
      <c r="I2395" t="s">
        <v>189</v>
      </c>
      <c r="J2395">
        <v>1</v>
      </c>
      <c r="L2395" t="s">
        <v>6638</v>
      </c>
      <c r="M2395" t="s">
        <v>219</v>
      </c>
      <c r="O2395" s="2">
        <v>80993351</v>
      </c>
      <c r="Q2395" t="s">
        <v>260</v>
      </c>
      <c r="R2395" t="s">
        <v>261</v>
      </c>
      <c r="S2395" t="s">
        <v>261</v>
      </c>
      <c r="T2395" t="s">
        <v>261</v>
      </c>
      <c r="U2395" t="s">
        <v>261</v>
      </c>
      <c r="V2395" t="s">
        <v>262</v>
      </c>
      <c r="W2395" t="s">
        <v>261</v>
      </c>
      <c r="X2395" t="s">
        <v>261</v>
      </c>
      <c r="Y2395" t="s">
        <v>261</v>
      </c>
      <c r="Z2395" t="s">
        <v>409</v>
      </c>
      <c r="AA2395" t="s">
        <v>409</v>
      </c>
      <c r="AB2395" t="s">
        <v>409</v>
      </c>
      <c r="AC2395" t="s">
        <v>409</v>
      </c>
      <c r="AD2395" t="s">
        <v>261</v>
      </c>
      <c r="AH2395" t="s">
        <v>262</v>
      </c>
      <c r="AI2395" t="s">
        <v>262</v>
      </c>
      <c r="AJ2395" t="s">
        <v>261</v>
      </c>
      <c r="AK2395" t="s">
        <v>261</v>
      </c>
      <c r="AM2395" t="s">
        <v>262</v>
      </c>
      <c r="AN2395" t="s">
        <v>6639</v>
      </c>
    </row>
    <row r="2396" spans="1:40" x14ac:dyDescent="0.35">
      <c r="A2396">
        <v>6637504</v>
      </c>
      <c r="B2396" t="s">
        <v>6640</v>
      </c>
      <c r="C2396" t="str">
        <f>""</f>
        <v/>
      </c>
      <c r="D2396" t="str">
        <f>"9783110641042"</f>
        <v>9783110641042</v>
      </c>
      <c r="E2396" t="s">
        <v>415</v>
      </c>
      <c r="F2396" t="s">
        <v>415</v>
      </c>
      <c r="G2396" s="1">
        <v>43746</v>
      </c>
      <c r="H2396" s="1">
        <v>44459</v>
      </c>
      <c r="I2396" t="s">
        <v>189</v>
      </c>
      <c r="J2396">
        <v>1</v>
      </c>
      <c r="K2396" t="s">
        <v>1159</v>
      </c>
      <c r="L2396" t="s">
        <v>6641</v>
      </c>
    </row>
    <row r="2397" spans="1:40" x14ac:dyDescent="0.35">
      <c r="A2397">
        <v>6637506</v>
      </c>
      <c r="B2397" t="s">
        <v>6642</v>
      </c>
      <c r="C2397" t="str">
        <f>"9783110589603"</f>
        <v>9783110589603</v>
      </c>
      <c r="D2397" t="str">
        <f>"9783110591040"</f>
        <v>9783110591040</v>
      </c>
      <c r="E2397" t="s">
        <v>415</v>
      </c>
      <c r="F2397" t="s">
        <v>415</v>
      </c>
      <c r="G2397" s="1">
        <v>43710</v>
      </c>
      <c r="H2397" s="1">
        <v>44459</v>
      </c>
      <c r="I2397" t="s">
        <v>189</v>
      </c>
      <c r="J2397">
        <v>1</v>
      </c>
      <c r="K2397" t="s">
        <v>3014</v>
      </c>
      <c r="L2397" t="s">
        <v>49</v>
      </c>
    </row>
    <row r="2398" spans="1:40" x14ac:dyDescent="0.35">
      <c r="A2398">
        <v>6637510</v>
      </c>
      <c r="B2398" t="s">
        <v>6643</v>
      </c>
      <c r="C2398" t="str">
        <f>""</f>
        <v/>
      </c>
      <c r="D2398" t="str">
        <f>"9783110639452"</f>
        <v>9783110639452</v>
      </c>
      <c r="E2398" t="s">
        <v>415</v>
      </c>
      <c r="F2398" t="s">
        <v>415</v>
      </c>
      <c r="G2398" s="1">
        <v>44305</v>
      </c>
      <c r="H2398" s="1">
        <v>44459</v>
      </c>
      <c r="I2398" t="s">
        <v>189</v>
      </c>
      <c r="J2398">
        <v>1</v>
      </c>
      <c r="L2398" t="s">
        <v>6644</v>
      </c>
    </row>
    <row r="2399" spans="1:40" x14ac:dyDescent="0.35">
      <c r="A2399">
        <v>6637512</v>
      </c>
      <c r="B2399" t="s">
        <v>6645</v>
      </c>
      <c r="C2399" t="str">
        <f>""</f>
        <v/>
      </c>
      <c r="D2399" t="str">
        <f>"9783110624113"</f>
        <v>9783110624113</v>
      </c>
      <c r="E2399" t="s">
        <v>415</v>
      </c>
      <c r="F2399" t="s">
        <v>415</v>
      </c>
      <c r="G2399" s="1">
        <v>43620</v>
      </c>
      <c r="H2399" s="1">
        <v>44459</v>
      </c>
      <c r="I2399" t="s">
        <v>189</v>
      </c>
      <c r="J2399">
        <v>1</v>
      </c>
      <c r="K2399" t="s">
        <v>6646</v>
      </c>
      <c r="L2399" t="s">
        <v>6647</v>
      </c>
    </row>
    <row r="2400" spans="1:40" x14ac:dyDescent="0.35">
      <c r="A2400">
        <v>6637515</v>
      </c>
      <c r="B2400" t="s">
        <v>6648</v>
      </c>
      <c r="C2400" t="str">
        <f>""</f>
        <v/>
      </c>
      <c r="D2400" t="str">
        <f>"9783035619195"</f>
        <v>9783035619195</v>
      </c>
      <c r="E2400" t="s">
        <v>415</v>
      </c>
      <c r="F2400" t="s">
        <v>1107</v>
      </c>
      <c r="G2400" s="1">
        <v>43542</v>
      </c>
      <c r="H2400" s="1">
        <v>44459</v>
      </c>
      <c r="I2400" t="s">
        <v>189</v>
      </c>
      <c r="J2400">
        <v>2</v>
      </c>
      <c r="L2400" t="s">
        <v>6649</v>
      </c>
      <c r="M2400" t="s">
        <v>1578</v>
      </c>
      <c r="Q2400" t="s">
        <v>408</v>
      </c>
      <c r="R2400" t="s">
        <v>261</v>
      </c>
      <c r="S2400" t="s">
        <v>261</v>
      </c>
      <c r="T2400" t="s">
        <v>261</v>
      </c>
      <c r="U2400" t="s">
        <v>261</v>
      </c>
      <c r="V2400" t="s">
        <v>262</v>
      </c>
      <c r="W2400" t="s">
        <v>261</v>
      </c>
      <c r="X2400" t="s">
        <v>261</v>
      </c>
      <c r="Y2400" t="s">
        <v>261</v>
      </c>
      <c r="Z2400" t="s">
        <v>409</v>
      </c>
      <c r="AA2400" t="s">
        <v>409</v>
      </c>
      <c r="AB2400" t="s">
        <v>409</v>
      </c>
      <c r="AC2400" t="s">
        <v>409</v>
      </c>
      <c r="AD2400" t="s">
        <v>261</v>
      </c>
      <c r="AH2400" t="s">
        <v>262</v>
      </c>
      <c r="AI2400" t="s">
        <v>262</v>
      </c>
      <c r="AJ2400" t="s">
        <v>261</v>
      </c>
      <c r="AK2400" t="s">
        <v>261</v>
      </c>
      <c r="AM2400" t="s">
        <v>262</v>
      </c>
      <c r="AN2400" t="s">
        <v>6650</v>
      </c>
    </row>
    <row r="2401" spans="1:40" x14ac:dyDescent="0.35">
      <c r="A2401">
        <v>6637519</v>
      </c>
      <c r="B2401" t="s">
        <v>6651</v>
      </c>
      <c r="C2401" t="str">
        <f>""</f>
        <v/>
      </c>
      <c r="D2401" t="str">
        <f>"9783110689112"</f>
        <v>9783110689112</v>
      </c>
      <c r="E2401" t="s">
        <v>415</v>
      </c>
      <c r="F2401" t="s">
        <v>415</v>
      </c>
      <c r="G2401" s="1">
        <v>44130</v>
      </c>
      <c r="H2401" s="1">
        <v>44459</v>
      </c>
      <c r="I2401" t="s">
        <v>189</v>
      </c>
      <c r="J2401">
        <v>1</v>
      </c>
      <c r="L2401" t="s">
        <v>6652</v>
      </c>
    </row>
    <row r="2402" spans="1:40" x14ac:dyDescent="0.35">
      <c r="A2402">
        <v>6637521</v>
      </c>
      <c r="B2402" t="s">
        <v>6653</v>
      </c>
      <c r="C2402" t="str">
        <f>""</f>
        <v/>
      </c>
      <c r="D2402" t="str">
        <f>"9783110674088"</f>
        <v>9783110674088</v>
      </c>
      <c r="E2402" t="s">
        <v>415</v>
      </c>
      <c r="F2402" t="s">
        <v>415</v>
      </c>
      <c r="G2402" s="1">
        <v>44144</v>
      </c>
      <c r="H2402" s="1">
        <v>44459</v>
      </c>
      <c r="I2402" t="s">
        <v>189</v>
      </c>
      <c r="J2402">
        <v>1</v>
      </c>
      <c r="K2402" t="s">
        <v>6654</v>
      </c>
      <c r="L2402" t="s">
        <v>6655</v>
      </c>
    </row>
    <row r="2403" spans="1:40" x14ac:dyDescent="0.35">
      <c r="A2403">
        <v>6637524</v>
      </c>
      <c r="B2403" t="s">
        <v>6656</v>
      </c>
      <c r="C2403" t="str">
        <f>""</f>
        <v/>
      </c>
      <c r="D2403" t="str">
        <f>"9783110661576"</f>
        <v>9783110661576</v>
      </c>
      <c r="E2403" t="s">
        <v>415</v>
      </c>
      <c r="F2403" t="s">
        <v>415</v>
      </c>
      <c r="G2403" s="1">
        <v>43759</v>
      </c>
      <c r="H2403" s="1">
        <v>44459</v>
      </c>
      <c r="I2403" t="s">
        <v>189</v>
      </c>
      <c r="J2403">
        <v>1</v>
      </c>
      <c r="L2403" t="s">
        <v>6657</v>
      </c>
      <c r="M2403" t="s">
        <v>219</v>
      </c>
      <c r="Q2403" t="s">
        <v>260</v>
      </c>
      <c r="R2403" t="s">
        <v>261</v>
      </c>
      <c r="S2403" t="s">
        <v>261</v>
      </c>
      <c r="T2403" t="s">
        <v>261</v>
      </c>
      <c r="U2403" t="s">
        <v>261</v>
      </c>
      <c r="V2403" t="s">
        <v>262</v>
      </c>
      <c r="W2403" t="s">
        <v>261</v>
      </c>
      <c r="X2403" t="s">
        <v>261</v>
      </c>
      <c r="Y2403" t="s">
        <v>261</v>
      </c>
      <c r="Z2403" t="s">
        <v>409</v>
      </c>
      <c r="AA2403" t="s">
        <v>409</v>
      </c>
      <c r="AB2403" t="s">
        <v>409</v>
      </c>
      <c r="AC2403" t="s">
        <v>409</v>
      </c>
      <c r="AD2403" t="s">
        <v>261</v>
      </c>
      <c r="AH2403" t="s">
        <v>262</v>
      </c>
      <c r="AI2403" t="s">
        <v>262</v>
      </c>
      <c r="AJ2403" t="s">
        <v>261</v>
      </c>
      <c r="AK2403" t="s">
        <v>261</v>
      </c>
      <c r="AM2403" t="s">
        <v>262</v>
      </c>
      <c r="AN2403" t="s">
        <v>6658</v>
      </c>
    </row>
    <row r="2404" spans="1:40" x14ac:dyDescent="0.35">
      <c r="A2404">
        <v>6637526</v>
      </c>
      <c r="B2404" t="s">
        <v>6659</v>
      </c>
      <c r="C2404" t="str">
        <f>""</f>
        <v/>
      </c>
      <c r="D2404" t="str">
        <f>"9783110647044"</f>
        <v>9783110647044</v>
      </c>
      <c r="E2404" t="s">
        <v>415</v>
      </c>
      <c r="F2404" t="s">
        <v>415</v>
      </c>
      <c r="G2404" s="1">
        <v>44067</v>
      </c>
      <c r="H2404" s="1">
        <v>44459</v>
      </c>
      <c r="I2404" t="s">
        <v>189</v>
      </c>
      <c r="J2404">
        <v>1</v>
      </c>
      <c r="L2404" t="s">
        <v>6660</v>
      </c>
    </row>
    <row r="2405" spans="1:40" x14ac:dyDescent="0.35">
      <c r="A2405">
        <v>6637527</v>
      </c>
      <c r="B2405" t="s">
        <v>6661</v>
      </c>
      <c r="C2405" t="str">
        <f>""</f>
        <v/>
      </c>
      <c r="D2405" t="str">
        <f>"9783110656725"</f>
        <v>9783110656725</v>
      </c>
      <c r="E2405" t="s">
        <v>415</v>
      </c>
      <c r="F2405" t="s">
        <v>415</v>
      </c>
      <c r="G2405" s="1">
        <v>43556</v>
      </c>
      <c r="H2405" s="1">
        <v>44459</v>
      </c>
      <c r="I2405" t="s">
        <v>189</v>
      </c>
      <c r="J2405">
        <v>1</v>
      </c>
      <c r="K2405" t="s">
        <v>3050</v>
      </c>
      <c r="L2405" t="s">
        <v>3051</v>
      </c>
    </row>
    <row r="2406" spans="1:40" x14ac:dyDescent="0.35">
      <c r="A2406">
        <v>6637528</v>
      </c>
      <c r="B2406" t="s">
        <v>6662</v>
      </c>
      <c r="C2406" t="str">
        <f>""</f>
        <v/>
      </c>
      <c r="D2406" t="str">
        <f>"9783110638127"</f>
        <v>9783110638127</v>
      </c>
      <c r="E2406" t="s">
        <v>415</v>
      </c>
      <c r="F2406" t="s">
        <v>415</v>
      </c>
      <c r="G2406" s="1">
        <v>44172</v>
      </c>
      <c r="H2406" s="1">
        <v>44459</v>
      </c>
      <c r="I2406" t="s">
        <v>189</v>
      </c>
      <c r="J2406">
        <v>1</v>
      </c>
      <c r="L2406" t="s">
        <v>6663</v>
      </c>
    </row>
    <row r="2407" spans="1:40" x14ac:dyDescent="0.35">
      <c r="A2407">
        <v>6637529</v>
      </c>
      <c r="B2407" t="s">
        <v>6664</v>
      </c>
      <c r="C2407" t="str">
        <f>""</f>
        <v/>
      </c>
      <c r="D2407" t="str">
        <f>"9789048540020"</f>
        <v>9789048540020</v>
      </c>
      <c r="E2407" t="s">
        <v>361</v>
      </c>
      <c r="F2407" t="s">
        <v>361</v>
      </c>
      <c r="G2407" s="1">
        <v>43572</v>
      </c>
      <c r="H2407" s="1">
        <v>44483</v>
      </c>
      <c r="I2407" t="s">
        <v>189</v>
      </c>
      <c r="J2407">
        <v>1</v>
      </c>
      <c r="L2407" t="s">
        <v>6665</v>
      </c>
    </row>
    <row r="2408" spans="1:40" x14ac:dyDescent="0.35">
      <c r="A2408">
        <v>6637532</v>
      </c>
      <c r="B2408" t="s">
        <v>6666</v>
      </c>
      <c r="C2408" t="str">
        <f>""</f>
        <v/>
      </c>
      <c r="D2408" t="str">
        <f>"9783110695380"</f>
        <v>9783110695380</v>
      </c>
      <c r="E2408" t="s">
        <v>415</v>
      </c>
      <c r="F2408" t="s">
        <v>415</v>
      </c>
      <c r="G2408" s="1">
        <v>44032</v>
      </c>
      <c r="H2408" s="1">
        <v>44459</v>
      </c>
      <c r="I2408" t="s">
        <v>189</v>
      </c>
      <c r="J2408">
        <v>1</v>
      </c>
      <c r="K2408" t="s">
        <v>2641</v>
      </c>
      <c r="L2408" t="s">
        <v>6667</v>
      </c>
      <c r="M2408" t="s">
        <v>578</v>
      </c>
    </row>
    <row r="2409" spans="1:40" x14ac:dyDescent="0.35">
      <c r="A2409">
        <v>6637533</v>
      </c>
      <c r="B2409" t="s">
        <v>6668</v>
      </c>
      <c r="C2409" t="str">
        <f>""</f>
        <v/>
      </c>
      <c r="D2409" t="str">
        <f>"9789048550180"</f>
        <v>9789048550180</v>
      </c>
      <c r="E2409" t="s">
        <v>361</v>
      </c>
      <c r="F2409" t="s">
        <v>361</v>
      </c>
      <c r="G2409" s="1">
        <v>43461</v>
      </c>
      <c r="H2409" s="1">
        <v>44483</v>
      </c>
      <c r="I2409" t="s">
        <v>189</v>
      </c>
      <c r="J2409">
        <v>1</v>
      </c>
      <c r="L2409" t="s">
        <v>6669</v>
      </c>
    </row>
    <row r="2410" spans="1:40" x14ac:dyDescent="0.35">
      <c r="A2410">
        <v>6637537</v>
      </c>
      <c r="B2410" t="s">
        <v>6670</v>
      </c>
      <c r="C2410" t="str">
        <f>"9783110617658"</f>
        <v>9783110617658</v>
      </c>
      <c r="D2410" t="str">
        <f>"9783110621051"</f>
        <v>9783110621051</v>
      </c>
      <c r="E2410" t="s">
        <v>415</v>
      </c>
      <c r="F2410" t="s">
        <v>415</v>
      </c>
      <c r="G2410" s="1">
        <v>43710</v>
      </c>
      <c r="H2410" s="1">
        <v>44459</v>
      </c>
      <c r="I2410" t="s">
        <v>189</v>
      </c>
      <c r="J2410">
        <v>1</v>
      </c>
      <c r="K2410" t="s">
        <v>6654</v>
      </c>
      <c r="L2410" t="s">
        <v>6671</v>
      </c>
      <c r="M2410" t="s">
        <v>239</v>
      </c>
    </row>
    <row r="2411" spans="1:40" x14ac:dyDescent="0.35">
      <c r="A2411">
        <v>6637538</v>
      </c>
      <c r="B2411" t="s">
        <v>6672</v>
      </c>
      <c r="C2411" t="str">
        <f>""</f>
        <v/>
      </c>
      <c r="D2411" t="str">
        <f>"9783110627121"</f>
        <v>9783110627121</v>
      </c>
      <c r="E2411" t="s">
        <v>415</v>
      </c>
      <c r="F2411" t="s">
        <v>415</v>
      </c>
      <c r="G2411" s="1">
        <v>43696</v>
      </c>
      <c r="H2411" s="1">
        <v>44459</v>
      </c>
      <c r="I2411" t="s">
        <v>189</v>
      </c>
      <c r="J2411">
        <v>1</v>
      </c>
      <c r="K2411" t="s">
        <v>1159</v>
      </c>
      <c r="L2411" t="s">
        <v>6673</v>
      </c>
      <c r="M2411" t="s">
        <v>239</v>
      </c>
    </row>
    <row r="2412" spans="1:40" x14ac:dyDescent="0.35">
      <c r="A2412">
        <v>6637539</v>
      </c>
      <c r="B2412" t="s">
        <v>6674</v>
      </c>
      <c r="C2412" t="str">
        <f>""</f>
        <v/>
      </c>
      <c r="D2412" t="str">
        <f>"9783110693973"</f>
        <v>9783110693973</v>
      </c>
      <c r="E2412" t="s">
        <v>415</v>
      </c>
      <c r="F2412" t="s">
        <v>415</v>
      </c>
      <c r="G2412" s="1">
        <v>44032</v>
      </c>
      <c r="H2412" s="1">
        <v>44459</v>
      </c>
      <c r="I2412" t="s">
        <v>189</v>
      </c>
      <c r="J2412">
        <v>1</v>
      </c>
      <c r="L2412" t="s">
        <v>6675</v>
      </c>
    </row>
    <row r="2413" spans="1:40" x14ac:dyDescent="0.35">
      <c r="A2413">
        <v>6637541</v>
      </c>
      <c r="B2413" t="s">
        <v>6676</v>
      </c>
      <c r="C2413" t="str">
        <f>""</f>
        <v/>
      </c>
      <c r="D2413" t="str">
        <f>"9783110692174"</f>
        <v>9783110692174</v>
      </c>
      <c r="E2413" t="s">
        <v>415</v>
      </c>
      <c r="F2413" t="s">
        <v>415</v>
      </c>
      <c r="G2413" s="1">
        <v>44032</v>
      </c>
      <c r="H2413" s="1">
        <v>44459</v>
      </c>
      <c r="I2413" t="s">
        <v>189</v>
      </c>
      <c r="J2413">
        <v>1</v>
      </c>
      <c r="K2413" t="s">
        <v>3327</v>
      </c>
      <c r="L2413" t="s">
        <v>3253</v>
      </c>
      <c r="M2413" t="s">
        <v>219</v>
      </c>
      <c r="Q2413" t="s">
        <v>408</v>
      </c>
      <c r="R2413" t="s">
        <v>261</v>
      </c>
      <c r="S2413" t="s">
        <v>261</v>
      </c>
      <c r="T2413" t="s">
        <v>261</v>
      </c>
      <c r="U2413" t="s">
        <v>261</v>
      </c>
      <c r="V2413" t="s">
        <v>262</v>
      </c>
      <c r="W2413" t="s">
        <v>261</v>
      </c>
      <c r="X2413" t="s">
        <v>261</v>
      </c>
      <c r="Y2413" t="s">
        <v>261</v>
      </c>
      <c r="Z2413" t="s">
        <v>409</v>
      </c>
      <c r="AA2413" t="s">
        <v>409</v>
      </c>
      <c r="AB2413" t="s">
        <v>409</v>
      </c>
      <c r="AC2413" t="s">
        <v>409</v>
      </c>
      <c r="AD2413" t="s">
        <v>261</v>
      </c>
      <c r="AH2413" t="s">
        <v>262</v>
      </c>
      <c r="AI2413" t="s">
        <v>262</v>
      </c>
      <c r="AJ2413" t="s">
        <v>261</v>
      </c>
      <c r="AK2413" t="s">
        <v>261</v>
      </c>
      <c r="AM2413" t="s">
        <v>262</v>
      </c>
      <c r="AN2413" t="s">
        <v>6677</v>
      </c>
    </row>
    <row r="2414" spans="1:40" x14ac:dyDescent="0.35">
      <c r="A2414">
        <v>6637544</v>
      </c>
      <c r="B2414" t="s">
        <v>6678</v>
      </c>
      <c r="C2414" t="str">
        <f>""</f>
        <v/>
      </c>
      <c r="D2414" t="str">
        <f>"9783110669831"</f>
        <v>9783110669831</v>
      </c>
      <c r="E2414" t="s">
        <v>415</v>
      </c>
      <c r="F2414" t="s">
        <v>415</v>
      </c>
      <c r="G2414" s="1">
        <v>44116</v>
      </c>
      <c r="H2414" s="1">
        <v>44459</v>
      </c>
      <c r="I2414" t="s">
        <v>189</v>
      </c>
      <c r="J2414">
        <v>1</v>
      </c>
      <c r="K2414" t="s">
        <v>6679</v>
      </c>
      <c r="L2414" t="s">
        <v>6680</v>
      </c>
      <c r="M2414" t="s">
        <v>676</v>
      </c>
      <c r="Q2414" t="s">
        <v>6636</v>
      </c>
    </row>
    <row r="2415" spans="1:40" x14ac:dyDescent="0.35">
      <c r="A2415">
        <v>6637545</v>
      </c>
      <c r="B2415" t="s">
        <v>6681</v>
      </c>
      <c r="C2415" t="str">
        <f>"9783110596786"</f>
        <v>9783110596786</v>
      </c>
      <c r="D2415" t="str">
        <f>"9783110599572"</f>
        <v>9783110599572</v>
      </c>
      <c r="E2415" t="s">
        <v>415</v>
      </c>
      <c r="F2415" t="s">
        <v>416</v>
      </c>
      <c r="G2415" s="1">
        <v>43682</v>
      </c>
      <c r="H2415" s="1">
        <v>44421</v>
      </c>
      <c r="I2415" t="s">
        <v>189</v>
      </c>
      <c r="J2415">
        <v>1</v>
      </c>
      <c r="K2415" t="s">
        <v>3037</v>
      </c>
      <c r="L2415" t="s">
        <v>6682</v>
      </c>
      <c r="M2415" t="s">
        <v>676</v>
      </c>
      <c r="O2415" s="2">
        <v>4800285</v>
      </c>
      <c r="Q2415" t="s">
        <v>260</v>
      </c>
      <c r="R2415" t="s">
        <v>261</v>
      </c>
      <c r="S2415" t="s">
        <v>261</v>
      </c>
      <c r="T2415" t="s">
        <v>261</v>
      </c>
      <c r="U2415" t="s">
        <v>261</v>
      </c>
      <c r="V2415" t="s">
        <v>262</v>
      </c>
      <c r="W2415" t="s">
        <v>261</v>
      </c>
      <c r="X2415" t="s">
        <v>261</v>
      </c>
      <c r="Y2415" t="s">
        <v>261</v>
      </c>
      <c r="Z2415" t="s">
        <v>409</v>
      </c>
      <c r="AA2415" t="s">
        <v>409</v>
      </c>
      <c r="AB2415" t="s">
        <v>409</v>
      </c>
      <c r="AC2415" t="s">
        <v>409</v>
      </c>
      <c r="AD2415" t="s">
        <v>261</v>
      </c>
      <c r="AH2415" t="s">
        <v>262</v>
      </c>
      <c r="AI2415" t="s">
        <v>262</v>
      </c>
      <c r="AJ2415" t="s">
        <v>261</v>
      </c>
      <c r="AK2415" t="s">
        <v>261</v>
      </c>
      <c r="AM2415" t="s">
        <v>262</v>
      </c>
      <c r="AN2415" t="s">
        <v>6683</v>
      </c>
    </row>
    <row r="2416" spans="1:40" x14ac:dyDescent="0.35">
      <c r="A2416">
        <v>6637546</v>
      </c>
      <c r="B2416" t="s">
        <v>6684</v>
      </c>
      <c r="C2416" t="str">
        <f>""</f>
        <v/>
      </c>
      <c r="D2416" t="str">
        <f>"9783110611229"</f>
        <v>9783110611229</v>
      </c>
      <c r="E2416" t="s">
        <v>415</v>
      </c>
      <c r="F2416" t="s">
        <v>415</v>
      </c>
      <c r="G2416" s="1">
        <v>44277</v>
      </c>
      <c r="H2416" s="1">
        <v>44459</v>
      </c>
      <c r="I2416" t="s">
        <v>189</v>
      </c>
      <c r="J2416">
        <v>1</v>
      </c>
      <c r="K2416" t="s">
        <v>6685</v>
      </c>
      <c r="L2416" t="s">
        <v>6686</v>
      </c>
      <c r="M2416" t="s">
        <v>578</v>
      </c>
      <c r="Q2416" t="s">
        <v>408</v>
      </c>
      <c r="R2416" t="s">
        <v>261</v>
      </c>
      <c r="S2416" t="s">
        <v>261</v>
      </c>
      <c r="T2416" t="s">
        <v>261</v>
      </c>
      <c r="U2416" t="s">
        <v>261</v>
      </c>
      <c r="V2416" t="s">
        <v>262</v>
      </c>
      <c r="W2416" t="s">
        <v>261</v>
      </c>
      <c r="X2416" t="s">
        <v>261</v>
      </c>
      <c r="Y2416" t="s">
        <v>261</v>
      </c>
      <c r="Z2416" t="s">
        <v>409</v>
      </c>
      <c r="AA2416" t="s">
        <v>409</v>
      </c>
      <c r="AB2416" t="s">
        <v>409</v>
      </c>
      <c r="AC2416" t="s">
        <v>409</v>
      </c>
      <c r="AD2416" t="s">
        <v>261</v>
      </c>
      <c r="AH2416" t="s">
        <v>262</v>
      </c>
      <c r="AI2416" t="s">
        <v>262</v>
      </c>
      <c r="AJ2416" t="s">
        <v>261</v>
      </c>
      <c r="AK2416" t="s">
        <v>261</v>
      </c>
      <c r="AM2416" t="s">
        <v>262</v>
      </c>
      <c r="AN2416" t="s">
        <v>6687</v>
      </c>
    </row>
    <row r="2417" spans="1:40" x14ac:dyDescent="0.35">
      <c r="A2417">
        <v>6637548</v>
      </c>
      <c r="B2417" t="s">
        <v>6688</v>
      </c>
      <c r="C2417" t="str">
        <f>""</f>
        <v/>
      </c>
      <c r="D2417" t="str">
        <f>"9789048544905"</f>
        <v>9789048544905</v>
      </c>
      <c r="E2417" t="s">
        <v>361</v>
      </c>
      <c r="F2417" t="s">
        <v>361</v>
      </c>
      <c r="G2417" s="1">
        <v>43816</v>
      </c>
      <c r="H2417" s="1">
        <v>44483</v>
      </c>
      <c r="I2417" t="s">
        <v>189</v>
      </c>
      <c r="J2417">
        <v>1</v>
      </c>
      <c r="K2417" t="s">
        <v>2979</v>
      </c>
      <c r="L2417" t="s">
        <v>6689</v>
      </c>
    </row>
    <row r="2418" spans="1:40" x14ac:dyDescent="0.35">
      <c r="A2418">
        <v>6637551</v>
      </c>
      <c r="B2418" t="s">
        <v>6690</v>
      </c>
      <c r="C2418" t="str">
        <f>""</f>
        <v/>
      </c>
      <c r="D2418" t="str">
        <f>"9783110664546"</f>
        <v>9783110664546</v>
      </c>
      <c r="E2418" t="s">
        <v>415</v>
      </c>
      <c r="F2418" t="s">
        <v>415</v>
      </c>
      <c r="G2418" s="1">
        <v>43969</v>
      </c>
      <c r="H2418" s="1">
        <v>44459</v>
      </c>
      <c r="I2418" t="s">
        <v>189</v>
      </c>
      <c r="J2418">
        <v>1</v>
      </c>
      <c r="K2418" t="s">
        <v>1272</v>
      </c>
      <c r="L2418" t="s">
        <v>56</v>
      </c>
      <c r="M2418" t="s">
        <v>676</v>
      </c>
      <c r="Q2418" t="s">
        <v>408</v>
      </c>
      <c r="R2418" t="s">
        <v>261</v>
      </c>
      <c r="S2418" t="s">
        <v>261</v>
      </c>
      <c r="T2418" t="s">
        <v>261</v>
      </c>
      <c r="U2418" t="s">
        <v>261</v>
      </c>
      <c r="V2418" t="s">
        <v>262</v>
      </c>
      <c r="W2418" t="s">
        <v>261</v>
      </c>
      <c r="X2418" t="s">
        <v>261</v>
      </c>
      <c r="Y2418" t="s">
        <v>261</v>
      </c>
      <c r="Z2418" t="s">
        <v>409</v>
      </c>
      <c r="AA2418" t="s">
        <v>409</v>
      </c>
      <c r="AB2418" t="s">
        <v>409</v>
      </c>
      <c r="AC2418" t="s">
        <v>409</v>
      </c>
      <c r="AD2418" t="s">
        <v>261</v>
      </c>
      <c r="AH2418" t="s">
        <v>262</v>
      </c>
      <c r="AI2418" t="s">
        <v>262</v>
      </c>
      <c r="AJ2418" t="s">
        <v>261</v>
      </c>
      <c r="AK2418" t="s">
        <v>261</v>
      </c>
      <c r="AM2418" t="s">
        <v>262</v>
      </c>
      <c r="AN2418" t="s">
        <v>6691</v>
      </c>
    </row>
    <row r="2419" spans="1:40" x14ac:dyDescent="0.35">
      <c r="A2419">
        <v>6637552</v>
      </c>
      <c r="B2419" t="s">
        <v>6692</v>
      </c>
      <c r="C2419" t="str">
        <f>""</f>
        <v/>
      </c>
      <c r="D2419" t="str">
        <f>"9783110665833"</f>
        <v>9783110665833</v>
      </c>
      <c r="E2419" t="s">
        <v>415</v>
      </c>
      <c r="F2419" t="s">
        <v>415</v>
      </c>
      <c r="G2419" s="1">
        <v>43787</v>
      </c>
      <c r="H2419" s="1">
        <v>44459</v>
      </c>
      <c r="I2419" t="s">
        <v>189</v>
      </c>
      <c r="J2419">
        <v>1</v>
      </c>
      <c r="K2419" t="s">
        <v>3934</v>
      </c>
      <c r="L2419" t="s">
        <v>6693</v>
      </c>
    </row>
    <row r="2420" spans="1:40" x14ac:dyDescent="0.35">
      <c r="A2420">
        <v>6637554</v>
      </c>
      <c r="B2420" t="s">
        <v>6694</v>
      </c>
      <c r="C2420" t="str">
        <f>""</f>
        <v/>
      </c>
      <c r="D2420" t="str">
        <f>"9783110693959"</f>
        <v>9783110693959</v>
      </c>
      <c r="E2420" t="s">
        <v>415</v>
      </c>
      <c r="F2420" t="s">
        <v>415</v>
      </c>
      <c r="G2420" s="1">
        <v>44081</v>
      </c>
      <c r="H2420" s="1">
        <v>44459</v>
      </c>
      <c r="I2420" t="s">
        <v>189</v>
      </c>
      <c r="J2420">
        <v>1</v>
      </c>
      <c r="K2420" t="s">
        <v>6695</v>
      </c>
      <c r="L2420" t="s">
        <v>6696</v>
      </c>
    </row>
    <row r="2421" spans="1:40" x14ac:dyDescent="0.35">
      <c r="A2421">
        <v>6637557</v>
      </c>
      <c r="B2421" t="s">
        <v>6697</v>
      </c>
      <c r="C2421" t="str">
        <f>""</f>
        <v/>
      </c>
      <c r="D2421" t="str">
        <f>"9783110628777"</f>
        <v>9783110628777</v>
      </c>
      <c r="E2421" t="s">
        <v>415</v>
      </c>
      <c r="F2421" t="s">
        <v>415</v>
      </c>
      <c r="G2421" s="1">
        <v>43633</v>
      </c>
      <c r="H2421" s="1">
        <v>44459</v>
      </c>
      <c r="I2421" t="s">
        <v>189</v>
      </c>
      <c r="J2421">
        <v>1</v>
      </c>
      <c r="L2421" t="s">
        <v>6698</v>
      </c>
      <c r="M2421" t="s">
        <v>219</v>
      </c>
      <c r="Q2421" t="s">
        <v>260</v>
      </c>
      <c r="R2421" t="s">
        <v>261</v>
      </c>
      <c r="S2421" t="s">
        <v>261</v>
      </c>
      <c r="T2421" t="s">
        <v>261</v>
      </c>
      <c r="U2421" t="s">
        <v>261</v>
      </c>
      <c r="V2421" t="s">
        <v>262</v>
      </c>
      <c r="W2421" t="s">
        <v>261</v>
      </c>
      <c r="X2421" t="s">
        <v>261</v>
      </c>
      <c r="Y2421" t="s">
        <v>261</v>
      </c>
      <c r="Z2421" t="s">
        <v>409</v>
      </c>
      <c r="AA2421" t="s">
        <v>409</v>
      </c>
      <c r="AB2421" t="s">
        <v>409</v>
      </c>
      <c r="AC2421" t="s">
        <v>409</v>
      </c>
      <c r="AD2421" t="s">
        <v>261</v>
      </c>
      <c r="AH2421" t="s">
        <v>262</v>
      </c>
      <c r="AI2421" t="s">
        <v>262</v>
      </c>
      <c r="AJ2421" t="s">
        <v>261</v>
      </c>
      <c r="AK2421" t="s">
        <v>261</v>
      </c>
      <c r="AM2421" t="s">
        <v>262</v>
      </c>
      <c r="AN2421" t="s">
        <v>6699</v>
      </c>
    </row>
    <row r="2422" spans="1:40" x14ac:dyDescent="0.35">
      <c r="A2422">
        <v>6637560</v>
      </c>
      <c r="B2422" t="s">
        <v>6700</v>
      </c>
      <c r="C2422" t="str">
        <f>""</f>
        <v/>
      </c>
      <c r="D2422" t="str">
        <f>"9783110664713"</f>
        <v>9783110664713</v>
      </c>
      <c r="E2422" t="s">
        <v>415</v>
      </c>
      <c r="F2422" t="s">
        <v>415</v>
      </c>
      <c r="G2422" s="1">
        <v>43899</v>
      </c>
      <c r="H2422" s="1">
        <v>44459</v>
      </c>
      <c r="I2422" t="s">
        <v>189</v>
      </c>
      <c r="J2422">
        <v>1</v>
      </c>
      <c r="L2422" t="s">
        <v>6701</v>
      </c>
    </row>
    <row r="2423" spans="1:40" x14ac:dyDescent="0.35">
      <c r="A2423">
        <v>6637561</v>
      </c>
      <c r="B2423" t="s">
        <v>6702</v>
      </c>
      <c r="C2423" t="str">
        <f>"9783110600858"</f>
        <v>9783110600858</v>
      </c>
      <c r="D2423" t="str">
        <f>"9783110599978"</f>
        <v>9783110599978</v>
      </c>
      <c r="E2423" t="s">
        <v>415</v>
      </c>
      <c r="F2423" t="s">
        <v>415</v>
      </c>
      <c r="G2423" s="1">
        <v>44116</v>
      </c>
      <c r="H2423" s="1">
        <v>44459</v>
      </c>
      <c r="I2423" t="s">
        <v>189</v>
      </c>
      <c r="J2423">
        <v>1</v>
      </c>
      <c r="K2423" t="s">
        <v>3014</v>
      </c>
      <c r="L2423" t="s">
        <v>6703</v>
      </c>
      <c r="M2423" t="s">
        <v>239</v>
      </c>
    </row>
    <row r="2424" spans="1:40" x14ac:dyDescent="0.35">
      <c r="A2424">
        <v>6637564</v>
      </c>
      <c r="B2424" t="s">
        <v>6704</v>
      </c>
      <c r="C2424" t="str">
        <f>""</f>
        <v/>
      </c>
      <c r="D2424" t="str">
        <f>"9783110649789"</f>
        <v>9783110649789</v>
      </c>
      <c r="E2424" t="s">
        <v>415</v>
      </c>
      <c r="F2424" t="s">
        <v>415</v>
      </c>
      <c r="G2424" s="1">
        <v>43766</v>
      </c>
      <c r="H2424" s="1">
        <v>44459</v>
      </c>
      <c r="I2424" t="s">
        <v>189</v>
      </c>
      <c r="J2424">
        <v>1</v>
      </c>
      <c r="K2424" t="s">
        <v>6654</v>
      </c>
      <c r="L2424" t="s">
        <v>6705</v>
      </c>
      <c r="M2424" t="s">
        <v>239</v>
      </c>
    </row>
    <row r="2425" spans="1:40" x14ac:dyDescent="0.35">
      <c r="A2425">
        <v>6637567</v>
      </c>
      <c r="B2425" t="s">
        <v>6706</v>
      </c>
      <c r="C2425" t="str">
        <f>""</f>
        <v/>
      </c>
      <c r="D2425" t="str">
        <f>"9783110610314"</f>
        <v>9783110610314</v>
      </c>
      <c r="E2425" t="s">
        <v>415</v>
      </c>
      <c r="F2425" t="s">
        <v>415</v>
      </c>
      <c r="G2425" s="1">
        <v>43633</v>
      </c>
      <c r="H2425" s="1">
        <v>44459</v>
      </c>
      <c r="I2425" t="s">
        <v>189</v>
      </c>
      <c r="J2425">
        <v>1</v>
      </c>
      <c r="K2425" t="s">
        <v>3243</v>
      </c>
      <c r="L2425" t="s">
        <v>6707</v>
      </c>
      <c r="M2425" t="s">
        <v>676</v>
      </c>
      <c r="Q2425" t="s">
        <v>408</v>
      </c>
      <c r="R2425" t="s">
        <v>261</v>
      </c>
      <c r="S2425" t="s">
        <v>261</v>
      </c>
      <c r="T2425" t="s">
        <v>261</v>
      </c>
      <c r="U2425" t="s">
        <v>261</v>
      </c>
      <c r="V2425" t="s">
        <v>262</v>
      </c>
      <c r="W2425" t="s">
        <v>261</v>
      </c>
      <c r="X2425" t="s">
        <v>261</v>
      </c>
      <c r="Y2425" t="s">
        <v>261</v>
      </c>
      <c r="Z2425" t="s">
        <v>409</v>
      </c>
      <c r="AA2425" t="s">
        <v>409</v>
      </c>
      <c r="AB2425" t="s">
        <v>409</v>
      </c>
      <c r="AC2425" t="s">
        <v>409</v>
      </c>
      <c r="AD2425" t="s">
        <v>261</v>
      </c>
      <c r="AH2425" t="s">
        <v>262</v>
      </c>
      <c r="AI2425" t="s">
        <v>262</v>
      </c>
      <c r="AJ2425" t="s">
        <v>261</v>
      </c>
      <c r="AK2425" t="s">
        <v>261</v>
      </c>
      <c r="AM2425" t="s">
        <v>262</v>
      </c>
      <c r="AN2425" t="s">
        <v>6708</v>
      </c>
    </row>
    <row r="2426" spans="1:40" x14ac:dyDescent="0.35">
      <c r="A2426">
        <v>6637569</v>
      </c>
      <c r="B2426" t="s">
        <v>6709</v>
      </c>
      <c r="C2426" t="str">
        <f>""</f>
        <v/>
      </c>
      <c r="D2426" t="str">
        <f>"9783110619003"</f>
        <v>9783110619003</v>
      </c>
      <c r="E2426" t="s">
        <v>415</v>
      </c>
      <c r="F2426" t="s">
        <v>415</v>
      </c>
      <c r="G2426" s="1">
        <v>44116</v>
      </c>
      <c r="H2426" s="1">
        <v>44459</v>
      </c>
      <c r="I2426" t="s">
        <v>189</v>
      </c>
      <c r="J2426">
        <v>1</v>
      </c>
      <c r="L2426" t="s">
        <v>6710</v>
      </c>
    </row>
    <row r="2427" spans="1:40" x14ac:dyDescent="0.35">
      <c r="A2427">
        <v>6637572</v>
      </c>
      <c r="B2427" t="s">
        <v>6711</v>
      </c>
      <c r="C2427" t="str">
        <f>""</f>
        <v/>
      </c>
      <c r="D2427" t="str">
        <f>"9789048544066"</f>
        <v>9789048544066</v>
      </c>
      <c r="E2427" t="s">
        <v>361</v>
      </c>
      <c r="F2427" t="s">
        <v>361</v>
      </c>
      <c r="G2427" s="1">
        <v>43873</v>
      </c>
      <c r="H2427" s="1">
        <v>44483</v>
      </c>
      <c r="I2427" t="s">
        <v>189</v>
      </c>
      <c r="J2427">
        <v>1</v>
      </c>
      <c r="L2427" t="s">
        <v>6712</v>
      </c>
    </row>
    <row r="2428" spans="1:40" x14ac:dyDescent="0.35">
      <c r="A2428">
        <v>6637575</v>
      </c>
      <c r="B2428" t="s">
        <v>6713</v>
      </c>
      <c r="C2428" t="str">
        <f>""</f>
        <v/>
      </c>
      <c r="D2428" t="str">
        <f>"9789048532919"</f>
        <v>9789048532919</v>
      </c>
      <c r="E2428" t="s">
        <v>361</v>
      </c>
      <c r="F2428" t="s">
        <v>361</v>
      </c>
      <c r="G2428" s="1">
        <v>43665</v>
      </c>
      <c r="H2428" s="1">
        <v>44483</v>
      </c>
      <c r="I2428" t="s">
        <v>189</v>
      </c>
      <c r="J2428">
        <v>1</v>
      </c>
      <c r="K2428" t="s">
        <v>2936</v>
      </c>
      <c r="L2428" t="s">
        <v>6714</v>
      </c>
    </row>
    <row r="2429" spans="1:40" x14ac:dyDescent="0.35">
      <c r="A2429">
        <v>6637576</v>
      </c>
      <c r="B2429" t="s">
        <v>6715</v>
      </c>
      <c r="C2429" t="str">
        <f>""</f>
        <v/>
      </c>
      <c r="D2429" t="str">
        <f>"9783110664720"</f>
        <v>9783110664720</v>
      </c>
      <c r="E2429" t="s">
        <v>415</v>
      </c>
      <c r="F2429" t="s">
        <v>415</v>
      </c>
      <c r="G2429" s="1">
        <v>44263</v>
      </c>
      <c r="H2429" s="1">
        <v>44459</v>
      </c>
      <c r="I2429" t="s">
        <v>189</v>
      </c>
      <c r="J2429">
        <v>1</v>
      </c>
      <c r="K2429" t="s">
        <v>6716</v>
      </c>
      <c r="L2429" t="s">
        <v>6717</v>
      </c>
      <c r="M2429" t="s">
        <v>219</v>
      </c>
    </row>
    <row r="2430" spans="1:40" x14ac:dyDescent="0.35">
      <c r="A2430">
        <v>6637577</v>
      </c>
      <c r="B2430" t="s">
        <v>6718</v>
      </c>
      <c r="C2430" t="str">
        <f>"9783110626193"</f>
        <v>9783110626193</v>
      </c>
      <c r="D2430" t="str">
        <f>"9783110626209"</f>
        <v>9783110626209</v>
      </c>
      <c r="E2430" t="s">
        <v>415</v>
      </c>
      <c r="F2430" t="s">
        <v>659</v>
      </c>
      <c r="G2430" s="1">
        <v>43528</v>
      </c>
      <c r="H2430" s="1">
        <v>44459</v>
      </c>
      <c r="I2430" t="s">
        <v>189</v>
      </c>
      <c r="J2430">
        <v>1</v>
      </c>
      <c r="L2430" t="s">
        <v>6719</v>
      </c>
    </row>
    <row r="2431" spans="1:40" x14ac:dyDescent="0.35">
      <c r="A2431">
        <v>6637578</v>
      </c>
      <c r="B2431" t="s">
        <v>6720</v>
      </c>
      <c r="C2431" t="str">
        <f>""</f>
        <v/>
      </c>
      <c r="D2431" t="str">
        <f>"9783110606089"</f>
        <v>9783110606089</v>
      </c>
      <c r="E2431" t="s">
        <v>415</v>
      </c>
      <c r="F2431" t="s">
        <v>415</v>
      </c>
      <c r="G2431" s="1">
        <v>43731</v>
      </c>
      <c r="H2431" s="1">
        <v>44459</v>
      </c>
      <c r="I2431" t="s">
        <v>189</v>
      </c>
      <c r="J2431">
        <v>1</v>
      </c>
      <c r="K2431" t="s">
        <v>6721</v>
      </c>
      <c r="L2431" t="s">
        <v>3005</v>
      </c>
      <c r="M2431" t="s">
        <v>219</v>
      </c>
      <c r="Q2431" t="s">
        <v>408</v>
      </c>
      <c r="R2431" t="s">
        <v>261</v>
      </c>
      <c r="S2431" t="s">
        <v>261</v>
      </c>
      <c r="T2431" t="s">
        <v>261</v>
      </c>
      <c r="U2431" t="s">
        <v>261</v>
      </c>
      <c r="V2431" t="s">
        <v>262</v>
      </c>
      <c r="W2431" t="s">
        <v>261</v>
      </c>
      <c r="X2431" t="s">
        <v>261</v>
      </c>
      <c r="Y2431" t="s">
        <v>261</v>
      </c>
      <c r="Z2431" t="s">
        <v>409</v>
      </c>
      <c r="AA2431" t="s">
        <v>409</v>
      </c>
      <c r="AB2431" t="s">
        <v>409</v>
      </c>
      <c r="AC2431" t="s">
        <v>409</v>
      </c>
      <c r="AD2431" t="s">
        <v>261</v>
      </c>
      <c r="AH2431" t="s">
        <v>262</v>
      </c>
      <c r="AI2431" t="s">
        <v>262</v>
      </c>
      <c r="AJ2431" t="s">
        <v>261</v>
      </c>
      <c r="AK2431" t="s">
        <v>261</v>
      </c>
      <c r="AM2431" t="s">
        <v>262</v>
      </c>
      <c r="AN2431" t="s">
        <v>6722</v>
      </c>
    </row>
    <row r="2432" spans="1:40" x14ac:dyDescent="0.35">
      <c r="A2432">
        <v>6637579</v>
      </c>
      <c r="B2432" t="s">
        <v>6723</v>
      </c>
      <c r="C2432" t="str">
        <f>""</f>
        <v/>
      </c>
      <c r="D2432" t="str">
        <f>"9783110634327"</f>
        <v>9783110634327</v>
      </c>
      <c r="E2432" t="s">
        <v>415</v>
      </c>
      <c r="F2432" t="s">
        <v>415</v>
      </c>
      <c r="G2432" s="1">
        <v>43605</v>
      </c>
      <c r="H2432" s="1">
        <v>44459</v>
      </c>
      <c r="I2432" t="s">
        <v>189</v>
      </c>
      <c r="J2432">
        <v>1</v>
      </c>
      <c r="K2432" t="s">
        <v>6724</v>
      </c>
      <c r="L2432" t="s">
        <v>6725</v>
      </c>
      <c r="M2432" t="s">
        <v>239</v>
      </c>
    </row>
    <row r="2433" spans="1:40" x14ac:dyDescent="0.35">
      <c r="A2433">
        <v>6637580</v>
      </c>
      <c r="B2433" t="s">
        <v>6726</v>
      </c>
      <c r="C2433" t="str">
        <f>""</f>
        <v/>
      </c>
      <c r="D2433" t="str">
        <f>"9783110688665"</f>
        <v>9783110688665</v>
      </c>
      <c r="E2433" t="s">
        <v>415</v>
      </c>
      <c r="F2433" t="s">
        <v>415</v>
      </c>
      <c r="G2433" s="1">
        <v>43990</v>
      </c>
      <c r="H2433" s="1">
        <v>44459</v>
      </c>
      <c r="I2433" t="s">
        <v>189</v>
      </c>
      <c r="J2433">
        <v>1</v>
      </c>
      <c r="L2433" t="s">
        <v>3321</v>
      </c>
      <c r="M2433" t="s">
        <v>239</v>
      </c>
    </row>
    <row r="2434" spans="1:40" x14ac:dyDescent="0.35">
      <c r="A2434">
        <v>6637581</v>
      </c>
      <c r="B2434" t="s">
        <v>6727</v>
      </c>
      <c r="C2434" t="str">
        <f>"9783110619010"</f>
        <v>9783110619010</v>
      </c>
      <c r="D2434" t="str">
        <f>"9783110619034"</f>
        <v>9783110619034</v>
      </c>
      <c r="E2434" t="s">
        <v>415</v>
      </c>
      <c r="F2434" t="s">
        <v>415</v>
      </c>
      <c r="G2434" s="1">
        <v>43696</v>
      </c>
      <c r="H2434" s="1">
        <v>44459</v>
      </c>
      <c r="I2434" t="s">
        <v>189</v>
      </c>
      <c r="J2434">
        <v>1</v>
      </c>
      <c r="L2434" t="s">
        <v>88</v>
      </c>
    </row>
    <row r="2435" spans="1:40" x14ac:dyDescent="0.35">
      <c r="A2435">
        <v>6637585</v>
      </c>
      <c r="B2435" t="s">
        <v>6728</v>
      </c>
      <c r="C2435" t="str">
        <f>""</f>
        <v/>
      </c>
      <c r="D2435" t="str">
        <f>"9783110616743"</f>
        <v>9783110616743</v>
      </c>
      <c r="E2435" t="s">
        <v>415</v>
      </c>
      <c r="F2435" t="s">
        <v>415</v>
      </c>
      <c r="G2435" s="1">
        <v>44081</v>
      </c>
      <c r="H2435" s="1">
        <v>44459</v>
      </c>
      <c r="I2435" t="s">
        <v>189</v>
      </c>
      <c r="J2435">
        <v>1</v>
      </c>
      <c r="K2435" t="s">
        <v>6729</v>
      </c>
      <c r="L2435" t="s">
        <v>6730</v>
      </c>
      <c r="M2435" t="s">
        <v>578</v>
      </c>
      <c r="Q2435" t="s">
        <v>408</v>
      </c>
      <c r="R2435" t="s">
        <v>261</v>
      </c>
      <c r="S2435" t="s">
        <v>261</v>
      </c>
      <c r="T2435" t="s">
        <v>261</v>
      </c>
      <c r="U2435" t="s">
        <v>261</v>
      </c>
      <c r="V2435" t="s">
        <v>262</v>
      </c>
      <c r="W2435" t="s">
        <v>261</v>
      </c>
      <c r="X2435" t="s">
        <v>261</v>
      </c>
      <c r="Y2435" t="s">
        <v>261</v>
      </c>
      <c r="Z2435" t="s">
        <v>409</v>
      </c>
      <c r="AA2435" t="s">
        <v>409</v>
      </c>
      <c r="AB2435" t="s">
        <v>409</v>
      </c>
      <c r="AC2435" t="s">
        <v>409</v>
      </c>
      <c r="AD2435" t="s">
        <v>261</v>
      </c>
      <c r="AH2435" t="s">
        <v>262</v>
      </c>
      <c r="AI2435" t="s">
        <v>262</v>
      </c>
      <c r="AJ2435" t="s">
        <v>261</v>
      </c>
      <c r="AK2435" t="s">
        <v>261</v>
      </c>
      <c r="AM2435" t="s">
        <v>262</v>
      </c>
      <c r="AN2435" t="s">
        <v>6731</v>
      </c>
    </row>
    <row r="2436" spans="1:40" x14ac:dyDescent="0.35">
      <c r="A2436">
        <v>6637586</v>
      </c>
      <c r="B2436" t="s">
        <v>6732</v>
      </c>
      <c r="C2436" t="str">
        <f>""</f>
        <v/>
      </c>
      <c r="D2436" t="str">
        <f>"9783110675382"</f>
        <v>9783110675382</v>
      </c>
      <c r="E2436" t="s">
        <v>415</v>
      </c>
      <c r="F2436" t="s">
        <v>415</v>
      </c>
      <c r="G2436" s="1">
        <v>43990</v>
      </c>
      <c r="H2436" s="1">
        <v>44459</v>
      </c>
      <c r="I2436" t="s">
        <v>189</v>
      </c>
      <c r="J2436">
        <v>1</v>
      </c>
      <c r="L2436" t="s">
        <v>6733</v>
      </c>
      <c r="M2436" t="s">
        <v>389</v>
      </c>
      <c r="Q2436" t="s">
        <v>408</v>
      </c>
      <c r="R2436" t="s">
        <v>261</v>
      </c>
      <c r="S2436" t="s">
        <v>261</v>
      </c>
      <c r="T2436" t="s">
        <v>261</v>
      </c>
      <c r="U2436" t="s">
        <v>261</v>
      </c>
      <c r="V2436" t="s">
        <v>262</v>
      </c>
      <c r="W2436" t="s">
        <v>261</v>
      </c>
      <c r="X2436" t="s">
        <v>261</v>
      </c>
      <c r="Y2436" t="s">
        <v>261</v>
      </c>
      <c r="Z2436" t="s">
        <v>409</v>
      </c>
      <c r="AA2436" t="s">
        <v>409</v>
      </c>
      <c r="AB2436" t="s">
        <v>409</v>
      </c>
      <c r="AC2436" t="s">
        <v>409</v>
      </c>
      <c r="AD2436" t="s">
        <v>261</v>
      </c>
      <c r="AH2436" t="s">
        <v>262</v>
      </c>
      <c r="AI2436" t="s">
        <v>262</v>
      </c>
      <c r="AJ2436" t="s">
        <v>261</v>
      </c>
      <c r="AK2436" t="s">
        <v>261</v>
      </c>
      <c r="AM2436" t="s">
        <v>262</v>
      </c>
      <c r="AN2436" t="s">
        <v>6734</v>
      </c>
    </row>
    <row r="2437" spans="1:40" x14ac:dyDescent="0.35">
      <c r="A2437">
        <v>6637588</v>
      </c>
      <c r="B2437" t="s">
        <v>6735</v>
      </c>
      <c r="C2437" t="str">
        <f>""</f>
        <v/>
      </c>
      <c r="D2437" t="str">
        <f>"9783110645446"</f>
        <v>9783110645446</v>
      </c>
      <c r="E2437" t="s">
        <v>415</v>
      </c>
      <c r="F2437" t="s">
        <v>415</v>
      </c>
      <c r="G2437" s="1">
        <v>43759</v>
      </c>
      <c r="H2437" s="1">
        <v>44459</v>
      </c>
      <c r="I2437" t="s">
        <v>189</v>
      </c>
      <c r="J2437">
        <v>1</v>
      </c>
      <c r="K2437" t="s">
        <v>1159</v>
      </c>
      <c r="L2437" t="s">
        <v>6736</v>
      </c>
    </row>
    <row r="2438" spans="1:40" x14ac:dyDescent="0.35">
      <c r="A2438">
        <v>6637589</v>
      </c>
      <c r="B2438" t="s">
        <v>6737</v>
      </c>
      <c r="C2438" t="str">
        <f>"9783110615678"</f>
        <v>9783110615678</v>
      </c>
      <c r="D2438" t="str">
        <f>"9783110615692"</f>
        <v>9783110615692</v>
      </c>
      <c r="E2438" t="s">
        <v>415</v>
      </c>
      <c r="F2438" t="s">
        <v>415</v>
      </c>
      <c r="G2438" s="1">
        <v>43542</v>
      </c>
      <c r="H2438" s="1">
        <v>44459</v>
      </c>
      <c r="I2438" t="s">
        <v>189</v>
      </c>
      <c r="J2438">
        <v>1</v>
      </c>
      <c r="K2438" t="s">
        <v>3065</v>
      </c>
      <c r="L2438" t="s">
        <v>6738</v>
      </c>
      <c r="M2438" t="s">
        <v>676</v>
      </c>
    </row>
    <row r="2439" spans="1:40" x14ac:dyDescent="0.35">
      <c r="A2439">
        <v>6637590</v>
      </c>
      <c r="B2439" t="s">
        <v>6739</v>
      </c>
      <c r="C2439" t="str">
        <f>""</f>
        <v/>
      </c>
      <c r="D2439" t="str">
        <f>"9783035619171"</f>
        <v>9783035619171</v>
      </c>
      <c r="E2439" t="s">
        <v>415</v>
      </c>
      <c r="F2439" t="s">
        <v>1107</v>
      </c>
      <c r="G2439" s="1">
        <v>43731</v>
      </c>
      <c r="H2439" s="1">
        <v>44459</v>
      </c>
      <c r="I2439" t="s">
        <v>189</v>
      </c>
      <c r="J2439">
        <v>1</v>
      </c>
      <c r="K2439" t="s">
        <v>6740</v>
      </c>
      <c r="L2439" t="s">
        <v>6741</v>
      </c>
    </row>
    <row r="2440" spans="1:40" x14ac:dyDescent="0.35">
      <c r="A2440">
        <v>6637592</v>
      </c>
      <c r="B2440" t="s">
        <v>6742</v>
      </c>
      <c r="C2440" t="str">
        <f>""</f>
        <v/>
      </c>
      <c r="D2440" t="str">
        <f>"9783110623833"</f>
        <v>9783110623833</v>
      </c>
      <c r="E2440" t="s">
        <v>415</v>
      </c>
      <c r="F2440" t="s">
        <v>665</v>
      </c>
      <c r="G2440" s="1">
        <v>43801</v>
      </c>
      <c r="H2440" s="1">
        <v>44459</v>
      </c>
      <c r="I2440" t="s">
        <v>189</v>
      </c>
      <c r="J2440">
        <v>1</v>
      </c>
      <c r="L2440" t="s">
        <v>6743</v>
      </c>
      <c r="M2440" t="s">
        <v>239</v>
      </c>
      <c r="Q2440" t="s">
        <v>408</v>
      </c>
      <c r="R2440" t="s">
        <v>261</v>
      </c>
      <c r="S2440" t="s">
        <v>261</v>
      </c>
      <c r="T2440" t="s">
        <v>261</v>
      </c>
      <c r="U2440" t="s">
        <v>261</v>
      </c>
      <c r="V2440" t="s">
        <v>262</v>
      </c>
      <c r="W2440" t="s">
        <v>261</v>
      </c>
      <c r="X2440" t="s">
        <v>261</v>
      </c>
      <c r="Y2440" t="s">
        <v>261</v>
      </c>
      <c r="Z2440" t="s">
        <v>409</v>
      </c>
      <c r="AA2440" t="s">
        <v>409</v>
      </c>
      <c r="AB2440" t="s">
        <v>409</v>
      </c>
      <c r="AC2440" t="s">
        <v>409</v>
      </c>
      <c r="AD2440" t="s">
        <v>261</v>
      </c>
      <c r="AH2440" t="s">
        <v>262</v>
      </c>
      <c r="AI2440" t="s">
        <v>262</v>
      </c>
      <c r="AJ2440" t="s">
        <v>261</v>
      </c>
      <c r="AK2440" t="s">
        <v>261</v>
      </c>
      <c r="AM2440" t="s">
        <v>262</v>
      </c>
      <c r="AN2440" t="s">
        <v>6744</v>
      </c>
    </row>
    <row r="2441" spans="1:40" x14ac:dyDescent="0.35">
      <c r="A2441">
        <v>6637594</v>
      </c>
      <c r="B2441" t="s">
        <v>6745</v>
      </c>
      <c r="C2441" t="str">
        <f>"9783110586763"</f>
        <v>9783110586763</v>
      </c>
      <c r="D2441" t="str">
        <f>"9783110586770"</f>
        <v>9783110586770</v>
      </c>
      <c r="E2441" t="s">
        <v>415</v>
      </c>
      <c r="F2441" t="s">
        <v>415</v>
      </c>
      <c r="G2441" s="1">
        <v>43479</v>
      </c>
      <c r="H2441" s="1">
        <v>44459</v>
      </c>
      <c r="I2441" t="s">
        <v>189</v>
      </c>
      <c r="J2441">
        <v>1</v>
      </c>
      <c r="K2441" t="s">
        <v>6746</v>
      </c>
      <c r="L2441" t="s">
        <v>6747</v>
      </c>
      <c r="M2441" t="s">
        <v>676</v>
      </c>
    </row>
    <row r="2442" spans="1:40" x14ac:dyDescent="0.35">
      <c r="A2442">
        <v>6637597</v>
      </c>
      <c r="B2442" t="s">
        <v>6748</v>
      </c>
      <c r="C2442" t="str">
        <f>""</f>
        <v/>
      </c>
      <c r="D2442" t="str">
        <f>"9783110625844"</f>
        <v>9783110625844</v>
      </c>
      <c r="E2442" t="s">
        <v>415</v>
      </c>
      <c r="F2442" t="s">
        <v>415</v>
      </c>
      <c r="G2442" s="1">
        <v>44158</v>
      </c>
      <c r="H2442" s="1">
        <v>44459</v>
      </c>
      <c r="I2442" t="s">
        <v>189</v>
      </c>
      <c r="J2442">
        <v>1</v>
      </c>
      <c r="K2442" t="s">
        <v>2442</v>
      </c>
      <c r="L2442" t="s">
        <v>3103</v>
      </c>
    </row>
    <row r="2443" spans="1:40" x14ac:dyDescent="0.35">
      <c r="A2443">
        <v>6637598</v>
      </c>
      <c r="B2443" t="s">
        <v>6749</v>
      </c>
      <c r="C2443" t="str">
        <f>""</f>
        <v/>
      </c>
      <c r="D2443" t="str">
        <f>"9783110669398"</f>
        <v>9783110669398</v>
      </c>
      <c r="E2443" t="s">
        <v>415</v>
      </c>
      <c r="F2443" t="s">
        <v>415</v>
      </c>
      <c r="G2443" s="1">
        <v>44053</v>
      </c>
      <c r="H2443" s="1">
        <v>44459</v>
      </c>
      <c r="I2443" t="s">
        <v>189</v>
      </c>
      <c r="J2443">
        <v>1</v>
      </c>
      <c r="K2443" t="s">
        <v>6750</v>
      </c>
      <c r="L2443" t="s">
        <v>6751</v>
      </c>
    </row>
    <row r="2444" spans="1:40" x14ac:dyDescent="0.35">
      <c r="A2444">
        <v>6637599</v>
      </c>
      <c r="B2444" t="s">
        <v>6752</v>
      </c>
      <c r="C2444" t="str">
        <f>""</f>
        <v/>
      </c>
      <c r="D2444" t="str">
        <f>"9783110677065"</f>
        <v>9783110677065</v>
      </c>
      <c r="E2444" t="s">
        <v>415</v>
      </c>
      <c r="F2444" t="s">
        <v>415</v>
      </c>
      <c r="G2444" s="1">
        <v>43956</v>
      </c>
      <c r="H2444" s="1">
        <v>44459</v>
      </c>
      <c r="I2444" t="s">
        <v>189</v>
      </c>
      <c r="J2444">
        <v>1</v>
      </c>
      <c r="L2444" t="s">
        <v>6753</v>
      </c>
    </row>
    <row r="2445" spans="1:40" x14ac:dyDescent="0.35">
      <c r="A2445">
        <v>6637601</v>
      </c>
      <c r="B2445" t="s">
        <v>6754</v>
      </c>
      <c r="C2445" t="str">
        <f>""</f>
        <v/>
      </c>
      <c r="D2445" t="str">
        <f>"9783110607772"</f>
        <v>9783110607772</v>
      </c>
      <c r="E2445" t="s">
        <v>415</v>
      </c>
      <c r="F2445" t="s">
        <v>1266</v>
      </c>
      <c r="G2445" s="1">
        <v>43787</v>
      </c>
      <c r="H2445" s="1">
        <v>44459</v>
      </c>
      <c r="I2445" t="s">
        <v>189</v>
      </c>
      <c r="J2445">
        <v>1</v>
      </c>
      <c r="L2445" t="s">
        <v>5149</v>
      </c>
    </row>
    <row r="2446" spans="1:40" x14ac:dyDescent="0.35">
      <c r="A2446">
        <v>6637603</v>
      </c>
      <c r="B2446" t="s">
        <v>6755</v>
      </c>
      <c r="C2446" t="str">
        <f>""</f>
        <v/>
      </c>
      <c r="D2446" t="str">
        <f>"9783110642513"</f>
        <v>9783110642513</v>
      </c>
      <c r="E2446" t="s">
        <v>415</v>
      </c>
      <c r="F2446" t="s">
        <v>415</v>
      </c>
      <c r="G2446" s="1">
        <v>43731</v>
      </c>
      <c r="H2446" s="1">
        <v>44459</v>
      </c>
      <c r="I2446" t="s">
        <v>189</v>
      </c>
      <c r="J2446">
        <v>1</v>
      </c>
      <c r="L2446" t="s">
        <v>6756</v>
      </c>
    </row>
    <row r="2447" spans="1:40" x14ac:dyDescent="0.35">
      <c r="A2447">
        <v>6637604</v>
      </c>
      <c r="B2447" t="s">
        <v>6757</v>
      </c>
      <c r="C2447" t="str">
        <f>""</f>
        <v/>
      </c>
      <c r="D2447" t="str">
        <f>"9783110635942"</f>
        <v>9783110635942</v>
      </c>
      <c r="E2447" t="s">
        <v>415</v>
      </c>
      <c r="F2447" t="s">
        <v>665</v>
      </c>
      <c r="G2447" s="1">
        <v>43746</v>
      </c>
      <c r="H2447" s="1">
        <v>44459</v>
      </c>
      <c r="I2447" t="s">
        <v>189</v>
      </c>
      <c r="J2447">
        <v>1</v>
      </c>
      <c r="L2447" t="s">
        <v>6758</v>
      </c>
    </row>
    <row r="2448" spans="1:40" x14ac:dyDescent="0.35">
      <c r="A2448">
        <v>6637607</v>
      </c>
      <c r="B2448" t="s">
        <v>6759</v>
      </c>
      <c r="C2448" t="str">
        <f>""</f>
        <v/>
      </c>
      <c r="D2448" t="str">
        <f>"9783110639445"</f>
        <v>9783110639445</v>
      </c>
      <c r="E2448" t="s">
        <v>415</v>
      </c>
      <c r="F2448" t="s">
        <v>415</v>
      </c>
      <c r="G2448" s="1">
        <v>44130</v>
      </c>
      <c r="H2448" s="1">
        <v>44459</v>
      </c>
      <c r="I2448" t="s">
        <v>189</v>
      </c>
      <c r="J2448">
        <v>1</v>
      </c>
      <c r="K2448" t="s">
        <v>3934</v>
      </c>
      <c r="L2448" t="s">
        <v>6760</v>
      </c>
      <c r="M2448" t="s">
        <v>219</v>
      </c>
      <c r="Q2448" t="s">
        <v>408</v>
      </c>
      <c r="R2448" t="s">
        <v>261</v>
      </c>
      <c r="S2448" t="s">
        <v>261</v>
      </c>
      <c r="T2448" t="s">
        <v>261</v>
      </c>
      <c r="U2448" t="s">
        <v>261</v>
      </c>
      <c r="V2448" t="s">
        <v>262</v>
      </c>
      <c r="W2448" t="s">
        <v>261</v>
      </c>
      <c r="X2448" t="s">
        <v>261</v>
      </c>
      <c r="Y2448" t="s">
        <v>261</v>
      </c>
      <c r="Z2448" t="s">
        <v>409</v>
      </c>
      <c r="AA2448" t="s">
        <v>409</v>
      </c>
      <c r="AB2448" t="s">
        <v>409</v>
      </c>
      <c r="AC2448" t="s">
        <v>409</v>
      </c>
      <c r="AD2448" t="s">
        <v>261</v>
      </c>
      <c r="AH2448" t="s">
        <v>262</v>
      </c>
      <c r="AI2448" t="s">
        <v>262</v>
      </c>
      <c r="AJ2448" t="s">
        <v>261</v>
      </c>
      <c r="AK2448" t="s">
        <v>261</v>
      </c>
      <c r="AM2448" t="s">
        <v>262</v>
      </c>
      <c r="AN2448" t="s">
        <v>6761</v>
      </c>
    </row>
    <row r="2449" spans="1:40" x14ac:dyDescent="0.35">
      <c r="A2449">
        <v>6637610</v>
      </c>
      <c r="B2449" t="s">
        <v>6762</v>
      </c>
      <c r="C2449" t="str">
        <f>""</f>
        <v/>
      </c>
      <c r="D2449" t="str">
        <f>"9783110690668"</f>
        <v>9783110690668</v>
      </c>
      <c r="E2449" t="s">
        <v>415</v>
      </c>
      <c r="F2449" t="s">
        <v>415</v>
      </c>
      <c r="G2449" s="1">
        <v>44067</v>
      </c>
      <c r="H2449" s="1">
        <v>44459</v>
      </c>
      <c r="I2449" t="s">
        <v>189</v>
      </c>
      <c r="J2449">
        <v>1</v>
      </c>
      <c r="L2449" t="s">
        <v>6763</v>
      </c>
      <c r="M2449" t="s">
        <v>249</v>
      </c>
      <c r="O2449" s="2">
        <v>6584058</v>
      </c>
      <c r="Q2449" t="s">
        <v>260</v>
      </c>
      <c r="R2449" t="s">
        <v>261</v>
      </c>
      <c r="S2449" t="s">
        <v>261</v>
      </c>
      <c r="T2449" t="s">
        <v>261</v>
      </c>
      <c r="U2449" t="s">
        <v>261</v>
      </c>
      <c r="V2449" t="s">
        <v>262</v>
      </c>
      <c r="W2449" t="s">
        <v>261</v>
      </c>
      <c r="X2449" t="s">
        <v>261</v>
      </c>
      <c r="Y2449" t="s">
        <v>261</v>
      </c>
      <c r="Z2449" t="s">
        <v>409</v>
      </c>
      <c r="AA2449" t="s">
        <v>409</v>
      </c>
      <c r="AB2449" t="s">
        <v>409</v>
      </c>
      <c r="AC2449" t="s">
        <v>409</v>
      </c>
      <c r="AD2449" t="s">
        <v>261</v>
      </c>
      <c r="AH2449" t="s">
        <v>262</v>
      </c>
      <c r="AI2449" t="s">
        <v>262</v>
      </c>
      <c r="AJ2449" t="s">
        <v>261</v>
      </c>
      <c r="AK2449" t="s">
        <v>261</v>
      </c>
      <c r="AM2449" t="s">
        <v>262</v>
      </c>
      <c r="AN2449" t="s">
        <v>6764</v>
      </c>
    </row>
    <row r="2450" spans="1:40" x14ac:dyDescent="0.35">
      <c r="A2450">
        <v>6637611</v>
      </c>
      <c r="B2450" t="s">
        <v>6765</v>
      </c>
      <c r="C2450" t="str">
        <f>""</f>
        <v/>
      </c>
      <c r="D2450" t="str">
        <f>"9783839445303"</f>
        <v>9783839445303</v>
      </c>
      <c r="E2450" t="s">
        <v>6766</v>
      </c>
      <c r="F2450" t="s">
        <v>6766</v>
      </c>
      <c r="G2450" s="1">
        <v>43774</v>
      </c>
      <c r="H2450" s="1">
        <v>44483</v>
      </c>
      <c r="I2450" t="s">
        <v>189</v>
      </c>
      <c r="K2450" t="s">
        <v>6767</v>
      </c>
      <c r="L2450" t="s">
        <v>6768</v>
      </c>
    </row>
    <row r="2451" spans="1:40" x14ac:dyDescent="0.35">
      <c r="A2451">
        <v>6637617</v>
      </c>
      <c r="B2451" t="s">
        <v>6769</v>
      </c>
      <c r="C2451" t="str">
        <f>""</f>
        <v/>
      </c>
      <c r="D2451" t="str">
        <f>"9783035620252"</f>
        <v>9783035620252</v>
      </c>
      <c r="E2451" t="s">
        <v>415</v>
      </c>
      <c r="F2451" t="s">
        <v>1107</v>
      </c>
      <c r="G2451" s="1">
        <v>43817</v>
      </c>
      <c r="H2451" s="1">
        <v>44459</v>
      </c>
      <c r="I2451" t="s">
        <v>189</v>
      </c>
      <c r="J2451">
        <v>1</v>
      </c>
      <c r="L2451" t="s">
        <v>6770</v>
      </c>
      <c r="M2451" t="s">
        <v>578</v>
      </c>
      <c r="Q2451" t="s">
        <v>408</v>
      </c>
      <c r="R2451" t="s">
        <v>261</v>
      </c>
      <c r="S2451" t="s">
        <v>261</v>
      </c>
      <c r="T2451" t="s">
        <v>261</v>
      </c>
      <c r="U2451" t="s">
        <v>261</v>
      </c>
      <c r="V2451" t="s">
        <v>262</v>
      </c>
      <c r="W2451" t="s">
        <v>261</v>
      </c>
      <c r="X2451" t="s">
        <v>261</v>
      </c>
      <c r="Y2451" t="s">
        <v>261</v>
      </c>
      <c r="Z2451" t="s">
        <v>409</v>
      </c>
      <c r="AA2451" t="s">
        <v>409</v>
      </c>
      <c r="AB2451" t="s">
        <v>409</v>
      </c>
      <c r="AC2451" t="s">
        <v>409</v>
      </c>
      <c r="AD2451" t="s">
        <v>261</v>
      </c>
      <c r="AH2451" t="s">
        <v>262</v>
      </c>
      <c r="AI2451" t="s">
        <v>262</v>
      </c>
      <c r="AJ2451" t="s">
        <v>261</v>
      </c>
      <c r="AK2451" t="s">
        <v>261</v>
      </c>
      <c r="AM2451" t="s">
        <v>262</v>
      </c>
      <c r="AN2451" t="s">
        <v>6771</v>
      </c>
    </row>
    <row r="2452" spans="1:40" x14ac:dyDescent="0.35">
      <c r="A2452">
        <v>6637618</v>
      </c>
      <c r="B2452" t="s">
        <v>6772</v>
      </c>
      <c r="C2452" t="str">
        <f>""</f>
        <v/>
      </c>
      <c r="D2452" t="str">
        <f>"9783110659658"</f>
        <v>9783110659658</v>
      </c>
      <c r="E2452" t="s">
        <v>415</v>
      </c>
      <c r="F2452" t="s">
        <v>415</v>
      </c>
      <c r="G2452" s="1">
        <v>44004</v>
      </c>
      <c r="H2452" s="1">
        <v>44459</v>
      </c>
      <c r="I2452" t="s">
        <v>189</v>
      </c>
      <c r="J2452">
        <v>1</v>
      </c>
      <c r="K2452" t="s">
        <v>628</v>
      </c>
      <c r="L2452" t="s">
        <v>6773</v>
      </c>
      <c r="M2452" t="s">
        <v>239</v>
      </c>
    </row>
    <row r="2453" spans="1:40" x14ac:dyDescent="0.35">
      <c r="A2453">
        <v>6637621</v>
      </c>
      <c r="B2453" t="s">
        <v>6774</v>
      </c>
      <c r="C2453" t="str">
        <f>""</f>
        <v/>
      </c>
      <c r="D2453" t="str">
        <f>"9783110642384"</f>
        <v>9783110642384</v>
      </c>
      <c r="E2453" t="s">
        <v>415</v>
      </c>
      <c r="F2453" t="s">
        <v>415</v>
      </c>
      <c r="G2453" s="1">
        <v>44172</v>
      </c>
      <c r="H2453" s="1">
        <v>44459</v>
      </c>
      <c r="I2453" t="s">
        <v>189</v>
      </c>
      <c r="J2453">
        <v>1</v>
      </c>
      <c r="K2453" t="s">
        <v>2279</v>
      </c>
      <c r="L2453" t="s">
        <v>6775</v>
      </c>
      <c r="M2453" t="s">
        <v>219</v>
      </c>
    </row>
    <row r="2454" spans="1:40" x14ac:dyDescent="0.35">
      <c r="A2454">
        <v>6637624</v>
      </c>
      <c r="B2454" t="s">
        <v>6776</v>
      </c>
      <c r="C2454" t="str">
        <f>""</f>
        <v/>
      </c>
      <c r="D2454" t="str">
        <f>"9783110641226"</f>
        <v>9783110641226</v>
      </c>
      <c r="E2454" t="s">
        <v>415</v>
      </c>
      <c r="F2454" t="s">
        <v>415</v>
      </c>
      <c r="G2454" s="1">
        <v>43815</v>
      </c>
      <c r="H2454" s="1">
        <v>44459</v>
      </c>
      <c r="I2454" t="s">
        <v>189</v>
      </c>
      <c r="J2454">
        <v>1</v>
      </c>
      <c r="K2454" t="s">
        <v>6777</v>
      </c>
      <c r="L2454" t="s">
        <v>6778</v>
      </c>
      <c r="M2454" t="s">
        <v>676</v>
      </c>
      <c r="Q2454" t="s">
        <v>1827</v>
      </c>
      <c r="R2454" t="s">
        <v>261</v>
      </c>
      <c r="S2454" t="s">
        <v>261</v>
      </c>
      <c r="T2454" t="s">
        <v>261</v>
      </c>
      <c r="U2454" t="s">
        <v>261</v>
      </c>
      <c r="V2454" t="s">
        <v>262</v>
      </c>
      <c r="W2454" t="s">
        <v>261</v>
      </c>
      <c r="X2454" t="s">
        <v>261</v>
      </c>
      <c r="Y2454" t="s">
        <v>261</v>
      </c>
      <c r="Z2454" t="s">
        <v>409</v>
      </c>
      <c r="AA2454" t="s">
        <v>409</v>
      </c>
      <c r="AB2454" t="s">
        <v>409</v>
      </c>
      <c r="AC2454" t="s">
        <v>409</v>
      </c>
      <c r="AD2454" t="s">
        <v>261</v>
      </c>
      <c r="AH2454" t="s">
        <v>262</v>
      </c>
      <c r="AI2454" t="s">
        <v>262</v>
      </c>
      <c r="AJ2454" t="s">
        <v>261</v>
      </c>
      <c r="AK2454" t="s">
        <v>261</v>
      </c>
      <c r="AM2454" t="s">
        <v>262</v>
      </c>
      <c r="AN2454" t="s">
        <v>6779</v>
      </c>
    </row>
    <row r="2455" spans="1:40" x14ac:dyDescent="0.35">
      <c r="A2455">
        <v>6637625</v>
      </c>
      <c r="B2455" t="s">
        <v>6780</v>
      </c>
      <c r="C2455" t="str">
        <f>"9783110620306"</f>
        <v>9783110620306</v>
      </c>
      <c r="D2455" t="str">
        <f>"9783110621365"</f>
        <v>9783110621365</v>
      </c>
      <c r="E2455" t="s">
        <v>415</v>
      </c>
      <c r="F2455" t="s">
        <v>415</v>
      </c>
      <c r="G2455" s="1">
        <v>43654</v>
      </c>
      <c r="H2455" s="1">
        <v>44459</v>
      </c>
      <c r="I2455" t="s">
        <v>189</v>
      </c>
      <c r="J2455">
        <v>1</v>
      </c>
      <c r="K2455" t="s">
        <v>6781</v>
      </c>
      <c r="L2455" t="s">
        <v>6782</v>
      </c>
      <c r="M2455" t="s">
        <v>219</v>
      </c>
      <c r="N2455" t="s">
        <v>6783</v>
      </c>
      <c r="Q2455" t="s">
        <v>1827</v>
      </c>
      <c r="R2455" t="s">
        <v>261</v>
      </c>
      <c r="S2455" t="s">
        <v>261</v>
      </c>
      <c r="T2455" t="s">
        <v>261</v>
      </c>
      <c r="U2455" t="s">
        <v>261</v>
      </c>
      <c r="V2455" t="s">
        <v>262</v>
      </c>
      <c r="W2455" t="s">
        <v>261</v>
      </c>
      <c r="X2455" t="s">
        <v>261</v>
      </c>
      <c r="Y2455" t="s">
        <v>261</v>
      </c>
      <c r="Z2455" t="s">
        <v>409</v>
      </c>
      <c r="AA2455" t="s">
        <v>409</v>
      </c>
      <c r="AB2455" t="s">
        <v>409</v>
      </c>
      <c r="AC2455" t="s">
        <v>409</v>
      </c>
      <c r="AD2455" t="s">
        <v>261</v>
      </c>
      <c r="AH2455" t="s">
        <v>262</v>
      </c>
      <c r="AI2455" t="s">
        <v>262</v>
      </c>
      <c r="AJ2455" t="s">
        <v>261</v>
      </c>
      <c r="AK2455" t="s">
        <v>261</v>
      </c>
      <c r="AM2455" t="s">
        <v>262</v>
      </c>
      <c r="AN2455" t="s">
        <v>6784</v>
      </c>
    </row>
    <row r="2456" spans="1:40" x14ac:dyDescent="0.35">
      <c r="A2456">
        <v>6637628</v>
      </c>
      <c r="B2456" t="s">
        <v>6785</v>
      </c>
      <c r="C2456" t="str">
        <f>""</f>
        <v/>
      </c>
      <c r="D2456" t="str">
        <f>"9783110669800"</f>
        <v>9783110669800</v>
      </c>
      <c r="E2456" t="s">
        <v>415</v>
      </c>
      <c r="F2456" t="s">
        <v>415</v>
      </c>
      <c r="G2456" s="1">
        <v>43885</v>
      </c>
      <c r="H2456" s="1">
        <v>44459</v>
      </c>
      <c r="I2456" t="s">
        <v>189</v>
      </c>
      <c r="J2456">
        <v>1</v>
      </c>
      <c r="K2456" t="s">
        <v>6786</v>
      </c>
      <c r="L2456" t="s">
        <v>6787</v>
      </c>
    </row>
    <row r="2457" spans="1:40" x14ac:dyDescent="0.35">
      <c r="A2457">
        <v>6637630</v>
      </c>
      <c r="B2457" t="s">
        <v>6788</v>
      </c>
      <c r="C2457" t="str">
        <f>""</f>
        <v/>
      </c>
      <c r="D2457" t="str">
        <f>"9789048550234"</f>
        <v>9789048550234</v>
      </c>
      <c r="E2457" t="s">
        <v>361</v>
      </c>
      <c r="F2457" t="s">
        <v>361</v>
      </c>
      <c r="G2457" s="1">
        <v>43797</v>
      </c>
      <c r="H2457" s="1">
        <v>44354</v>
      </c>
      <c r="I2457" t="s">
        <v>189</v>
      </c>
      <c r="J2457">
        <v>1</v>
      </c>
      <c r="K2457" t="s">
        <v>6567</v>
      </c>
      <c r="L2457" t="s">
        <v>6789</v>
      </c>
      <c r="M2457" t="s">
        <v>239</v>
      </c>
    </row>
    <row r="2458" spans="1:40" x14ac:dyDescent="0.35">
      <c r="A2458">
        <v>6637631</v>
      </c>
      <c r="B2458" t="s">
        <v>6790</v>
      </c>
      <c r="C2458" t="str">
        <f>""</f>
        <v/>
      </c>
      <c r="D2458" t="str">
        <f>"9789048535538"</f>
        <v>9789048535538</v>
      </c>
      <c r="E2458" t="s">
        <v>361</v>
      </c>
      <c r="F2458" t="s">
        <v>361</v>
      </c>
      <c r="G2458" s="1">
        <v>43742</v>
      </c>
      <c r="H2458" s="1">
        <v>44483</v>
      </c>
      <c r="I2458" t="s">
        <v>189</v>
      </c>
      <c r="J2458">
        <v>1</v>
      </c>
      <c r="K2458" t="s">
        <v>6791</v>
      </c>
      <c r="L2458" t="s">
        <v>6792</v>
      </c>
    </row>
    <row r="2459" spans="1:40" x14ac:dyDescent="0.35">
      <c r="A2459">
        <v>6637635</v>
      </c>
      <c r="B2459" t="s">
        <v>6793</v>
      </c>
      <c r="C2459" t="str">
        <f>""</f>
        <v/>
      </c>
      <c r="D2459" t="str">
        <f>"9783110691504"</f>
        <v>9783110691504</v>
      </c>
      <c r="E2459" t="s">
        <v>415</v>
      </c>
      <c r="F2459" t="s">
        <v>415</v>
      </c>
      <c r="G2459" s="1">
        <v>44158</v>
      </c>
      <c r="H2459" s="1">
        <v>44459</v>
      </c>
      <c r="I2459" t="s">
        <v>189</v>
      </c>
      <c r="J2459">
        <v>1</v>
      </c>
      <c r="K2459" t="s">
        <v>6794</v>
      </c>
      <c r="L2459" t="s">
        <v>6795</v>
      </c>
    </row>
    <row r="2460" spans="1:40" x14ac:dyDescent="0.35">
      <c r="A2460">
        <v>6637636</v>
      </c>
      <c r="B2460" t="s">
        <v>6796</v>
      </c>
      <c r="C2460" t="str">
        <f>""</f>
        <v/>
      </c>
      <c r="D2460" t="str">
        <f>"9783110685008"</f>
        <v>9783110685008</v>
      </c>
      <c r="E2460" t="s">
        <v>415</v>
      </c>
      <c r="F2460" t="s">
        <v>415</v>
      </c>
      <c r="G2460" s="1">
        <v>44004</v>
      </c>
      <c r="H2460" s="1">
        <v>44459</v>
      </c>
      <c r="I2460" t="s">
        <v>189</v>
      </c>
      <c r="J2460">
        <v>1</v>
      </c>
      <c r="K2460" t="s">
        <v>6797</v>
      </c>
      <c r="L2460" t="s">
        <v>6798</v>
      </c>
      <c r="M2460" t="s">
        <v>239</v>
      </c>
    </row>
    <row r="2461" spans="1:40" x14ac:dyDescent="0.35">
      <c r="A2461">
        <v>6637638</v>
      </c>
      <c r="B2461" t="s">
        <v>6799</v>
      </c>
      <c r="C2461" t="str">
        <f>""</f>
        <v/>
      </c>
      <c r="D2461" t="str">
        <f>"9783110641134"</f>
        <v>9783110641134</v>
      </c>
      <c r="E2461" t="s">
        <v>415</v>
      </c>
      <c r="F2461" t="s">
        <v>415</v>
      </c>
      <c r="G2461" s="1">
        <v>43759</v>
      </c>
      <c r="H2461" s="1">
        <v>44459</v>
      </c>
      <c r="I2461" t="s">
        <v>189</v>
      </c>
      <c r="J2461">
        <v>1</v>
      </c>
      <c r="K2461" t="s">
        <v>3327</v>
      </c>
      <c r="L2461" t="s">
        <v>3253</v>
      </c>
    </row>
    <row r="2462" spans="1:40" x14ac:dyDescent="0.35">
      <c r="A2462">
        <v>6637639</v>
      </c>
      <c r="B2462" t="s">
        <v>6800</v>
      </c>
      <c r="C2462" t="str">
        <f>""</f>
        <v/>
      </c>
      <c r="D2462" t="str">
        <f>"9783110691375"</f>
        <v>9783110691375</v>
      </c>
      <c r="E2462" t="s">
        <v>415</v>
      </c>
      <c r="F2462" t="s">
        <v>415</v>
      </c>
      <c r="G2462" s="1">
        <v>44004</v>
      </c>
      <c r="H2462" s="1">
        <v>44459</v>
      </c>
      <c r="I2462" t="s">
        <v>189</v>
      </c>
      <c r="J2462">
        <v>1</v>
      </c>
      <c r="L2462" t="s">
        <v>6801</v>
      </c>
      <c r="M2462" t="s">
        <v>219</v>
      </c>
      <c r="O2462" s="2">
        <v>8209355</v>
      </c>
      <c r="Q2462" t="s">
        <v>260</v>
      </c>
      <c r="R2462" t="s">
        <v>261</v>
      </c>
      <c r="S2462" t="s">
        <v>261</v>
      </c>
      <c r="T2462" t="s">
        <v>261</v>
      </c>
      <c r="U2462" t="s">
        <v>261</v>
      </c>
      <c r="V2462" t="s">
        <v>262</v>
      </c>
      <c r="W2462" t="s">
        <v>261</v>
      </c>
      <c r="X2462" t="s">
        <v>261</v>
      </c>
      <c r="Y2462" t="s">
        <v>261</v>
      </c>
      <c r="Z2462" t="s">
        <v>409</v>
      </c>
      <c r="AA2462" t="s">
        <v>409</v>
      </c>
      <c r="AB2462" t="s">
        <v>409</v>
      </c>
      <c r="AC2462" t="s">
        <v>409</v>
      </c>
      <c r="AD2462" t="s">
        <v>261</v>
      </c>
      <c r="AH2462" t="s">
        <v>262</v>
      </c>
      <c r="AI2462" t="s">
        <v>262</v>
      </c>
      <c r="AJ2462" t="s">
        <v>261</v>
      </c>
      <c r="AK2462" t="s">
        <v>261</v>
      </c>
      <c r="AM2462" t="s">
        <v>262</v>
      </c>
      <c r="AN2462" t="s">
        <v>6802</v>
      </c>
    </row>
    <row r="2463" spans="1:40" x14ac:dyDescent="0.35">
      <c r="A2463">
        <v>6637641</v>
      </c>
      <c r="B2463" t="s">
        <v>6803</v>
      </c>
      <c r="C2463" t="str">
        <f>"9783110602951"</f>
        <v>9783110602951</v>
      </c>
      <c r="D2463" t="str">
        <f>"9783110605679"</f>
        <v>9783110605679</v>
      </c>
      <c r="E2463" t="s">
        <v>415</v>
      </c>
      <c r="F2463" t="s">
        <v>415</v>
      </c>
      <c r="G2463" s="1">
        <v>43746</v>
      </c>
      <c r="H2463" s="1">
        <v>44459</v>
      </c>
      <c r="I2463" t="s">
        <v>189</v>
      </c>
      <c r="J2463">
        <v>1</v>
      </c>
      <c r="L2463" t="s">
        <v>6804</v>
      </c>
      <c r="M2463" t="s">
        <v>676</v>
      </c>
      <c r="Q2463" t="s">
        <v>6636</v>
      </c>
    </row>
    <row r="2464" spans="1:40" x14ac:dyDescent="0.35">
      <c r="A2464">
        <v>6637646</v>
      </c>
      <c r="B2464" t="s">
        <v>6805</v>
      </c>
      <c r="C2464" t="str">
        <f>""</f>
        <v/>
      </c>
      <c r="D2464" t="str">
        <f>"9783110639438"</f>
        <v>9783110639438</v>
      </c>
      <c r="E2464" t="s">
        <v>415</v>
      </c>
      <c r="F2464" t="s">
        <v>415</v>
      </c>
      <c r="G2464" s="1">
        <v>44305</v>
      </c>
      <c r="H2464" s="1">
        <v>44459</v>
      </c>
      <c r="I2464" t="s">
        <v>189</v>
      </c>
      <c r="J2464">
        <v>1</v>
      </c>
      <c r="L2464" t="s">
        <v>6806</v>
      </c>
    </row>
    <row r="2465" spans="1:40" x14ac:dyDescent="0.35">
      <c r="A2465">
        <v>6637647</v>
      </c>
      <c r="B2465" t="s">
        <v>6807</v>
      </c>
      <c r="C2465" t="str">
        <f>""</f>
        <v/>
      </c>
      <c r="D2465" t="str">
        <f>"9783110661583"</f>
        <v>9783110661583</v>
      </c>
      <c r="E2465" t="s">
        <v>415</v>
      </c>
      <c r="F2465" t="s">
        <v>415</v>
      </c>
      <c r="G2465" s="1">
        <v>43710</v>
      </c>
      <c r="H2465" s="1">
        <v>44459</v>
      </c>
      <c r="I2465" t="s">
        <v>189</v>
      </c>
      <c r="J2465">
        <v>1</v>
      </c>
      <c r="L2465" t="s">
        <v>6808</v>
      </c>
    </row>
    <row r="2466" spans="1:40" x14ac:dyDescent="0.35">
      <c r="A2466">
        <v>6637648</v>
      </c>
      <c r="B2466" t="s">
        <v>6809</v>
      </c>
      <c r="C2466" t="str">
        <f>""</f>
        <v/>
      </c>
      <c r="D2466" t="str">
        <f>"9789048536757"</f>
        <v>9789048536757</v>
      </c>
      <c r="E2466" t="s">
        <v>361</v>
      </c>
      <c r="F2466" t="s">
        <v>361</v>
      </c>
      <c r="G2466" s="1">
        <v>43661</v>
      </c>
      <c r="H2466" s="1">
        <v>44483</v>
      </c>
      <c r="I2466" t="s">
        <v>189</v>
      </c>
      <c r="J2466">
        <v>1</v>
      </c>
      <c r="K2466" t="s">
        <v>2979</v>
      </c>
      <c r="L2466" t="s">
        <v>6810</v>
      </c>
    </row>
    <row r="2467" spans="1:40" x14ac:dyDescent="0.35">
      <c r="A2467">
        <v>6637652</v>
      </c>
      <c r="B2467" t="s">
        <v>6811</v>
      </c>
      <c r="C2467" t="str">
        <f>""</f>
        <v/>
      </c>
      <c r="D2467" t="str">
        <f>"9783110637502"</f>
        <v>9783110637502</v>
      </c>
      <c r="E2467" t="s">
        <v>415</v>
      </c>
      <c r="F2467" t="s">
        <v>415</v>
      </c>
      <c r="G2467" s="1">
        <v>44144</v>
      </c>
      <c r="H2467" s="1">
        <v>44459</v>
      </c>
      <c r="I2467" t="s">
        <v>189</v>
      </c>
      <c r="J2467">
        <v>1</v>
      </c>
      <c r="K2467" t="s">
        <v>1272</v>
      </c>
      <c r="L2467" t="s">
        <v>6812</v>
      </c>
    </row>
    <row r="2468" spans="1:40" x14ac:dyDescent="0.35">
      <c r="A2468">
        <v>6637653</v>
      </c>
      <c r="B2468" t="s">
        <v>6813</v>
      </c>
      <c r="C2468" t="str">
        <f>""</f>
        <v/>
      </c>
      <c r="D2468" t="str">
        <f>"9783110630206"</f>
        <v>9783110630206</v>
      </c>
      <c r="E2468" t="s">
        <v>415</v>
      </c>
      <c r="F2468" t="s">
        <v>415</v>
      </c>
      <c r="G2468" s="1">
        <v>43731</v>
      </c>
      <c r="H2468" s="1">
        <v>44459</v>
      </c>
      <c r="I2468" t="s">
        <v>189</v>
      </c>
      <c r="J2468">
        <v>1</v>
      </c>
      <c r="K2468" t="s">
        <v>564</v>
      </c>
      <c r="L2468" t="s">
        <v>6814</v>
      </c>
      <c r="M2468" t="s">
        <v>316</v>
      </c>
      <c r="Q2468" t="s">
        <v>408</v>
      </c>
      <c r="R2468" t="s">
        <v>261</v>
      </c>
      <c r="S2468" t="s">
        <v>261</v>
      </c>
      <c r="T2468" t="s">
        <v>261</v>
      </c>
      <c r="U2468" t="s">
        <v>261</v>
      </c>
      <c r="V2468" t="s">
        <v>262</v>
      </c>
      <c r="W2468" t="s">
        <v>261</v>
      </c>
      <c r="X2468" t="s">
        <v>261</v>
      </c>
      <c r="Y2468" t="s">
        <v>261</v>
      </c>
      <c r="Z2468" t="s">
        <v>409</v>
      </c>
      <c r="AA2468" t="s">
        <v>409</v>
      </c>
      <c r="AB2468" t="s">
        <v>409</v>
      </c>
      <c r="AC2468" t="s">
        <v>409</v>
      </c>
      <c r="AD2468" t="s">
        <v>261</v>
      </c>
      <c r="AH2468" t="s">
        <v>262</v>
      </c>
      <c r="AI2468" t="s">
        <v>262</v>
      </c>
      <c r="AJ2468" t="s">
        <v>261</v>
      </c>
      <c r="AK2468" t="s">
        <v>261</v>
      </c>
      <c r="AM2468" t="s">
        <v>262</v>
      </c>
      <c r="AN2468" t="s">
        <v>6815</v>
      </c>
    </row>
    <row r="2469" spans="1:40" x14ac:dyDescent="0.35">
      <c r="A2469">
        <v>6637654</v>
      </c>
      <c r="B2469" t="s">
        <v>6816</v>
      </c>
      <c r="C2469" t="str">
        <f>""</f>
        <v/>
      </c>
      <c r="D2469" t="str">
        <f>"9789048542086"</f>
        <v>9789048542086</v>
      </c>
      <c r="E2469" t="s">
        <v>361</v>
      </c>
      <c r="F2469" t="s">
        <v>361</v>
      </c>
      <c r="G2469" s="1">
        <v>43739</v>
      </c>
      <c r="H2469" s="1">
        <v>44483</v>
      </c>
      <c r="I2469" t="s">
        <v>189</v>
      </c>
      <c r="J2469">
        <v>1</v>
      </c>
      <c r="K2469" t="s">
        <v>3307</v>
      </c>
      <c r="L2469" t="s">
        <v>6817</v>
      </c>
      <c r="M2469" t="s">
        <v>578</v>
      </c>
    </row>
    <row r="2470" spans="1:40" x14ac:dyDescent="0.35">
      <c r="A2470">
        <v>6637655</v>
      </c>
      <c r="B2470" t="s">
        <v>6818</v>
      </c>
      <c r="C2470" t="str">
        <f>""</f>
        <v/>
      </c>
      <c r="D2470" t="str">
        <f>"9783110696493"</f>
        <v>9783110696493</v>
      </c>
      <c r="E2470" t="s">
        <v>415</v>
      </c>
      <c r="F2470" t="s">
        <v>415</v>
      </c>
      <c r="G2470" s="1">
        <v>44004</v>
      </c>
      <c r="H2470" s="1">
        <v>44459</v>
      </c>
      <c r="I2470" t="s">
        <v>189</v>
      </c>
      <c r="J2470">
        <v>1</v>
      </c>
      <c r="L2470" t="s">
        <v>6819</v>
      </c>
    </row>
    <row r="2471" spans="1:40" x14ac:dyDescent="0.35">
      <c r="A2471">
        <v>6637656</v>
      </c>
      <c r="B2471" t="s">
        <v>6820</v>
      </c>
      <c r="C2471" t="str">
        <f>""</f>
        <v/>
      </c>
      <c r="D2471" t="str">
        <f>"9783110670691"</f>
        <v>9783110670691</v>
      </c>
      <c r="E2471" t="s">
        <v>415</v>
      </c>
      <c r="F2471" t="s">
        <v>415</v>
      </c>
      <c r="G2471" s="1">
        <v>44053</v>
      </c>
      <c r="H2471" s="1">
        <v>44459</v>
      </c>
      <c r="I2471" t="s">
        <v>189</v>
      </c>
      <c r="J2471">
        <v>1</v>
      </c>
      <c r="K2471" t="s">
        <v>6821</v>
      </c>
      <c r="L2471" t="s">
        <v>6822</v>
      </c>
      <c r="M2471" t="s">
        <v>389</v>
      </c>
      <c r="O2471" t="s">
        <v>6823</v>
      </c>
      <c r="Q2471" t="s">
        <v>408</v>
      </c>
      <c r="R2471" t="s">
        <v>261</v>
      </c>
      <c r="S2471" t="s">
        <v>261</v>
      </c>
      <c r="T2471" t="s">
        <v>261</v>
      </c>
      <c r="U2471" t="s">
        <v>261</v>
      </c>
      <c r="V2471" t="s">
        <v>262</v>
      </c>
      <c r="W2471" t="s">
        <v>261</v>
      </c>
      <c r="X2471" t="s">
        <v>261</v>
      </c>
      <c r="Y2471" t="s">
        <v>261</v>
      </c>
      <c r="Z2471" t="s">
        <v>409</v>
      </c>
      <c r="AA2471" t="s">
        <v>409</v>
      </c>
      <c r="AB2471" t="s">
        <v>409</v>
      </c>
      <c r="AC2471" t="s">
        <v>409</v>
      </c>
      <c r="AD2471" t="s">
        <v>261</v>
      </c>
      <c r="AH2471" t="s">
        <v>262</v>
      </c>
      <c r="AI2471" t="s">
        <v>262</v>
      </c>
      <c r="AJ2471" t="s">
        <v>261</v>
      </c>
      <c r="AK2471" t="s">
        <v>261</v>
      </c>
      <c r="AM2471" t="s">
        <v>262</v>
      </c>
      <c r="AN2471" t="s">
        <v>6824</v>
      </c>
    </row>
    <row r="2472" spans="1:40" x14ac:dyDescent="0.35">
      <c r="A2472">
        <v>6637661</v>
      </c>
      <c r="B2472" t="s">
        <v>6825</v>
      </c>
      <c r="C2472" t="str">
        <f>""</f>
        <v/>
      </c>
      <c r="D2472" t="str">
        <f>"9783110640069"</f>
        <v>9783110640069</v>
      </c>
      <c r="E2472" t="s">
        <v>415</v>
      </c>
      <c r="F2472" t="s">
        <v>415</v>
      </c>
      <c r="G2472" s="1">
        <v>44181</v>
      </c>
      <c r="H2472" s="1">
        <v>44459</v>
      </c>
      <c r="I2472" t="s">
        <v>189</v>
      </c>
      <c r="J2472">
        <v>1</v>
      </c>
      <c r="K2472" t="s">
        <v>6826</v>
      </c>
      <c r="L2472" t="s">
        <v>6827</v>
      </c>
    </row>
    <row r="2473" spans="1:40" x14ac:dyDescent="0.35">
      <c r="A2473">
        <v>6637667</v>
      </c>
      <c r="B2473" t="s">
        <v>6828</v>
      </c>
      <c r="C2473" t="str">
        <f>""</f>
        <v/>
      </c>
      <c r="D2473" t="str">
        <f>"9783110499001"</f>
        <v>9783110499001</v>
      </c>
      <c r="E2473" t="s">
        <v>415</v>
      </c>
      <c r="F2473" t="s">
        <v>415</v>
      </c>
      <c r="G2473" s="1">
        <v>44172</v>
      </c>
      <c r="H2473" s="1">
        <v>44463</v>
      </c>
      <c r="I2473" t="s">
        <v>189</v>
      </c>
      <c r="J2473">
        <v>1</v>
      </c>
      <c r="L2473" t="s">
        <v>6619</v>
      </c>
    </row>
    <row r="2474" spans="1:40" x14ac:dyDescent="0.35">
      <c r="A2474">
        <v>6637670</v>
      </c>
      <c r="B2474" t="s">
        <v>6829</v>
      </c>
      <c r="C2474" t="str">
        <f>""</f>
        <v/>
      </c>
      <c r="D2474" t="str">
        <f>"9783110604856"</f>
        <v>9783110604856</v>
      </c>
      <c r="E2474" t="s">
        <v>415</v>
      </c>
      <c r="F2474" t="s">
        <v>415</v>
      </c>
      <c r="G2474" s="1">
        <v>43668</v>
      </c>
      <c r="H2474" s="1">
        <v>44459</v>
      </c>
      <c r="I2474" t="s">
        <v>189</v>
      </c>
      <c r="J2474">
        <v>1</v>
      </c>
      <c r="K2474" t="s">
        <v>2489</v>
      </c>
      <c r="L2474" t="s">
        <v>6830</v>
      </c>
      <c r="M2474" t="s">
        <v>676</v>
      </c>
      <c r="Q2474" t="s">
        <v>408</v>
      </c>
      <c r="R2474" t="s">
        <v>261</v>
      </c>
      <c r="S2474" t="s">
        <v>261</v>
      </c>
      <c r="T2474" t="s">
        <v>261</v>
      </c>
      <c r="U2474" t="s">
        <v>261</v>
      </c>
      <c r="V2474" t="s">
        <v>262</v>
      </c>
      <c r="W2474" t="s">
        <v>261</v>
      </c>
      <c r="X2474" t="s">
        <v>261</v>
      </c>
      <c r="Y2474" t="s">
        <v>261</v>
      </c>
      <c r="Z2474" t="s">
        <v>409</v>
      </c>
      <c r="AA2474" t="s">
        <v>409</v>
      </c>
      <c r="AB2474" t="s">
        <v>409</v>
      </c>
      <c r="AC2474" t="s">
        <v>409</v>
      </c>
      <c r="AD2474" t="s">
        <v>261</v>
      </c>
      <c r="AH2474" t="s">
        <v>262</v>
      </c>
      <c r="AI2474" t="s">
        <v>262</v>
      </c>
      <c r="AJ2474" t="s">
        <v>261</v>
      </c>
      <c r="AK2474" t="s">
        <v>261</v>
      </c>
      <c r="AM2474" t="s">
        <v>262</v>
      </c>
      <c r="AN2474" t="s">
        <v>6831</v>
      </c>
    </row>
    <row r="2475" spans="1:40" x14ac:dyDescent="0.35">
      <c r="A2475">
        <v>6637675</v>
      </c>
      <c r="B2475" t="s">
        <v>6832</v>
      </c>
      <c r="C2475" t="str">
        <f>""</f>
        <v/>
      </c>
      <c r="D2475" t="str">
        <f>"9783110666816"</f>
        <v>9783110666816</v>
      </c>
      <c r="E2475" t="s">
        <v>415</v>
      </c>
      <c r="F2475" t="s">
        <v>415</v>
      </c>
      <c r="G2475" s="1">
        <v>44018</v>
      </c>
      <c r="H2475" s="1">
        <v>44459</v>
      </c>
      <c r="I2475" t="s">
        <v>189</v>
      </c>
      <c r="J2475">
        <v>1</v>
      </c>
      <c r="K2475" t="s">
        <v>3055</v>
      </c>
      <c r="L2475" t="s">
        <v>6833</v>
      </c>
    </row>
    <row r="2476" spans="1:40" x14ac:dyDescent="0.35">
      <c r="A2476">
        <v>6637676</v>
      </c>
      <c r="B2476" t="s">
        <v>6834</v>
      </c>
      <c r="C2476" t="str">
        <f>""</f>
        <v/>
      </c>
      <c r="D2476" t="str">
        <f>"9783110685022"</f>
        <v>9783110685022</v>
      </c>
      <c r="E2476" t="s">
        <v>415</v>
      </c>
      <c r="F2476" t="s">
        <v>415</v>
      </c>
      <c r="G2476" s="1">
        <v>43956</v>
      </c>
      <c r="H2476" s="1">
        <v>44459</v>
      </c>
      <c r="I2476" t="s">
        <v>189</v>
      </c>
      <c r="J2476">
        <v>1</v>
      </c>
      <c r="K2476" t="s">
        <v>6797</v>
      </c>
      <c r="L2476" t="s">
        <v>6798</v>
      </c>
      <c r="M2476" t="s">
        <v>239</v>
      </c>
    </row>
    <row r="2477" spans="1:40" x14ac:dyDescent="0.35">
      <c r="A2477">
        <v>6637677</v>
      </c>
      <c r="B2477" t="s">
        <v>6835</v>
      </c>
      <c r="C2477" t="str">
        <f>""</f>
        <v/>
      </c>
      <c r="D2477" t="str">
        <f>"9789048542871"</f>
        <v>9789048542871</v>
      </c>
      <c r="E2477" t="s">
        <v>361</v>
      </c>
      <c r="F2477" t="s">
        <v>361</v>
      </c>
      <c r="G2477" s="1">
        <v>43574</v>
      </c>
      <c r="H2477" s="1">
        <v>44483</v>
      </c>
      <c r="I2477" t="s">
        <v>189</v>
      </c>
      <c r="J2477">
        <v>1</v>
      </c>
      <c r="K2477" t="s">
        <v>6836</v>
      </c>
      <c r="L2477" t="s">
        <v>6837</v>
      </c>
      <c r="M2477" t="s">
        <v>964</v>
      </c>
      <c r="O2477" t="s">
        <v>6838</v>
      </c>
      <c r="Q2477" t="s">
        <v>260</v>
      </c>
      <c r="R2477" t="s">
        <v>261</v>
      </c>
      <c r="S2477" t="s">
        <v>261</v>
      </c>
      <c r="T2477" t="s">
        <v>261</v>
      </c>
      <c r="U2477" t="s">
        <v>261</v>
      </c>
      <c r="V2477" t="s">
        <v>262</v>
      </c>
      <c r="W2477" t="s">
        <v>261</v>
      </c>
      <c r="X2477" t="s">
        <v>261</v>
      </c>
      <c r="Y2477" t="s">
        <v>261</v>
      </c>
      <c r="Z2477" t="s">
        <v>409</v>
      </c>
      <c r="AA2477" t="s">
        <v>409</v>
      </c>
      <c r="AB2477" t="s">
        <v>409</v>
      </c>
      <c r="AC2477" t="s">
        <v>409</v>
      </c>
      <c r="AD2477" t="s">
        <v>261</v>
      </c>
      <c r="AH2477" t="s">
        <v>262</v>
      </c>
      <c r="AI2477" t="s">
        <v>262</v>
      </c>
      <c r="AJ2477" t="s">
        <v>261</v>
      </c>
      <c r="AK2477" t="s">
        <v>261</v>
      </c>
      <c r="AM2477" t="s">
        <v>262</v>
      </c>
      <c r="AN2477" t="s">
        <v>6839</v>
      </c>
    </row>
    <row r="2478" spans="1:40" x14ac:dyDescent="0.35">
      <c r="A2478">
        <v>6637678</v>
      </c>
      <c r="B2478" t="s">
        <v>6840</v>
      </c>
      <c r="C2478" t="str">
        <f>""</f>
        <v/>
      </c>
      <c r="D2478" t="str">
        <f>"9783110674668"</f>
        <v>9783110674668</v>
      </c>
      <c r="E2478" t="s">
        <v>415</v>
      </c>
      <c r="F2478" t="s">
        <v>415</v>
      </c>
      <c r="G2478" s="1">
        <v>43815</v>
      </c>
      <c r="H2478" s="1">
        <v>44459</v>
      </c>
      <c r="I2478" t="s">
        <v>189</v>
      </c>
      <c r="J2478">
        <v>1</v>
      </c>
      <c r="K2478" t="s">
        <v>6781</v>
      </c>
      <c r="L2478" t="s">
        <v>6841</v>
      </c>
      <c r="M2478" t="s">
        <v>219</v>
      </c>
      <c r="O2478">
        <v>871</v>
      </c>
      <c r="Q2478" t="s">
        <v>6842</v>
      </c>
      <c r="R2478" t="s">
        <v>261</v>
      </c>
      <c r="S2478" t="s">
        <v>261</v>
      </c>
      <c r="T2478" t="s">
        <v>261</v>
      </c>
      <c r="U2478" t="s">
        <v>261</v>
      </c>
      <c r="V2478" t="s">
        <v>262</v>
      </c>
      <c r="W2478" t="s">
        <v>261</v>
      </c>
      <c r="X2478" t="s">
        <v>261</v>
      </c>
      <c r="Y2478" t="s">
        <v>261</v>
      </c>
      <c r="Z2478" t="s">
        <v>409</v>
      </c>
      <c r="AA2478" t="s">
        <v>409</v>
      </c>
      <c r="AB2478" t="s">
        <v>409</v>
      </c>
      <c r="AC2478" t="s">
        <v>409</v>
      </c>
      <c r="AD2478" t="s">
        <v>261</v>
      </c>
      <c r="AH2478" t="s">
        <v>262</v>
      </c>
      <c r="AI2478" t="s">
        <v>262</v>
      </c>
      <c r="AJ2478" t="s">
        <v>261</v>
      </c>
      <c r="AK2478" t="s">
        <v>261</v>
      </c>
      <c r="AM2478" t="s">
        <v>262</v>
      </c>
      <c r="AN2478" t="s">
        <v>6843</v>
      </c>
    </row>
    <row r="2479" spans="1:40" x14ac:dyDescent="0.35">
      <c r="A2479">
        <v>6637679</v>
      </c>
      <c r="B2479" t="s">
        <v>6844</v>
      </c>
      <c r="C2479" t="str">
        <f>""</f>
        <v/>
      </c>
      <c r="D2479" t="str">
        <f>"9789048537419"</f>
        <v>9789048537419</v>
      </c>
      <c r="E2479" t="s">
        <v>361</v>
      </c>
      <c r="F2479" t="s">
        <v>361</v>
      </c>
      <c r="G2479" s="1">
        <v>43993</v>
      </c>
      <c r="H2479" s="1">
        <v>44483</v>
      </c>
      <c r="I2479" t="s">
        <v>189</v>
      </c>
      <c r="J2479">
        <v>1</v>
      </c>
      <c r="K2479" t="s">
        <v>2416</v>
      </c>
      <c r="L2479" t="s">
        <v>6845</v>
      </c>
      <c r="M2479" t="s">
        <v>582</v>
      </c>
    </row>
    <row r="2480" spans="1:40" x14ac:dyDescent="0.35">
      <c r="A2480">
        <v>6637682</v>
      </c>
      <c r="B2480" t="s">
        <v>6846</v>
      </c>
      <c r="C2480" t="str">
        <f>""</f>
        <v/>
      </c>
      <c r="D2480" t="str">
        <f>"9783110607833"</f>
        <v>9783110607833</v>
      </c>
      <c r="E2480" t="s">
        <v>415</v>
      </c>
      <c r="F2480" t="s">
        <v>415</v>
      </c>
      <c r="G2480" s="1">
        <v>44095</v>
      </c>
      <c r="H2480" s="1">
        <v>44459</v>
      </c>
      <c r="I2480" t="s">
        <v>189</v>
      </c>
      <c r="J2480">
        <v>1</v>
      </c>
      <c r="L2480" t="s">
        <v>6847</v>
      </c>
    </row>
    <row r="2481" spans="1:40" x14ac:dyDescent="0.35">
      <c r="A2481">
        <v>6637685</v>
      </c>
      <c r="B2481" t="s">
        <v>6848</v>
      </c>
      <c r="C2481" t="str">
        <f>""</f>
        <v/>
      </c>
      <c r="D2481" t="str">
        <f>"9783110697841"</f>
        <v>9783110697841</v>
      </c>
      <c r="E2481" t="s">
        <v>415</v>
      </c>
      <c r="F2481" t="s">
        <v>415</v>
      </c>
      <c r="G2481" s="1">
        <v>44181</v>
      </c>
      <c r="H2481" s="1">
        <v>44459</v>
      </c>
      <c r="I2481" t="s">
        <v>189</v>
      </c>
      <c r="J2481">
        <v>1</v>
      </c>
      <c r="K2481" t="s">
        <v>6849</v>
      </c>
      <c r="L2481" t="s">
        <v>6850</v>
      </c>
    </row>
    <row r="2482" spans="1:40" x14ac:dyDescent="0.35">
      <c r="A2482">
        <v>6637687</v>
      </c>
      <c r="B2482" t="s">
        <v>6851</v>
      </c>
      <c r="C2482" t="str">
        <f>""</f>
        <v/>
      </c>
      <c r="D2482" t="str">
        <f>"9783110632446"</f>
        <v>9783110632446</v>
      </c>
      <c r="E2482" t="s">
        <v>415</v>
      </c>
      <c r="F2482" t="s">
        <v>415</v>
      </c>
      <c r="G2482" s="1">
        <v>43479</v>
      </c>
      <c r="H2482" s="1">
        <v>44459</v>
      </c>
      <c r="I2482" t="s">
        <v>189</v>
      </c>
      <c r="J2482">
        <v>1</v>
      </c>
      <c r="K2482" t="s">
        <v>2489</v>
      </c>
      <c r="L2482" t="s">
        <v>6852</v>
      </c>
      <c r="M2482" t="s">
        <v>676</v>
      </c>
      <c r="O2482">
        <v>415</v>
      </c>
      <c r="Q2482" t="s">
        <v>260</v>
      </c>
      <c r="R2482" t="s">
        <v>261</v>
      </c>
      <c r="S2482" t="s">
        <v>261</v>
      </c>
      <c r="T2482" t="s">
        <v>261</v>
      </c>
      <c r="U2482" t="s">
        <v>261</v>
      </c>
      <c r="V2482" t="s">
        <v>262</v>
      </c>
      <c r="W2482" t="s">
        <v>261</v>
      </c>
      <c r="X2482" t="s">
        <v>261</v>
      </c>
      <c r="Y2482" t="s">
        <v>261</v>
      </c>
      <c r="Z2482" t="s">
        <v>409</v>
      </c>
      <c r="AA2482" t="s">
        <v>409</v>
      </c>
      <c r="AB2482" t="s">
        <v>409</v>
      </c>
      <c r="AC2482" t="s">
        <v>409</v>
      </c>
      <c r="AD2482" t="s">
        <v>261</v>
      </c>
      <c r="AH2482" t="s">
        <v>262</v>
      </c>
      <c r="AI2482" t="s">
        <v>262</v>
      </c>
      <c r="AJ2482" t="s">
        <v>261</v>
      </c>
      <c r="AK2482" t="s">
        <v>261</v>
      </c>
      <c r="AM2482" t="s">
        <v>262</v>
      </c>
      <c r="AN2482" t="s">
        <v>6853</v>
      </c>
    </row>
    <row r="2483" spans="1:40" x14ac:dyDescent="0.35">
      <c r="A2483">
        <v>6637694</v>
      </c>
      <c r="B2483" t="s">
        <v>6854</v>
      </c>
      <c r="C2483" t="str">
        <f>"9783110487336"</f>
        <v>9783110487336</v>
      </c>
      <c r="D2483" t="str">
        <f>"9783110527988"</f>
        <v>9783110527988</v>
      </c>
      <c r="E2483" t="s">
        <v>346</v>
      </c>
      <c r="F2483" t="s">
        <v>346</v>
      </c>
      <c r="G2483" s="1">
        <v>43654</v>
      </c>
      <c r="H2483" s="1">
        <v>44459</v>
      </c>
      <c r="I2483" t="s">
        <v>189</v>
      </c>
      <c r="J2483">
        <v>1</v>
      </c>
      <c r="K2483" t="s">
        <v>3014</v>
      </c>
      <c r="L2483" t="s">
        <v>3015</v>
      </c>
    </row>
    <row r="2484" spans="1:40" x14ac:dyDescent="0.35">
      <c r="A2484">
        <v>6637695</v>
      </c>
      <c r="B2484" t="s">
        <v>6855</v>
      </c>
      <c r="C2484" t="str">
        <f>""</f>
        <v/>
      </c>
      <c r="D2484" t="str">
        <f>"9783110639476"</f>
        <v>9783110639476</v>
      </c>
      <c r="E2484" t="s">
        <v>415</v>
      </c>
      <c r="F2484" t="s">
        <v>415</v>
      </c>
      <c r="G2484" s="1">
        <v>44326</v>
      </c>
      <c r="H2484" s="1">
        <v>44459</v>
      </c>
      <c r="I2484" t="s">
        <v>189</v>
      </c>
      <c r="J2484">
        <v>1</v>
      </c>
      <c r="L2484" t="s">
        <v>6856</v>
      </c>
    </row>
    <row r="2485" spans="1:40" x14ac:dyDescent="0.35">
      <c r="A2485">
        <v>6637696</v>
      </c>
      <c r="B2485" t="s">
        <v>6857</v>
      </c>
      <c r="C2485" t="str">
        <f>""</f>
        <v/>
      </c>
      <c r="D2485" t="str">
        <f>"9783110607741"</f>
        <v>9783110607741</v>
      </c>
      <c r="E2485" t="s">
        <v>415</v>
      </c>
      <c r="F2485" t="s">
        <v>665</v>
      </c>
      <c r="G2485" s="1">
        <v>43801</v>
      </c>
      <c r="H2485" s="1">
        <v>44459</v>
      </c>
      <c r="I2485" t="s">
        <v>189</v>
      </c>
      <c r="J2485">
        <v>1</v>
      </c>
      <c r="L2485" t="s">
        <v>6858</v>
      </c>
    </row>
    <row r="2486" spans="1:40" x14ac:dyDescent="0.35">
      <c r="A2486">
        <v>6637697</v>
      </c>
      <c r="B2486" t="s">
        <v>6859</v>
      </c>
      <c r="C2486" t="str">
        <f>""</f>
        <v/>
      </c>
      <c r="D2486" t="str">
        <f>"9783110682427"</f>
        <v>9783110682427</v>
      </c>
      <c r="E2486" t="s">
        <v>415</v>
      </c>
      <c r="F2486" t="s">
        <v>415</v>
      </c>
      <c r="G2486" s="1">
        <v>44158</v>
      </c>
      <c r="H2486" s="1">
        <v>44459</v>
      </c>
      <c r="I2486" t="s">
        <v>189</v>
      </c>
      <c r="J2486">
        <v>1</v>
      </c>
      <c r="K2486" t="s">
        <v>6860</v>
      </c>
      <c r="L2486" t="s">
        <v>6861</v>
      </c>
    </row>
    <row r="2487" spans="1:40" x14ac:dyDescent="0.35">
      <c r="A2487">
        <v>6637699</v>
      </c>
      <c r="B2487" t="s">
        <v>6862</v>
      </c>
      <c r="C2487" t="str">
        <f>"9783110613223"</f>
        <v>9783110613223</v>
      </c>
      <c r="D2487" t="str">
        <f>"9783110614619"</f>
        <v>9783110614619</v>
      </c>
      <c r="E2487" t="s">
        <v>415</v>
      </c>
      <c r="F2487" t="s">
        <v>415</v>
      </c>
      <c r="G2487" s="1">
        <v>43850</v>
      </c>
      <c r="H2487" s="1">
        <v>44459</v>
      </c>
      <c r="I2487" t="s">
        <v>189</v>
      </c>
      <c r="J2487">
        <v>1</v>
      </c>
      <c r="K2487" t="s">
        <v>2641</v>
      </c>
      <c r="L2487" t="s">
        <v>6863</v>
      </c>
      <c r="M2487" t="s">
        <v>676</v>
      </c>
      <c r="Q2487" t="s">
        <v>408</v>
      </c>
      <c r="R2487" t="s">
        <v>261</v>
      </c>
      <c r="S2487" t="s">
        <v>261</v>
      </c>
      <c r="T2487" t="s">
        <v>261</v>
      </c>
      <c r="U2487" t="s">
        <v>261</v>
      </c>
      <c r="V2487" t="s">
        <v>262</v>
      </c>
      <c r="W2487" t="s">
        <v>261</v>
      </c>
      <c r="X2487" t="s">
        <v>261</v>
      </c>
      <c r="Y2487" t="s">
        <v>261</v>
      </c>
      <c r="Z2487" t="s">
        <v>409</v>
      </c>
      <c r="AA2487" t="s">
        <v>409</v>
      </c>
      <c r="AB2487" t="s">
        <v>409</v>
      </c>
      <c r="AC2487" t="s">
        <v>409</v>
      </c>
      <c r="AD2487" t="s">
        <v>261</v>
      </c>
      <c r="AH2487" t="s">
        <v>262</v>
      </c>
      <c r="AI2487" t="s">
        <v>262</v>
      </c>
      <c r="AJ2487" t="s">
        <v>261</v>
      </c>
      <c r="AK2487" t="s">
        <v>261</v>
      </c>
      <c r="AM2487" t="s">
        <v>262</v>
      </c>
      <c r="AN2487" t="s">
        <v>6864</v>
      </c>
    </row>
    <row r="2488" spans="1:40" x14ac:dyDescent="0.35">
      <c r="A2488">
        <v>6637704</v>
      </c>
      <c r="B2488" t="s">
        <v>6865</v>
      </c>
      <c r="C2488" t="str">
        <f>""</f>
        <v/>
      </c>
      <c r="D2488" t="str">
        <f>"9789048542895"</f>
        <v>9789048542895</v>
      </c>
      <c r="E2488" t="s">
        <v>361</v>
      </c>
      <c r="F2488" t="s">
        <v>361</v>
      </c>
      <c r="G2488" s="1">
        <v>43475</v>
      </c>
      <c r="H2488" s="1">
        <v>44483</v>
      </c>
      <c r="I2488" t="s">
        <v>189</v>
      </c>
      <c r="J2488">
        <v>1</v>
      </c>
      <c r="K2488" t="s">
        <v>6866</v>
      </c>
      <c r="L2488" t="s">
        <v>6867</v>
      </c>
    </row>
    <row r="2489" spans="1:40" x14ac:dyDescent="0.35">
      <c r="A2489">
        <v>6637705</v>
      </c>
      <c r="B2489" t="s">
        <v>6868</v>
      </c>
      <c r="C2489" t="str">
        <f>""</f>
        <v/>
      </c>
      <c r="D2489" t="str">
        <f>"9783110650464"</f>
        <v>9783110650464</v>
      </c>
      <c r="E2489" t="s">
        <v>415</v>
      </c>
      <c r="F2489" t="s">
        <v>415</v>
      </c>
      <c r="G2489" s="1">
        <v>43927</v>
      </c>
      <c r="H2489" s="1">
        <v>44459</v>
      </c>
      <c r="I2489" t="s">
        <v>189</v>
      </c>
      <c r="J2489">
        <v>1</v>
      </c>
      <c r="K2489" t="s">
        <v>6869</v>
      </c>
      <c r="L2489" t="s">
        <v>6870</v>
      </c>
      <c r="M2489" t="s">
        <v>199</v>
      </c>
      <c r="O2489">
        <v>128</v>
      </c>
      <c r="Q2489" t="s">
        <v>260</v>
      </c>
      <c r="R2489" t="s">
        <v>261</v>
      </c>
      <c r="S2489" t="s">
        <v>261</v>
      </c>
      <c r="T2489" t="s">
        <v>261</v>
      </c>
      <c r="U2489" t="s">
        <v>261</v>
      </c>
      <c r="V2489" t="s">
        <v>262</v>
      </c>
      <c r="W2489" t="s">
        <v>261</v>
      </c>
      <c r="X2489" t="s">
        <v>261</v>
      </c>
      <c r="Y2489" t="s">
        <v>261</v>
      </c>
      <c r="Z2489" t="s">
        <v>409</v>
      </c>
      <c r="AA2489" t="s">
        <v>409</v>
      </c>
      <c r="AB2489" t="s">
        <v>409</v>
      </c>
      <c r="AC2489" t="s">
        <v>409</v>
      </c>
      <c r="AD2489" t="s">
        <v>261</v>
      </c>
      <c r="AH2489" t="s">
        <v>262</v>
      </c>
      <c r="AI2489" t="s">
        <v>262</v>
      </c>
      <c r="AJ2489" t="s">
        <v>261</v>
      </c>
      <c r="AK2489" t="s">
        <v>261</v>
      </c>
      <c r="AM2489" t="s">
        <v>262</v>
      </c>
      <c r="AN2489" t="s">
        <v>6871</v>
      </c>
    </row>
    <row r="2490" spans="1:40" x14ac:dyDescent="0.35">
      <c r="A2490">
        <v>6637707</v>
      </c>
      <c r="B2490" t="s">
        <v>6564</v>
      </c>
      <c r="C2490" t="str">
        <f>"9783110614497"</f>
        <v>9783110614497</v>
      </c>
      <c r="D2490" t="str">
        <f>"9783110614589"</f>
        <v>9783110614589</v>
      </c>
      <c r="E2490" t="s">
        <v>415</v>
      </c>
      <c r="F2490" t="s">
        <v>415</v>
      </c>
      <c r="G2490" s="1">
        <v>43731</v>
      </c>
      <c r="H2490" s="1">
        <v>44459</v>
      </c>
      <c r="I2490" t="s">
        <v>189</v>
      </c>
      <c r="J2490">
        <v>1</v>
      </c>
      <c r="L2490" t="s">
        <v>6565</v>
      </c>
    </row>
    <row r="2491" spans="1:40" x14ac:dyDescent="0.35">
      <c r="A2491">
        <v>6637708</v>
      </c>
      <c r="B2491" t="s">
        <v>6872</v>
      </c>
      <c r="C2491" t="str">
        <f>""</f>
        <v/>
      </c>
      <c r="D2491" t="str">
        <f>"9783110659054"</f>
        <v>9783110659054</v>
      </c>
      <c r="E2491" t="s">
        <v>415</v>
      </c>
      <c r="F2491" t="s">
        <v>665</v>
      </c>
      <c r="G2491" s="1">
        <v>43682</v>
      </c>
      <c r="H2491" s="1">
        <v>44459</v>
      </c>
      <c r="I2491" t="s">
        <v>189</v>
      </c>
      <c r="J2491">
        <v>1</v>
      </c>
      <c r="K2491" t="s">
        <v>6873</v>
      </c>
      <c r="L2491" t="s">
        <v>6874</v>
      </c>
      <c r="M2491" t="s">
        <v>329</v>
      </c>
      <c r="O2491" t="s">
        <v>6875</v>
      </c>
      <c r="Q2491" t="s">
        <v>260</v>
      </c>
      <c r="R2491" t="s">
        <v>261</v>
      </c>
      <c r="S2491" t="s">
        <v>261</v>
      </c>
      <c r="T2491" t="s">
        <v>261</v>
      </c>
      <c r="U2491" t="s">
        <v>261</v>
      </c>
      <c r="V2491" t="s">
        <v>262</v>
      </c>
      <c r="W2491" t="s">
        <v>261</v>
      </c>
      <c r="X2491" t="s">
        <v>261</v>
      </c>
      <c r="Y2491" t="s">
        <v>261</v>
      </c>
      <c r="Z2491" t="s">
        <v>409</v>
      </c>
      <c r="AA2491" t="s">
        <v>409</v>
      </c>
      <c r="AB2491" t="s">
        <v>409</v>
      </c>
      <c r="AC2491" t="s">
        <v>409</v>
      </c>
      <c r="AD2491" t="s">
        <v>261</v>
      </c>
      <c r="AH2491" t="s">
        <v>262</v>
      </c>
      <c r="AI2491" t="s">
        <v>262</v>
      </c>
      <c r="AJ2491" t="s">
        <v>261</v>
      </c>
      <c r="AK2491" t="s">
        <v>261</v>
      </c>
      <c r="AM2491" t="s">
        <v>262</v>
      </c>
      <c r="AN2491" t="s">
        <v>6876</v>
      </c>
    </row>
    <row r="2492" spans="1:40" x14ac:dyDescent="0.35">
      <c r="A2492">
        <v>6637709</v>
      </c>
      <c r="B2492" t="s">
        <v>6877</v>
      </c>
      <c r="C2492" t="str">
        <f>"9783110615913"</f>
        <v>9783110615913</v>
      </c>
      <c r="D2492" t="str">
        <f>"9783110615937"</f>
        <v>9783110615937</v>
      </c>
      <c r="E2492" t="s">
        <v>415</v>
      </c>
      <c r="F2492" t="s">
        <v>415</v>
      </c>
      <c r="G2492" s="1">
        <v>44053</v>
      </c>
      <c r="H2492" s="1">
        <v>44459</v>
      </c>
      <c r="I2492" t="s">
        <v>189</v>
      </c>
      <c r="J2492">
        <v>1</v>
      </c>
      <c r="L2492" t="s">
        <v>6878</v>
      </c>
      <c r="M2492" t="s">
        <v>219</v>
      </c>
      <c r="Q2492" t="s">
        <v>260</v>
      </c>
      <c r="R2492" t="s">
        <v>261</v>
      </c>
      <c r="S2492" t="s">
        <v>261</v>
      </c>
      <c r="T2492" t="s">
        <v>261</v>
      </c>
      <c r="U2492" t="s">
        <v>261</v>
      </c>
      <c r="V2492" t="s">
        <v>262</v>
      </c>
      <c r="W2492" t="s">
        <v>261</v>
      </c>
      <c r="X2492" t="s">
        <v>261</v>
      </c>
      <c r="Y2492" t="s">
        <v>261</v>
      </c>
      <c r="Z2492" t="s">
        <v>409</v>
      </c>
      <c r="AA2492" t="s">
        <v>409</v>
      </c>
      <c r="AB2492" t="s">
        <v>409</v>
      </c>
      <c r="AC2492" t="s">
        <v>409</v>
      </c>
      <c r="AD2492" t="s">
        <v>261</v>
      </c>
      <c r="AH2492" t="s">
        <v>262</v>
      </c>
      <c r="AI2492" t="s">
        <v>262</v>
      </c>
      <c r="AJ2492" t="s">
        <v>261</v>
      </c>
      <c r="AK2492" t="s">
        <v>261</v>
      </c>
      <c r="AM2492" t="s">
        <v>262</v>
      </c>
      <c r="AN2492" t="s">
        <v>6879</v>
      </c>
    </row>
    <row r="2493" spans="1:40" x14ac:dyDescent="0.35">
      <c r="A2493">
        <v>6637710</v>
      </c>
      <c r="B2493" t="s">
        <v>6880</v>
      </c>
      <c r="C2493" t="str">
        <f>""</f>
        <v/>
      </c>
      <c r="D2493" t="str">
        <f>"9783110650723"</f>
        <v>9783110650723</v>
      </c>
      <c r="E2493" t="s">
        <v>415</v>
      </c>
      <c r="F2493" t="s">
        <v>665</v>
      </c>
      <c r="G2493" s="1">
        <v>43774</v>
      </c>
      <c r="H2493" s="1">
        <v>44459</v>
      </c>
      <c r="I2493" t="s">
        <v>189</v>
      </c>
      <c r="J2493">
        <v>1</v>
      </c>
      <c r="L2493" t="s">
        <v>6881</v>
      </c>
      <c r="M2493" t="s">
        <v>282</v>
      </c>
      <c r="O2493" t="s">
        <v>6882</v>
      </c>
      <c r="Q2493" t="s">
        <v>260</v>
      </c>
      <c r="R2493" t="s">
        <v>261</v>
      </c>
      <c r="S2493" t="s">
        <v>261</v>
      </c>
      <c r="T2493" t="s">
        <v>261</v>
      </c>
      <c r="U2493" t="s">
        <v>261</v>
      </c>
      <c r="V2493" t="s">
        <v>262</v>
      </c>
      <c r="W2493" t="s">
        <v>261</v>
      </c>
      <c r="X2493" t="s">
        <v>261</v>
      </c>
      <c r="Y2493" t="s">
        <v>261</v>
      </c>
      <c r="Z2493" t="s">
        <v>409</v>
      </c>
      <c r="AA2493" t="s">
        <v>409</v>
      </c>
      <c r="AB2493" t="s">
        <v>409</v>
      </c>
      <c r="AC2493" t="s">
        <v>409</v>
      </c>
      <c r="AD2493" t="s">
        <v>261</v>
      </c>
      <c r="AH2493" t="s">
        <v>262</v>
      </c>
      <c r="AI2493" t="s">
        <v>262</v>
      </c>
      <c r="AJ2493" t="s">
        <v>261</v>
      </c>
      <c r="AK2493" t="s">
        <v>261</v>
      </c>
      <c r="AM2493" t="s">
        <v>262</v>
      </c>
      <c r="AN2493" t="s">
        <v>6883</v>
      </c>
    </row>
    <row r="2494" spans="1:40" x14ac:dyDescent="0.35">
      <c r="A2494">
        <v>6637711</v>
      </c>
      <c r="B2494" t="s">
        <v>6884</v>
      </c>
      <c r="C2494" t="str">
        <f>""</f>
        <v/>
      </c>
      <c r="D2494" t="str">
        <f>"9783110642636"</f>
        <v>9783110642636</v>
      </c>
      <c r="E2494" t="s">
        <v>415</v>
      </c>
      <c r="F2494" t="s">
        <v>659</v>
      </c>
      <c r="G2494" s="1">
        <v>43528</v>
      </c>
      <c r="H2494" s="1">
        <v>44459</v>
      </c>
      <c r="I2494" t="s">
        <v>189</v>
      </c>
      <c r="J2494">
        <v>1</v>
      </c>
      <c r="L2494" t="s">
        <v>2193</v>
      </c>
      <c r="M2494" t="s">
        <v>239</v>
      </c>
    </row>
    <row r="2495" spans="1:40" x14ac:dyDescent="0.35">
      <c r="A2495">
        <v>6637712</v>
      </c>
      <c r="B2495" t="s">
        <v>6885</v>
      </c>
      <c r="C2495" t="str">
        <f>""</f>
        <v/>
      </c>
      <c r="D2495" t="str">
        <f>"9783110662979"</f>
        <v>9783110662979</v>
      </c>
      <c r="E2495" t="s">
        <v>415</v>
      </c>
      <c r="F2495" t="s">
        <v>6576</v>
      </c>
      <c r="G2495" s="1">
        <v>43591</v>
      </c>
      <c r="H2495" s="1">
        <v>44459</v>
      </c>
      <c r="I2495" t="s">
        <v>189</v>
      </c>
      <c r="J2495">
        <v>1</v>
      </c>
      <c r="L2495" t="s">
        <v>6577</v>
      </c>
      <c r="M2495" t="s">
        <v>339</v>
      </c>
      <c r="Q2495" t="s">
        <v>260</v>
      </c>
      <c r="R2495" t="s">
        <v>261</v>
      </c>
      <c r="S2495" t="s">
        <v>261</v>
      </c>
      <c r="T2495" t="s">
        <v>261</v>
      </c>
      <c r="U2495" t="s">
        <v>261</v>
      </c>
      <c r="V2495" t="s">
        <v>262</v>
      </c>
      <c r="W2495" t="s">
        <v>261</v>
      </c>
      <c r="X2495" t="s">
        <v>261</v>
      </c>
      <c r="Y2495" t="s">
        <v>261</v>
      </c>
      <c r="Z2495" t="s">
        <v>409</v>
      </c>
      <c r="AA2495" t="s">
        <v>409</v>
      </c>
      <c r="AB2495" t="s">
        <v>409</v>
      </c>
      <c r="AC2495" t="s">
        <v>409</v>
      </c>
      <c r="AD2495" t="s">
        <v>261</v>
      </c>
      <c r="AH2495" t="s">
        <v>262</v>
      </c>
      <c r="AI2495" t="s">
        <v>262</v>
      </c>
      <c r="AJ2495" t="s">
        <v>261</v>
      </c>
      <c r="AK2495" t="s">
        <v>261</v>
      </c>
      <c r="AM2495" t="s">
        <v>262</v>
      </c>
      <c r="AN2495" t="s">
        <v>6886</v>
      </c>
    </row>
    <row r="2496" spans="1:40" x14ac:dyDescent="0.35">
      <c r="A2496">
        <v>6637716</v>
      </c>
      <c r="B2496" t="s">
        <v>6887</v>
      </c>
      <c r="C2496" t="str">
        <f>""</f>
        <v/>
      </c>
      <c r="D2496" t="str">
        <f>"9783110664744"</f>
        <v>9783110664744</v>
      </c>
      <c r="E2496" t="s">
        <v>415</v>
      </c>
      <c r="F2496" t="s">
        <v>415</v>
      </c>
      <c r="G2496" s="1">
        <v>44018</v>
      </c>
      <c r="H2496" s="1">
        <v>44459</v>
      </c>
      <c r="I2496" t="s">
        <v>189</v>
      </c>
      <c r="J2496">
        <v>1</v>
      </c>
      <c r="K2496" t="s">
        <v>3014</v>
      </c>
      <c r="L2496" t="s">
        <v>6888</v>
      </c>
      <c r="M2496" t="s">
        <v>239</v>
      </c>
    </row>
    <row r="2497" spans="1:40" x14ac:dyDescent="0.35">
      <c r="A2497">
        <v>6637723</v>
      </c>
      <c r="B2497" t="s">
        <v>6889</v>
      </c>
      <c r="C2497" t="str">
        <f>"9783110595796"</f>
        <v>9783110595796</v>
      </c>
      <c r="D2497" t="str">
        <f>"9783110595925"</f>
        <v>9783110595925</v>
      </c>
      <c r="E2497" t="s">
        <v>415</v>
      </c>
      <c r="F2497" t="s">
        <v>415</v>
      </c>
      <c r="G2497" s="1">
        <v>43759</v>
      </c>
      <c r="H2497" s="1">
        <v>44459</v>
      </c>
      <c r="I2497" t="s">
        <v>189</v>
      </c>
      <c r="J2497">
        <v>1</v>
      </c>
      <c r="K2497" t="s">
        <v>6890</v>
      </c>
      <c r="L2497" t="s">
        <v>6891</v>
      </c>
      <c r="M2497" t="s">
        <v>199</v>
      </c>
      <c r="Q2497" t="s">
        <v>408</v>
      </c>
      <c r="R2497" t="s">
        <v>261</v>
      </c>
      <c r="S2497" t="s">
        <v>261</v>
      </c>
      <c r="T2497" t="s">
        <v>261</v>
      </c>
      <c r="U2497" t="s">
        <v>261</v>
      </c>
      <c r="V2497" t="s">
        <v>262</v>
      </c>
      <c r="W2497" t="s">
        <v>261</v>
      </c>
      <c r="X2497" t="s">
        <v>261</v>
      </c>
      <c r="Y2497" t="s">
        <v>261</v>
      </c>
      <c r="Z2497" t="s">
        <v>409</v>
      </c>
      <c r="AA2497" t="s">
        <v>409</v>
      </c>
      <c r="AB2497" t="s">
        <v>409</v>
      </c>
      <c r="AC2497" t="s">
        <v>409</v>
      </c>
      <c r="AD2497" t="s">
        <v>261</v>
      </c>
      <c r="AH2497" t="s">
        <v>262</v>
      </c>
      <c r="AI2497" t="s">
        <v>262</v>
      </c>
      <c r="AJ2497" t="s">
        <v>261</v>
      </c>
      <c r="AK2497" t="s">
        <v>261</v>
      </c>
      <c r="AM2497" t="s">
        <v>262</v>
      </c>
      <c r="AN2497" t="s">
        <v>6892</v>
      </c>
    </row>
    <row r="2498" spans="1:40" x14ac:dyDescent="0.35">
      <c r="A2498">
        <v>6637728</v>
      </c>
      <c r="B2498" t="s">
        <v>6893</v>
      </c>
      <c r="C2498" t="str">
        <f>""</f>
        <v/>
      </c>
      <c r="D2498" t="str">
        <f>"9783110615876"</f>
        <v>9783110615876</v>
      </c>
      <c r="E2498" t="s">
        <v>415</v>
      </c>
      <c r="F2498" t="s">
        <v>415</v>
      </c>
      <c r="G2498" s="1">
        <v>43591</v>
      </c>
      <c r="H2498" s="1">
        <v>44459</v>
      </c>
      <c r="I2498" t="s">
        <v>189</v>
      </c>
      <c r="J2498">
        <v>1</v>
      </c>
      <c r="L2498" t="s">
        <v>6894</v>
      </c>
    </row>
    <row r="2499" spans="1:40" x14ac:dyDescent="0.35">
      <c r="A2499">
        <v>6637729</v>
      </c>
      <c r="B2499" t="s">
        <v>6895</v>
      </c>
      <c r="C2499" t="str">
        <f>""</f>
        <v/>
      </c>
      <c r="D2499" t="str">
        <f>"9783110653540"</f>
        <v>9783110653540</v>
      </c>
      <c r="E2499" t="s">
        <v>415</v>
      </c>
      <c r="F2499" t="s">
        <v>415</v>
      </c>
      <c r="G2499" s="1">
        <v>43990</v>
      </c>
      <c r="H2499" s="1">
        <v>44459</v>
      </c>
      <c r="I2499" t="s">
        <v>189</v>
      </c>
      <c r="J2499">
        <v>1</v>
      </c>
      <c r="K2499" t="s">
        <v>6654</v>
      </c>
      <c r="L2499" t="s">
        <v>6896</v>
      </c>
    </row>
    <row r="2500" spans="1:40" x14ac:dyDescent="0.35">
      <c r="A2500">
        <v>6637732</v>
      </c>
      <c r="B2500" t="s">
        <v>6897</v>
      </c>
      <c r="C2500" t="str">
        <f>"9783110541199"</f>
        <v>9783110541199</v>
      </c>
      <c r="D2500" t="str">
        <f>"9783110541588"</f>
        <v>9783110541588</v>
      </c>
      <c r="E2500" t="s">
        <v>415</v>
      </c>
      <c r="F2500" t="s">
        <v>415</v>
      </c>
      <c r="G2500" s="1">
        <v>43605</v>
      </c>
      <c r="H2500" s="1">
        <v>44459</v>
      </c>
      <c r="I2500" t="s">
        <v>189</v>
      </c>
      <c r="J2500">
        <v>1</v>
      </c>
      <c r="K2500" t="s">
        <v>6621</v>
      </c>
      <c r="L2500" t="s">
        <v>125</v>
      </c>
      <c r="M2500" t="s">
        <v>239</v>
      </c>
    </row>
    <row r="2501" spans="1:40" x14ac:dyDescent="0.35">
      <c r="A2501">
        <v>6637735</v>
      </c>
      <c r="B2501" t="s">
        <v>6898</v>
      </c>
      <c r="C2501" t="str">
        <f>"9783110616330"</f>
        <v>9783110616330</v>
      </c>
      <c r="D2501" t="str">
        <f>"9783110616347"</f>
        <v>9783110616347</v>
      </c>
      <c r="E2501" t="s">
        <v>415</v>
      </c>
      <c r="F2501" t="s">
        <v>659</v>
      </c>
      <c r="G2501" s="1">
        <v>43829</v>
      </c>
      <c r="H2501" s="1">
        <v>44459</v>
      </c>
      <c r="I2501" t="s">
        <v>189</v>
      </c>
      <c r="J2501">
        <v>1</v>
      </c>
      <c r="L2501" t="s">
        <v>6899</v>
      </c>
    </row>
    <row r="2502" spans="1:40" x14ac:dyDescent="0.35">
      <c r="A2502">
        <v>6637736</v>
      </c>
      <c r="B2502" t="s">
        <v>6900</v>
      </c>
      <c r="C2502" t="str">
        <f>""</f>
        <v/>
      </c>
      <c r="D2502" t="str">
        <f>"9783110677058"</f>
        <v>9783110677058</v>
      </c>
      <c r="E2502" t="s">
        <v>415</v>
      </c>
      <c r="F2502" t="s">
        <v>415</v>
      </c>
      <c r="G2502" s="1">
        <v>44116</v>
      </c>
      <c r="H2502" s="1">
        <v>44459</v>
      </c>
      <c r="I2502" t="s">
        <v>189</v>
      </c>
      <c r="J2502">
        <v>1</v>
      </c>
      <c r="L2502" t="s">
        <v>6901</v>
      </c>
      <c r="M2502" t="s">
        <v>219</v>
      </c>
      <c r="Q2502" t="s">
        <v>408</v>
      </c>
      <c r="R2502" t="s">
        <v>261</v>
      </c>
      <c r="S2502" t="s">
        <v>261</v>
      </c>
      <c r="T2502" t="s">
        <v>261</v>
      </c>
      <c r="U2502" t="s">
        <v>261</v>
      </c>
      <c r="V2502" t="s">
        <v>262</v>
      </c>
      <c r="W2502" t="s">
        <v>261</v>
      </c>
      <c r="X2502" t="s">
        <v>261</v>
      </c>
      <c r="Y2502" t="s">
        <v>261</v>
      </c>
      <c r="Z2502" t="s">
        <v>409</v>
      </c>
      <c r="AA2502" t="s">
        <v>409</v>
      </c>
      <c r="AB2502" t="s">
        <v>409</v>
      </c>
      <c r="AC2502" t="s">
        <v>409</v>
      </c>
      <c r="AD2502" t="s">
        <v>261</v>
      </c>
      <c r="AH2502" t="s">
        <v>262</v>
      </c>
      <c r="AI2502" t="s">
        <v>262</v>
      </c>
      <c r="AJ2502" t="s">
        <v>261</v>
      </c>
      <c r="AK2502" t="s">
        <v>261</v>
      </c>
      <c r="AM2502" t="s">
        <v>262</v>
      </c>
      <c r="AN2502" t="s">
        <v>6902</v>
      </c>
    </row>
    <row r="2503" spans="1:40" x14ac:dyDescent="0.35">
      <c r="A2503">
        <v>6637740</v>
      </c>
      <c r="B2503" t="s">
        <v>6903</v>
      </c>
      <c r="C2503" t="str">
        <f>""</f>
        <v/>
      </c>
      <c r="D2503" t="str">
        <f>"9783110677713"</f>
        <v>9783110677713</v>
      </c>
      <c r="E2503" t="s">
        <v>415</v>
      </c>
      <c r="F2503" t="s">
        <v>415</v>
      </c>
      <c r="G2503" s="1">
        <v>44095</v>
      </c>
      <c r="H2503" s="1">
        <v>44459</v>
      </c>
      <c r="I2503" t="s">
        <v>189</v>
      </c>
      <c r="J2503">
        <v>1</v>
      </c>
      <c r="K2503" t="s">
        <v>3934</v>
      </c>
      <c r="L2503" t="s">
        <v>3873</v>
      </c>
    </row>
    <row r="2504" spans="1:40" x14ac:dyDescent="0.35">
      <c r="A2504">
        <v>6637741</v>
      </c>
      <c r="B2504" t="s">
        <v>6904</v>
      </c>
      <c r="C2504" t="str">
        <f>""</f>
        <v/>
      </c>
      <c r="D2504" t="str">
        <f>"9783110584707"</f>
        <v>9783110584707</v>
      </c>
      <c r="E2504" t="s">
        <v>415</v>
      </c>
      <c r="F2504" t="s">
        <v>415</v>
      </c>
      <c r="G2504" s="1">
        <v>43885</v>
      </c>
      <c r="H2504" s="1">
        <v>44459</v>
      </c>
      <c r="I2504" t="s">
        <v>189</v>
      </c>
      <c r="J2504">
        <v>1</v>
      </c>
      <c r="L2504" t="s">
        <v>6905</v>
      </c>
      <c r="M2504" t="s">
        <v>219</v>
      </c>
      <c r="Q2504" t="s">
        <v>408</v>
      </c>
      <c r="R2504" t="s">
        <v>261</v>
      </c>
      <c r="S2504" t="s">
        <v>261</v>
      </c>
      <c r="T2504" t="s">
        <v>261</v>
      </c>
      <c r="U2504" t="s">
        <v>261</v>
      </c>
      <c r="V2504" t="s">
        <v>262</v>
      </c>
      <c r="W2504" t="s">
        <v>261</v>
      </c>
      <c r="X2504" t="s">
        <v>261</v>
      </c>
      <c r="Y2504" t="s">
        <v>261</v>
      </c>
      <c r="Z2504" t="s">
        <v>409</v>
      </c>
      <c r="AA2504" t="s">
        <v>409</v>
      </c>
      <c r="AB2504" t="s">
        <v>409</v>
      </c>
      <c r="AC2504" t="s">
        <v>409</v>
      </c>
      <c r="AD2504" t="s">
        <v>261</v>
      </c>
      <c r="AH2504" t="s">
        <v>262</v>
      </c>
      <c r="AI2504" t="s">
        <v>262</v>
      </c>
      <c r="AJ2504" t="s">
        <v>261</v>
      </c>
      <c r="AK2504" t="s">
        <v>261</v>
      </c>
      <c r="AM2504" t="s">
        <v>262</v>
      </c>
      <c r="AN2504" t="s">
        <v>6906</v>
      </c>
    </row>
    <row r="2505" spans="1:40" x14ac:dyDescent="0.35">
      <c r="A2505">
        <v>6637784</v>
      </c>
      <c r="B2505" t="s">
        <v>6907</v>
      </c>
      <c r="C2505" t="str">
        <f>"9783319928098"</f>
        <v>9783319928098</v>
      </c>
      <c r="D2505" t="str">
        <f>"9783319928104"</f>
        <v>9783319928104</v>
      </c>
      <c r="E2505" t="s">
        <v>2289</v>
      </c>
      <c r="F2505" t="s">
        <v>2290</v>
      </c>
      <c r="G2505" s="1">
        <v>44351</v>
      </c>
      <c r="H2505" s="1">
        <v>44357</v>
      </c>
      <c r="I2505" t="s">
        <v>189</v>
      </c>
      <c r="L2505" t="s">
        <v>6908</v>
      </c>
    </row>
    <row r="2506" spans="1:40" x14ac:dyDescent="0.35">
      <c r="A2506">
        <v>6637789</v>
      </c>
      <c r="B2506" t="s">
        <v>6909</v>
      </c>
      <c r="C2506" t="str">
        <f>"9789813349919"</f>
        <v>9789813349919</v>
      </c>
      <c r="D2506" t="str">
        <f>"9789813349926"</f>
        <v>9789813349926</v>
      </c>
      <c r="E2506" t="s">
        <v>3404</v>
      </c>
      <c r="F2506" t="s">
        <v>2290</v>
      </c>
      <c r="G2506" s="1">
        <v>44352</v>
      </c>
      <c r="H2506" s="1">
        <v>44357</v>
      </c>
      <c r="I2506" t="s">
        <v>189</v>
      </c>
      <c r="L2506" t="s">
        <v>5043</v>
      </c>
      <c r="M2506" t="s">
        <v>2058</v>
      </c>
    </row>
    <row r="2507" spans="1:40" x14ac:dyDescent="0.35">
      <c r="A2507">
        <v>6638232</v>
      </c>
      <c r="B2507" t="s">
        <v>6910</v>
      </c>
      <c r="C2507" t="str">
        <f>"9781800641839"</f>
        <v>9781800641839</v>
      </c>
      <c r="D2507" t="str">
        <f>"9781800641846"</f>
        <v>9781800641846</v>
      </c>
      <c r="E2507" t="s">
        <v>1807</v>
      </c>
      <c r="F2507" t="s">
        <v>1807</v>
      </c>
      <c r="G2507" s="1">
        <v>44347</v>
      </c>
      <c r="H2507" s="1">
        <v>44355</v>
      </c>
      <c r="I2507" t="s">
        <v>189</v>
      </c>
      <c r="J2507">
        <v>1</v>
      </c>
      <c r="L2507" t="s">
        <v>6911</v>
      </c>
      <c r="M2507" t="s">
        <v>582</v>
      </c>
    </row>
    <row r="2508" spans="1:40" x14ac:dyDescent="0.35">
      <c r="A2508">
        <v>6638830</v>
      </c>
      <c r="B2508" t="s">
        <v>6912</v>
      </c>
      <c r="C2508" t="str">
        <f>"9783030698812"</f>
        <v>9783030698812</v>
      </c>
      <c r="D2508" t="str">
        <f>"9783030698829"</f>
        <v>9783030698829</v>
      </c>
      <c r="E2508" t="s">
        <v>2289</v>
      </c>
      <c r="F2508" t="s">
        <v>2663</v>
      </c>
      <c r="G2508" s="1">
        <v>44355</v>
      </c>
      <c r="H2508" s="1">
        <v>44357</v>
      </c>
      <c r="I2508" t="s">
        <v>189</v>
      </c>
      <c r="K2508" t="s">
        <v>6913</v>
      </c>
      <c r="L2508" t="s">
        <v>6914</v>
      </c>
    </row>
    <row r="2509" spans="1:40" x14ac:dyDescent="0.35">
      <c r="A2509">
        <v>6639200</v>
      </c>
      <c r="B2509" t="s">
        <v>6915</v>
      </c>
      <c r="C2509" t="str">
        <f>"9783658339265"</f>
        <v>9783658339265</v>
      </c>
      <c r="D2509" t="str">
        <f>"9783658339272"</f>
        <v>9783658339272</v>
      </c>
      <c r="E2509" t="s">
        <v>3972</v>
      </c>
      <c r="F2509" t="s">
        <v>3998</v>
      </c>
      <c r="G2509" s="1">
        <v>44356</v>
      </c>
      <c r="H2509" s="1">
        <v>44379</v>
      </c>
      <c r="I2509" t="s">
        <v>189</v>
      </c>
      <c r="K2509" t="s">
        <v>4874</v>
      </c>
      <c r="L2509" t="s">
        <v>6916</v>
      </c>
    </row>
    <row r="2510" spans="1:40" x14ac:dyDescent="0.35">
      <c r="A2510">
        <v>6639843</v>
      </c>
      <c r="B2510" t="s">
        <v>6917</v>
      </c>
      <c r="C2510" t="str">
        <f>"9789462984059"</f>
        <v>9789462984059</v>
      </c>
      <c r="D2510" t="str">
        <f>"9789048534586"</f>
        <v>9789048534586</v>
      </c>
      <c r="E2510" t="s">
        <v>361</v>
      </c>
      <c r="F2510" t="s">
        <v>361</v>
      </c>
      <c r="G2510" s="1">
        <v>42948</v>
      </c>
      <c r="H2510" s="1">
        <v>44462</v>
      </c>
      <c r="I2510" t="s">
        <v>189</v>
      </c>
      <c r="J2510">
        <v>1</v>
      </c>
      <c r="K2510" t="s">
        <v>6918</v>
      </c>
      <c r="L2510" t="s">
        <v>6919</v>
      </c>
    </row>
    <row r="2511" spans="1:40" x14ac:dyDescent="0.35">
      <c r="A2511">
        <v>6640049</v>
      </c>
      <c r="B2511" t="s">
        <v>6920</v>
      </c>
      <c r="C2511" t="str">
        <f>"9783030780975"</f>
        <v>9783030780975</v>
      </c>
      <c r="D2511" t="str">
        <f>"9783030780982"</f>
        <v>9783030780982</v>
      </c>
      <c r="E2511" t="s">
        <v>2289</v>
      </c>
      <c r="F2511" t="s">
        <v>2290</v>
      </c>
      <c r="G2511" s="1">
        <v>44357</v>
      </c>
      <c r="H2511" s="1">
        <v>44379</v>
      </c>
      <c r="I2511" t="s">
        <v>189</v>
      </c>
      <c r="K2511" t="s">
        <v>4306</v>
      </c>
      <c r="L2511" t="s">
        <v>6921</v>
      </c>
    </row>
    <row r="2512" spans="1:40" x14ac:dyDescent="0.35">
      <c r="A2512">
        <v>6640074</v>
      </c>
      <c r="B2512" t="s">
        <v>6922</v>
      </c>
      <c r="C2512" t="str">
        <f>"9783030717636"</f>
        <v>9783030717636</v>
      </c>
      <c r="D2512" t="str">
        <f>"9783030717643"</f>
        <v>9783030717643</v>
      </c>
      <c r="E2512" t="s">
        <v>2289</v>
      </c>
      <c r="F2512" t="s">
        <v>2290</v>
      </c>
      <c r="G2512" s="1">
        <v>44357</v>
      </c>
      <c r="H2512" s="1">
        <v>44379</v>
      </c>
      <c r="I2512" t="s">
        <v>189</v>
      </c>
      <c r="K2512" t="s">
        <v>6923</v>
      </c>
      <c r="L2512" t="s">
        <v>6924</v>
      </c>
    </row>
    <row r="2513" spans="1:40" x14ac:dyDescent="0.35">
      <c r="A2513">
        <v>6640078</v>
      </c>
      <c r="B2513" t="s">
        <v>6925</v>
      </c>
      <c r="C2513" t="str">
        <f>"9783030668907"</f>
        <v>9783030668907</v>
      </c>
      <c r="D2513" t="str">
        <f>"9783030668914"</f>
        <v>9783030668914</v>
      </c>
      <c r="E2513" t="s">
        <v>2289</v>
      </c>
      <c r="F2513" t="s">
        <v>2290</v>
      </c>
      <c r="G2513" s="1">
        <v>44357</v>
      </c>
      <c r="H2513" s="1">
        <v>44379</v>
      </c>
      <c r="I2513" t="s">
        <v>189</v>
      </c>
      <c r="L2513" t="s">
        <v>6926</v>
      </c>
    </row>
    <row r="2514" spans="1:40" x14ac:dyDescent="0.35">
      <c r="A2514">
        <v>6647696</v>
      </c>
      <c r="B2514" t="s">
        <v>6927</v>
      </c>
      <c r="C2514" t="str">
        <f>"9781800641204"</f>
        <v>9781800641204</v>
      </c>
      <c r="D2514" t="str">
        <f>"9781800641211"</f>
        <v>9781800641211</v>
      </c>
      <c r="E2514" t="s">
        <v>1807</v>
      </c>
      <c r="F2514" t="s">
        <v>1807</v>
      </c>
      <c r="G2514" s="1">
        <v>44363</v>
      </c>
      <c r="H2514" s="1">
        <v>44427</v>
      </c>
      <c r="I2514" t="s">
        <v>189</v>
      </c>
      <c r="J2514">
        <v>1</v>
      </c>
      <c r="L2514" t="s">
        <v>6928</v>
      </c>
    </row>
    <row r="2515" spans="1:40" x14ac:dyDescent="0.35">
      <c r="A2515">
        <v>6647753</v>
      </c>
      <c r="B2515" t="s">
        <v>6929</v>
      </c>
      <c r="C2515" t="str">
        <f>"9783030499945"</f>
        <v>9783030499945</v>
      </c>
      <c r="D2515" t="str">
        <f>"9783030499952"</f>
        <v>9783030499952</v>
      </c>
      <c r="E2515" t="s">
        <v>2289</v>
      </c>
      <c r="F2515" t="s">
        <v>2290</v>
      </c>
      <c r="G2515" s="1">
        <v>44370</v>
      </c>
      <c r="H2515" s="1">
        <v>44694</v>
      </c>
      <c r="I2515" t="s">
        <v>189</v>
      </c>
      <c r="L2515" t="s">
        <v>6930</v>
      </c>
      <c r="M2515" t="s">
        <v>582</v>
      </c>
      <c r="N2515" t="s">
        <v>6931</v>
      </c>
      <c r="Q2515" t="s">
        <v>260</v>
      </c>
      <c r="R2515" t="s">
        <v>261</v>
      </c>
      <c r="S2515" t="s">
        <v>261</v>
      </c>
      <c r="T2515" t="s">
        <v>261</v>
      </c>
      <c r="U2515" t="s">
        <v>261</v>
      </c>
      <c r="V2515" t="s">
        <v>262</v>
      </c>
      <c r="W2515" t="s">
        <v>261</v>
      </c>
      <c r="X2515" t="s">
        <v>261</v>
      </c>
      <c r="Y2515" t="s">
        <v>261</v>
      </c>
      <c r="AA2515" t="s">
        <v>409</v>
      </c>
      <c r="AB2515" t="s">
        <v>409</v>
      </c>
      <c r="AD2515" t="s">
        <v>261</v>
      </c>
      <c r="AH2515" t="s">
        <v>262</v>
      </c>
      <c r="AI2515" t="s">
        <v>262</v>
      </c>
      <c r="AJ2515" t="s">
        <v>261</v>
      </c>
      <c r="AK2515" t="s">
        <v>261</v>
      </c>
      <c r="AM2515" t="s">
        <v>262</v>
      </c>
      <c r="AN2515" t="s">
        <v>6932</v>
      </c>
    </row>
    <row r="2516" spans="1:40" x14ac:dyDescent="0.35">
      <c r="A2516">
        <v>6648423</v>
      </c>
      <c r="B2516" t="s">
        <v>6933</v>
      </c>
      <c r="C2516" t="str">
        <f>"9783030701758"</f>
        <v>9783030701758</v>
      </c>
      <c r="D2516" t="str">
        <f>"9783030701765"</f>
        <v>9783030701765</v>
      </c>
      <c r="E2516" t="s">
        <v>2289</v>
      </c>
      <c r="F2516" t="s">
        <v>2290</v>
      </c>
      <c r="G2516" s="1">
        <v>44322</v>
      </c>
      <c r="H2516" s="1">
        <v>44676</v>
      </c>
      <c r="I2516" t="s">
        <v>189</v>
      </c>
      <c r="K2516" t="s">
        <v>4777</v>
      </c>
      <c r="L2516" t="s">
        <v>6934</v>
      </c>
    </row>
    <row r="2517" spans="1:40" x14ac:dyDescent="0.35">
      <c r="A2517">
        <v>6652280</v>
      </c>
      <c r="B2517" t="s">
        <v>6935</v>
      </c>
      <c r="C2517" t="str">
        <f>"9783030566920"</f>
        <v>9783030566920</v>
      </c>
      <c r="D2517" t="str">
        <f>"9783030566944"</f>
        <v>9783030566944</v>
      </c>
      <c r="E2517" t="s">
        <v>2289</v>
      </c>
      <c r="F2517" t="s">
        <v>2290</v>
      </c>
      <c r="G2517" s="1">
        <v>44376</v>
      </c>
      <c r="H2517" s="1">
        <v>44694</v>
      </c>
      <c r="I2517" t="s">
        <v>189</v>
      </c>
      <c r="K2517" t="s">
        <v>6936</v>
      </c>
      <c r="L2517" t="s">
        <v>6937</v>
      </c>
      <c r="M2517" t="s">
        <v>1318</v>
      </c>
      <c r="N2517" t="s">
        <v>6938</v>
      </c>
      <c r="Q2517" t="s">
        <v>260</v>
      </c>
      <c r="R2517" t="s">
        <v>261</v>
      </c>
      <c r="S2517" t="s">
        <v>261</v>
      </c>
      <c r="T2517" t="s">
        <v>261</v>
      </c>
      <c r="U2517" t="s">
        <v>261</v>
      </c>
      <c r="V2517" t="s">
        <v>262</v>
      </c>
      <c r="W2517" t="s">
        <v>261</v>
      </c>
      <c r="X2517" t="s">
        <v>261</v>
      </c>
      <c r="Y2517" t="s">
        <v>261</v>
      </c>
      <c r="AA2517" t="s">
        <v>409</v>
      </c>
      <c r="AB2517" t="s">
        <v>409</v>
      </c>
      <c r="AD2517" t="s">
        <v>261</v>
      </c>
      <c r="AH2517" t="s">
        <v>262</v>
      </c>
      <c r="AI2517" t="s">
        <v>262</v>
      </c>
      <c r="AJ2517" t="s">
        <v>261</v>
      </c>
      <c r="AK2517" t="s">
        <v>261</v>
      </c>
      <c r="AM2517" t="s">
        <v>262</v>
      </c>
      <c r="AN2517" t="s">
        <v>6939</v>
      </c>
    </row>
    <row r="2518" spans="1:40" x14ac:dyDescent="0.35">
      <c r="A2518">
        <v>6660156</v>
      </c>
      <c r="B2518" t="s">
        <v>6940</v>
      </c>
      <c r="C2518" t="str">
        <f>"9783030750305"</f>
        <v>9783030750305</v>
      </c>
      <c r="D2518" t="str">
        <f>"9783030750312"</f>
        <v>9783030750312</v>
      </c>
      <c r="E2518" t="s">
        <v>2289</v>
      </c>
      <c r="F2518" t="s">
        <v>2290</v>
      </c>
      <c r="G2518" s="1">
        <v>44377</v>
      </c>
      <c r="H2518" s="1">
        <v>44694</v>
      </c>
      <c r="I2518" t="s">
        <v>189</v>
      </c>
      <c r="L2518" t="s">
        <v>6941</v>
      </c>
    </row>
    <row r="2519" spans="1:40" x14ac:dyDescent="0.35">
      <c r="A2519">
        <v>6660239</v>
      </c>
      <c r="B2519" t="s">
        <v>6942</v>
      </c>
      <c r="C2519" t="str">
        <f>"9781978804555"</f>
        <v>9781978804555</v>
      </c>
      <c r="D2519" t="str">
        <f>"9781978804586"</f>
        <v>9781978804586</v>
      </c>
      <c r="E2519" t="s">
        <v>336</v>
      </c>
      <c r="F2519" t="s">
        <v>336</v>
      </c>
      <c r="G2519" s="1">
        <v>44365</v>
      </c>
      <c r="H2519" s="1">
        <v>44383</v>
      </c>
      <c r="I2519" t="s">
        <v>189</v>
      </c>
      <c r="J2519">
        <v>1</v>
      </c>
      <c r="K2519" t="s">
        <v>6943</v>
      </c>
      <c r="L2519" t="s">
        <v>6944</v>
      </c>
      <c r="M2519" t="s">
        <v>339</v>
      </c>
    </row>
    <row r="2520" spans="1:40" x14ac:dyDescent="0.35">
      <c r="A2520">
        <v>6661645</v>
      </c>
      <c r="B2520" t="s">
        <v>6945</v>
      </c>
      <c r="C2520" t="str">
        <f>"9783658341145"</f>
        <v>9783658341145</v>
      </c>
      <c r="D2520" t="str">
        <f>"9783658341152"</f>
        <v>9783658341152</v>
      </c>
      <c r="E2520" t="s">
        <v>3972</v>
      </c>
      <c r="F2520" t="s">
        <v>3998</v>
      </c>
      <c r="G2520" s="1">
        <v>44378</v>
      </c>
      <c r="H2520" s="1">
        <v>44676</v>
      </c>
      <c r="I2520" t="s">
        <v>189</v>
      </c>
      <c r="K2520" t="s">
        <v>6946</v>
      </c>
      <c r="L2520" t="s">
        <v>6947</v>
      </c>
      <c r="M2520" t="s">
        <v>323</v>
      </c>
      <c r="N2520" t="s">
        <v>6948</v>
      </c>
      <c r="Q2520" t="s">
        <v>408</v>
      </c>
      <c r="R2520" t="s">
        <v>261</v>
      </c>
      <c r="S2520" t="s">
        <v>261</v>
      </c>
      <c r="T2520" t="s">
        <v>261</v>
      </c>
      <c r="U2520" t="s">
        <v>262</v>
      </c>
      <c r="V2520" t="s">
        <v>262</v>
      </c>
      <c r="W2520" t="s">
        <v>261</v>
      </c>
      <c r="X2520" t="s">
        <v>262</v>
      </c>
      <c r="Y2520" t="s">
        <v>261</v>
      </c>
      <c r="Z2520" t="s">
        <v>409</v>
      </c>
      <c r="AA2520" t="s">
        <v>409</v>
      </c>
      <c r="AB2520" t="s">
        <v>409</v>
      </c>
      <c r="AC2520" t="s">
        <v>409</v>
      </c>
      <c r="AD2520" t="s">
        <v>261</v>
      </c>
      <c r="AH2520" t="s">
        <v>262</v>
      </c>
      <c r="AI2520" t="s">
        <v>262</v>
      </c>
      <c r="AJ2520" t="s">
        <v>261</v>
      </c>
      <c r="AK2520" t="s">
        <v>261</v>
      </c>
      <c r="AM2520" t="s">
        <v>262</v>
      </c>
      <c r="AN2520" t="s">
        <v>6949</v>
      </c>
    </row>
    <row r="2521" spans="1:40" x14ac:dyDescent="0.35">
      <c r="A2521">
        <v>6665443</v>
      </c>
      <c r="B2521" t="s">
        <v>6950</v>
      </c>
      <c r="C2521" t="str">
        <f>"9789811604546"</f>
        <v>9789811604546</v>
      </c>
      <c r="D2521" t="str">
        <f>"9789811604553"</f>
        <v>9789811604553</v>
      </c>
      <c r="E2521" t="s">
        <v>3404</v>
      </c>
      <c r="F2521" t="s">
        <v>2663</v>
      </c>
      <c r="G2521" s="1">
        <v>44370</v>
      </c>
      <c r="H2521" s="1">
        <v>44676</v>
      </c>
      <c r="I2521" t="s">
        <v>189</v>
      </c>
      <c r="K2521" t="s">
        <v>6951</v>
      </c>
      <c r="L2521" t="s">
        <v>6952</v>
      </c>
    </row>
    <row r="2522" spans="1:40" x14ac:dyDescent="0.35">
      <c r="A2522">
        <v>6665457</v>
      </c>
      <c r="B2522" t="s">
        <v>6953</v>
      </c>
      <c r="C2522" t="str">
        <f>"9783030737696"</f>
        <v>9783030737696</v>
      </c>
      <c r="D2522" t="str">
        <f>"9783030737702"</f>
        <v>9783030737702</v>
      </c>
      <c r="E2522" t="s">
        <v>2289</v>
      </c>
      <c r="F2522" t="s">
        <v>2663</v>
      </c>
      <c r="G2522" s="1">
        <v>44376</v>
      </c>
      <c r="H2522" s="1">
        <v>44676</v>
      </c>
      <c r="I2522" t="s">
        <v>189</v>
      </c>
      <c r="K2522" t="s">
        <v>4622</v>
      </c>
      <c r="L2522" t="s">
        <v>6954</v>
      </c>
    </row>
    <row r="2523" spans="1:40" x14ac:dyDescent="0.35">
      <c r="A2523">
        <v>6670331</v>
      </c>
      <c r="B2523" t="s">
        <v>6955</v>
      </c>
      <c r="C2523" t="str">
        <f>"9783662635087"</f>
        <v>9783662635087</v>
      </c>
      <c r="D2523" t="str">
        <f>"9783662635094"</f>
        <v>9783662635094</v>
      </c>
      <c r="E2523" t="s">
        <v>4047</v>
      </c>
      <c r="F2523" t="s">
        <v>2290</v>
      </c>
      <c r="G2523" s="1">
        <v>44382</v>
      </c>
      <c r="H2523" s="1">
        <v>44676</v>
      </c>
      <c r="I2523" t="s">
        <v>189</v>
      </c>
      <c r="L2523" t="s">
        <v>6956</v>
      </c>
      <c r="M2523" t="s">
        <v>3181</v>
      </c>
    </row>
    <row r="2524" spans="1:40" x14ac:dyDescent="0.35">
      <c r="A2524">
        <v>6675250</v>
      </c>
      <c r="B2524" t="s">
        <v>6957</v>
      </c>
      <c r="C2524" t="str">
        <f>""</f>
        <v/>
      </c>
      <c r="D2524" t="str">
        <f>"9789179290009"</f>
        <v>9789179290009</v>
      </c>
      <c r="E2524" t="s">
        <v>3642</v>
      </c>
      <c r="F2524" t="s">
        <v>3642</v>
      </c>
      <c r="G2524" s="1">
        <v>44382</v>
      </c>
      <c r="H2524" s="1">
        <v>44422</v>
      </c>
      <c r="I2524" t="s">
        <v>189</v>
      </c>
      <c r="J2524">
        <v>1</v>
      </c>
      <c r="L2524" t="s">
        <v>6958</v>
      </c>
      <c r="Q2524" t="s">
        <v>260</v>
      </c>
      <c r="R2524" t="s">
        <v>261</v>
      </c>
      <c r="S2524" t="s">
        <v>261</v>
      </c>
      <c r="T2524" t="s">
        <v>261</v>
      </c>
      <c r="U2524" t="s">
        <v>261</v>
      </c>
      <c r="V2524" t="s">
        <v>262</v>
      </c>
      <c r="W2524" t="s">
        <v>261</v>
      </c>
      <c r="X2524" t="s">
        <v>261</v>
      </c>
      <c r="Y2524" t="s">
        <v>261</v>
      </c>
      <c r="AD2524" t="s">
        <v>261</v>
      </c>
      <c r="AH2524" t="s">
        <v>262</v>
      </c>
      <c r="AI2524" t="s">
        <v>261</v>
      </c>
      <c r="AJ2524" t="s">
        <v>261</v>
      </c>
      <c r="AK2524" t="s">
        <v>261</v>
      </c>
      <c r="AM2524" t="s">
        <v>262</v>
      </c>
      <c r="AN2524" t="s">
        <v>6959</v>
      </c>
    </row>
    <row r="2525" spans="1:40" x14ac:dyDescent="0.35">
      <c r="A2525">
        <v>6676589</v>
      </c>
      <c r="B2525" t="s">
        <v>6960</v>
      </c>
      <c r="C2525" t="str">
        <f>"9783030684785"</f>
        <v>9783030684785</v>
      </c>
      <c r="D2525" t="str">
        <f>"9783030684792"</f>
        <v>9783030684792</v>
      </c>
      <c r="E2525" t="s">
        <v>2289</v>
      </c>
      <c r="F2525" t="s">
        <v>2290</v>
      </c>
      <c r="G2525" s="1">
        <v>44385</v>
      </c>
      <c r="H2525" s="1">
        <v>44676</v>
      </c>
      <c r="I2525" t="s">
        <v>189</v>
      </c>
      <c r="K2525" t="s">
        <v>6961</v>
      </c>
      <c r="L2525" t="s">
        <v>4899</v>
      </c>
    </row>
    <row r="2526" spans="1:40" x14ac:dyDescent="0.35">
      <c r="A2526">
        <v>6676590</v>
      </c>
      <c r="B2526" t="s">
        <v>6962</v>
      </c>
      <c r="C2526" t="str">
        <f>"9783030639587"</f>
        <v>9783030639587</v>
      </c>
      <c r="D2526" t="str">
        <f>"9783030639600"</f>
        <v>9783030639600</v>
      </c>
      <c r="E2526" t="s">
        <v>2289</v>
      </c>
      <c r="F2526" t="s">
        <v>2290</v>
      </c>
      <c r="G2526" s="1">
        <v>44378</v>
      </c>
      <c r="H2526" s="1">
        <v>44676</v>
      </c>
      <c r="I2526" t="s">
        <v>189</v>
      </c>
      <c r="L2526" t="s">
        <v>6963</v>
      </c>
    </row>
    <row r="2527" spans="1:40" x14ac:dyDescent="0.35">
      <c r="A2527">
        <v>6676591</v>
      </c>
      <c r="B2527" t="s">
        <v>6964</v>
      </c>
      <c r="C2527" t="str">
        <f>"9783030718183"</f>
        <v>9783030718183</v>
      </c>
      <c r="D2527" t="str">
        <f>"9783030718190"</f>
        <v>9783030718190</v>
      </c>
      <c r="E2527" t="s">
        <v>2289</v>
      </c>
      <c r="F2527" t="s">
        <v>2290</v>
      </c>
      <c r="G2527" s="1">
        <v>44372</v>
      </c>
      <c r="H2527" s="1">
        <v>44676</v>
      </c>
      <c r="I2527" t="s">
        <v>189</v>
      </c>
      <c r="K2527" t="s">
        <v>6965</v>
      </c>
      <c r="L2527" t="s">
        <v>6966</v>
      </c>
    </row>
    <row r="2528" spans="1:40" x14ac:dyDescent="0.35">
      <c r="A2528">
        <v>6676592</v>
      </c>
      <c r="B2528" t="s">
        <v>6967</v>
      </c>
      <c r="C2528" t="str">
        <f>"9783030745851"</f>
        <v>9783030745851</v>
      </c>
      <c r="D2528" t="str">
        <f>"9783030745868"</f>
        <v>9783030745868</v>
      </c>
      <c r="E2528" t="s">
        <v>2289</v>
      </c>
      <c r="F2528" t="s">
        <v>2290</v>
      </c>
      <c r="G2528" s="1">
        <v>44372</v>
      </c>
      <c r="H2528" s="1">
        <v>44676</v>
      </c>
      <c r="I2528" t="s">
        <v>189</v>
      </c>
      <c r="L2528" t="s">
        <v>6968</v>
      </c>
    </row>
    <row r="2529" spans="1:40" x14ac:dyDescent="0.35">
      <c r="A2529">
        <v>6676594</v>
      </c>
      <c r="B2529" t="s">
        <v>6969</v>
      </c>
      <c r="C2529" t="str">
        <f>"9783030681753"</f>
        <v>9783030681753</v>
      </c>
      <c r="D2529" t="str">
        <f>"9783030681760"</f>
        <v>9783030681760</v>
      </c>
      <c r="E2529" t="s">
        <v>2289</v>
      </c>
      <c r="F2529" t="s">
        <v>2290</v>
      </c>
      <c r="G2529" s="1">
        <v>44378</v>
      </c>
      <c r="H2529" s="1">
        <v>44676</v>
      </c>
      <c r="I2529" t="s">
        <v>189</v>
      </c>
      <c r="L2529" t="s">
        <v>65</v>
      </c>
    </row>
    <row r="2530" spans="1:40" x14ac:dyDescent="0.35">
      <c r="A2530">
        <v>6676595</v>
      </c>
      <c r="B2530" t="s">
        <v>6970</v>
      </c>
      <c r="C2530" t="str">
        <f>"9783030645366"</f>
        <v>9783030645366</v>
      </c>
      <c r="D2530" t="str">
        <f>"9783030645373"</f>
        <v>9783030645373</v>
      </c>
      <c r="E2530" t="s">
        <v>2289</v>
      </c>
      <c r="F2530" t="s">
        <v>2663</v>
      </c>
      <c r="G2530" s="1">
        <v>44372</v>
      </c>
      <c r="H2530" s="1">
        <v>44676</v>
      </c>
      <c r="I2530" t="s">
        <v>189</v>
      </c>
      <c r="L2530" t="s">
        <v>6971</v>
      </c>
    </row>
    <row r="2531" spans="1:40" x14ac:dyDescent="0.35">
      <c r="A2531">
        <v>6676596</v>
      </c>
      <c r="B2531" t="s">
        <v>6972</v>
      </c>
      <c r="C2531" t="str">
        <f>"9783030738341"</f>
        <v>9783030738341</v>
      </c>
      <c r="D2531" t="str">
        <f>"9783030738358"</f>
        <v>9783030738358</v>
      </c>
      <c r="E2531" t="s">
        <v>2289</v>
      </c>
      <c r="F2531" t="s">
        <v>2290</v>
      </c>
      <c r="G2531" s="1">
        <v>44378</v>
      </c>
      <c r="H2531" s="1">
        <v>44676</v>
      </c>
      <c r="I2531" t="s">
        <v>189</v>
      </c>
      <c r="K2531" t="s">
        <v>6973</v>
      </c>
      <c r="L2531" t="s">
        <v>6974</v>
      </c>
    </row>
    <row r="2532" spans="1:40" x14ac:dyDescent="0.35">
      <c r="A2532">
        <v>6676597</v>
      </c>
      <c r="B2532" t="s">
        <v>6975</v>
      </c>
      <c r="C2532" t="str">
        <f>"9783030742171"</f>
        <v>9783030742171</v>
      </c>
      <c r="D2532" t="str">
        <f>"9783030742188"</f>
        <v>9783030742188</v>
      </c>
      <c r="E2532" t="s">
        <v>2289</v>
      </c>
      <c r="F2532" t="s">
        <v>2290</v>
      </c>
      <c r="G2532" s="1">
        <v>44426</v>
      </c>
      <c r="H2532" s="1">
        <v>44676</v>
      </c>
      <c r="I2532" t="s">
        <v>189</v>
      </c>
      <c r="K2532" t="s">
        <v>4447</v>
      </c>
      <c r="L2532" t="s">
        <v>6976</v>
      </c>
      <c r="M2532" t="s">
        <v>582</v>
      </c>
      <c r="N2532" t="s">
        <v>6977</v>
      </c>
      <c r="Q2532" t="s">
        <v>260</v>
      </c>
      <c r="R2532" t="s">
        <v>261</v>
      </c>
      <c r="S2532" t="s">
        <v>261</v>
      </c>
      <c r="T2532" t="s">
        <v>261</v>
      </c>
      <c r="U2532" t="s">
        <v>262</v>
      </c>
      <c r="V2532" t="s">
        <v>262</v>
      </c>
      <c r="W2532" t="s">
        <v>261</v>
      </c>
      <c r="X2532" t="s">
        <v>262</v>
      </c>
      <c r="Y2532" t="s">
        <v>261</v>
      </c>
      <c r="Z2532" t="s">
        <v>409</v>
      </c>
      <c r="AA2532" t="s">
        <v>409</v>
      </c>
      <c r="AB2532" t="s">
        <v>409</v>
      </c>
      <c r="AC2532" t="s">
        <v>409</v>
      </c>
      <c r="AD2532" t="s">
        <v>261</v>
      </c>
      <c r="AH2532" t="s">
        <v>262</v>
      </c>
      <c r="AI2532" t="s">
        <v>262</v>
      </c>
      <c r="AJ2532" t="s">
        <v>261</v>
      </c>
      <c r="AK2532" t="s">
        <v>261</v>
      </c>
      <c r="AM2532" t="s">
        <v>262</v>
      </c>
      <c r="AN2532" t="s">
        <v>6978</v>
      </c>
    </row>
    <row r="2533" spans="1:40" x14ac:dyDescent="0.35">
      <c r="A2533">
        <v>6676598</v>
      </c>
      <c r="B2533" t="s">
        <v>6979</v>
      </c>
      <c r="C2533" t="str">
        <f>"9783030748500"</f>
        <v>9783030748500</v>
      </c>
      <c r="D2533" t="str">
        <f>"9783030748517"</f>
        <v>9783030748517</v>
      </c>
      <c r="E2533" t="s">
        <v>2289</v>
      </c>
      <c r="F2533" t="s">
        <v>2290</v>
      </c>
      <c r="G2533" s="1">
        <v>44378</v>
      </c>
      <c r="H2533" s="1">
        <v>44676</v>
      </c>
      <c r="I2533" t="s">
        <v>189</v>
      </c>
      <c r="K2533" t="s">
        <v>6980</v>
      </c>
      <c r="L2533" t="s">
        <v>6981</v>
      </c>
    </row>
    <row r="2534" spans="1:40" x14ac:dyDescent="0.35">
      <c r="A2534">
        <v>6676599</v>
      </c>
      <c r="B2534" t="s">
        <v>6982</v>
      </c>
      <c r="C2534" t="str">
        <f>"9783030798758"</f>
        <v>9783030798758</v>
      </c>
      <c r="D2534" t="str">
        <f>"9783030798765"</f>
        <v>9783030798765</v>
      </c>
      <c r="E2534" t="s">
        <v>2289</v>
      </c>
      <c r="F2534" t="s">
        <v>2290</v>
      </c>
      <c r="G2534" s="1">
        <v>44385</v>
      </c>
      <c r="H2534" s="1">
        <v>44676</v>
      </c>
      <c r="I2534" t="s">
        <v>189</v>
      </c>
      <c r="K2534" t="s">
        <v>4008</v>
      </c>
      <c r="L2534" t="s">
        <v>6983</v>
      </c>
    </row>
    <row r="2535" spans="1:40" x14ac:dyDescent="0.35">
      <c r="A2535">
        <v>6676600</v>
      </c>
      <c r="B2535" t="s">
        <v>6984</v>
      </c>
      <c r="C2535" t="str">
        <f>"9783030798505"</f>
        <v>9783030798505</v>
      </c>
      <c r="D2535" t="str">
        <f>"9783030798512"</f>
        <v>9783030798512</v>
      </c>
      <c r="E2535" t="s">
        <v>2289</v>
      </c>
      <c r="F2535" t="s">
        <v>2290</v>
      </c>
      <c r="G2535" s="1">
        <v>44380</v>
      </c>
      <c r="H2535" s="1">
        <v>44676</v>
      </c>
      <c r="I2535" t="s">
        <v>189</v>
      </c>
      <c r="K2535" t="s">
        <v>4008</v>
      </c>
      <c r="L2535" t="s">
        <v>6985</v>
      </c>
    </row>
    <row r="2536" spans="1:40" x14ac:dyDescent="0.35">
      <c r="A2536">
        <v>6676601</v>
      </c>
      <c r="B2536" t="s">
        <v>6986</v>
      </c>
      <c r="C2536" t="str">
        <f>"9783658337544"</f>
        <v>9783658337544</v>
      </c>
      <c r="D2536" t="str">
        <f>"9783658337551"</f>
        <v>9783658337551</v>
      </c>
      <c r="E2536" t="s">
        <v>3972</v>
      </c>
      <c r="F2536" t="s">
        <v>3998</v>
      </c>
      <c r="G2536" s="1">
        <v>44372</v>
      </c>
      <c r="H2536" s="1">
        <v>44676</v>
      </c>
      <c r="I2536" t="s">
        <v>189</v>
      </c>
      <c r="K2536" t="s">
        <v>4874</v>
      </c>
      <c r="L2536" t="s">
        <v>6987</v>
      </c>
    </row>
    <row r="2537" spans="1:40" x14ac:dyDescent="0.35">
      <c r="A2537">
        <v>6676602</v>
      </c>
      <c r="B2537" t="s">
        <v>6988</v>
      </c>
      <c r="C2537" t="str">
        <f>"9783658343651"</f>
        <v>9783658343651</v>
      </c>
      <c r="D2537" t="str">
        <f>"9783658343668"</f>
        <v>9783658343668</v>
      </c>
      <c r="E2537" t="s">
        <v>3972</v>
      </c>
      <c r="F2537" t="s">
        <v>3998</v>
      </c>
      <c r="G2537" s="1">
        <v>44371</v>
      </c>
      <c r="H2537" s="1">
        <v>44676</v>
      </c>
      <c r="I2537" t="s">
        <v>189</v>
      </c>
      <c r="K2537" t="s">
        <v>4874</v>
      </c>
      <c r="L2537" t="s">
        <v>6989</v>
      </c>
      <c r="M2537" t="s">
        <v>210</v>
      </c>
      <c r="N2537" t="s">
        <v>6990</v>
      </c>
      <c r="Q2537" t="s">
        <v>408</v>
      </c>
      <c r="R2537" t="s">
        <v>261</v>
      </c>
      <c r="S2537" t="s">
        <v>261</v>
      </c>
      <c r="T2537" t="s">
        <v>261</v>
      </c>
      <c r="U2537" t="s">
        <v>262</v>
      </c>
      <c r="V2537" t="s">
        <v>262</v>
      </c>
      <c r="W2537" t="s">
        <v>261</v>
      </c>
      <c r="X2537" t="s">
        <v>262</v>
      </c>
      <c r="Y2537" t="s">
        <v>261</v>
      </c>
      <c r="Z2537" t="s">
        <v>409</v>
      </c>
      <c r="AA2537" t="s">
        <v>409</v>
      </c>
      <c r="AB2537" t="s">
        <v>409</v>
      </c>
      <c r="AC2537" t="s">
        <v>409</v>
      </c>
      <c r="AD2537" t="s">
        <v>261</v>
      </c>
      <c r="AH2537" t="s">
        <v>262</v>
      </c>
      <c r="AI2537" t="s">
        <v>262</v>
      </c>
      <c r="AJ2537" t="s">
        <v>261</v>
      </c>
      <c r="AK2537" t="s">
        <v>261</v>
      </c>
      <c r="AM2537" t="s">
        <v>262</v>
      </c>
      <c r="AN2537" t="s">
        <v>6991</v>
      </c>
    </row>
    <row r="2538" spans="1:40" x14ac:dyDescent="0.35">
      <c r="A2538">
        <v>6676603</v>
      </c>
      <c r="B2538" t="s">
        <v>6992</v>
      </c>
      <c r="C2538" t="str">
        <f>"9783662631065"</f>
        <v>9783662631065</v>
      </c>
      <c r="D2538" t="str">
        <f>"9783662631072"</f>
        <v>9783662631072</v>
      </c>
      <c r="E2538" t="s">
        <v>4047</v>
      </c>
      <c r="F2538" t="s">
        <v>2290</v>
      </c>
      <c r="G2538" s="1">
        <v>44375</v>
      </c>
      <c r="H2538" s="1">
        <v>44676</v>
      </c>
      <c r="I2538" t="s">
        <v>189</v>
      </c>
      <c r="L2538" t="s">
        <v>4080</v>
      </c>
    </row>
    <row r="2539" spans="1:40" x14ac:dyDescent="0.35">
      <c r="A2539">
        <v>6676980</v>
      </c>
      <c r="B2539" t="s">
        <v>6993</v>
      </c>
      <c r="C2539" t="str">
        <f>"9781800642317"</f>
        <v>9781800642317</v>
      </c>
      <c r="D2539" t="str">
        <f>"9781800642324"</f>
        <v>9781800642324</v>
      </c>
      <c r="E2539" t="s">
        <v>1807</v>
      </c>
      <c r="F2539" t="s">
        <v>1807</v>
      </c>
      <c r="G2539" s="1">
        <v>44377</v>
      </c>
      <c r="H2539" s="1">
        <v>44652</v>
      </c>
      <c r="I2539" t="s">
        <v>189</v>
      </c>
      <c r="J2539">
        <v>1</v>
      </c>
      <c r="L2539" t="s">
        <v>6994</v>
      </c>
      <c r="M2539" t="s">
        <v>199</v>
      </c>
    </row>
    <row r="2540" spans="1:40" x14ac:dyDescent="0.35">
      <c r="A2540">
        <v>6676981</v>
      </c>
      <c r="B2540" t="s">
        <v>6995</v>
      </c>
      <c r="C2540" t="str">
        <f>"9781800642072"</f>
        <v>9781800642072</v>
      </c>
      <c r="D2540" t="str">
        <f>"9781800642089"</f>
        <v>9781800642089</v>
      </c>
      <c r="E2540" t="s">
        <v>1807</v>
      </c>
      <c r="F2540" t="s">
        <v>1807</v>
      </c>
      <c r="G2540" s="1">
        <v>44392</v>
      </c>
      <c r="H2540" s="1">
        <v>44421</v>
      </c>
      <c r="I2540" t="s">
        <v>189</v>
      </c>
      <c r="J2540">
        <v>1</v>
      </c>
      <c r="L2540" t="s">
        <v>6996</v>
      </c>
      <c r="M2540" t="s">
        <v>3610</v>
      </c>
    </row>
    <row r="2541" spans="1:40" x14ac:dyDescent="0.35">
      <c r="A2541">
        <v>6678416</v>
      </c>
      <c r="B2541" t="s">
        <v>6997</v>
      </c>
      <c r="C2541" t="str">
        <f>"9783030780708"</f>
        <v>9783030780708</v>
      </c>
      <c r="D2541" t="str">
        <f>"9783030780715"</f>
        <v>9783030780715</v>
      </c>
      <c r="E2541" t="s">
        <v>2289</v>
      </c>
      <c r="F2541" t="s">
        <v>2290</v>
      </c>
      <c r="G2541" s="1">
        <v>44392</v>
      </c>
      <c r="H2541" s="1">
        <v>44694</v>
      </c>
      <c r="I2541" t="s">
        <v>189</v>
      </c>
      <c r="K2541" t="s">
        <v>6998</v>
      </c>
      <c r="L2541" t="s">
        <v>6999</v>
      </c>
    </row>
    <row r="2542" spans="1:40" x14ac:dyDescent="0.35">
      <c r="A2542">
        <v>6679204</v>
      </c>
      <c r="B2542" t="s">
        <v>7000</v>
      </c>
      <c r="C2542" t="str">
        <f>"9783658344351"</f>
        <v>9783658344351</v>
      </c>
      <c r="D2542" t="str">
        <f>"9783658344368"</f>
        <v>9783658344368</v>
      </c>
      <c r="E2542" t="s">
        <v>3972</v>
      </c>
      <c r="F2542" t="s">
        <v>3972</v>
      </c>
      <c r="G2542" s="1">
        <v>44393</v>
      </c>
      <c r="H2542" s="1">
        <v>44676</v>
      </c>
      <c r="I2542" t="s">
        <v>189</v>
      </c>
      <c r="K2542" t="s">
        <v>7001</v>
      </c>
      <c r="L2542" t="s">
        <v>7002</v>
      </c>
      <c r="M2542" t="s">
        <v>249</v>
      </c>
      <c r="N2542" t="s">
        <v>7003</v>
      </c>
      <c r="Q2542" t="s">
        <v>408</v>
      </c>
      <c r="R2542" t="s">
        <v>261</v>
      </c>
      <c r="S2542" t="s">
        <v>261</v>
      </c>
      <c r="T2542" t="s">
        <v>261</v>
      </c>
      <c r="U2542" t="s">
        <v>262</v>
      </c>
      <c r="V2542" t="s">
        <v>262</v>
      </c>
      <c r="W2542" t="s">
        <v>261</v>
      </c>
      <c r="X2542" t="s">
        <v>262</v>
      </c>
      <c r="Y2542" t="s">
        <v>261</v>
      </c>
      <c r="Z2542" t="s">
        <v>409</v>
      </c>
      <c r="AA2542" t="s">
        <v>409</v>
      </c>
      <c r="AB2542" t="s">
        <v>409</v>
      </c>
      <c r="AC2542" t="s">
        <v>409</v>
      </c>
      <c r="AD2542" t="s">
        <v>261</v>
      </c>
      <c r="AH2542" t="s">
        <v>262</v>
      </c>
      <c r="AI2542" t="s">
        <v>262</v>
      </c>
      <c r="AJ2542" t="s">
        <v>261</v>
      </c>
      <c r="AK2542" t="s">
        <v>261</v>
      </c>
      <c r="AM2542" t="s">
        <v>262</v>
      </c>
      <c r="AN2542" t="s">
        <v>7004</v>
      </c>
    </row>
    <row r="2543" spans="1:40" x14ac:dyDescent="0.35">
      <c r="A2543">
        <v>6679205</v>
      </c>
      <c r="B2543" t="s">
        <v>7005</v>
      </c>
      <c r="C2543" t="str">
        <f>"9783030758288"</f>
        <v>9783030758288</v>
      </c>
      <c r="D2543" t="str">
        <f>"9783030758295"</f>
        <v>9783030758295</v>
      </c>
      <c r="E2543" t="s">
        <v>2289</v>
      </c>
      <c r="F2543" t="s">
        <v>2290</v>
      </c>
      <c r="G2543" s="1">
        <v>44393</v>
      </c>
      <c r="H2543" s="1">
        <v>44676</v>
      </c>
      <c r="I2543" t="s">
        <v>189</v>
      </c>
      <c r="K2543" t="s">
        <v>5228</v>
      </c>
      <c r="L2543" t="s">
        <v>7006</v>
      </c>
    </row>
    <row r="2544" spans="1:40" x14ac:dyDescent="0.35">
      <c r="A2544">
        <v>6679367</v>
      </c>
      <c r="B2544" t="s">
        <v>7007</v>
      </c>
      <c r="C2544" t="str">
        <f>"9783030816841"</f>
        <v>9783030816841</v>
      </c>
      <c r="D2544" t="str">
        <f>"9783030816858"</f>
        <v>9783030816858</v>
      </c>
      <c r="E2544" t="s">
        <v>2289</v>
      </c>
      <c r="F2544" t="s">
        <v>2290</v>
      </c>
      <c r="G2544" s="1">
        <v>44395</v>
      </c>
      <c r="H2544" s="1">
        <v>44676</v>
      </c>
      <c r="I2544" t="s">
        <v>189</v>
      </c>
      <c r="K2544" t="s">
        <v>4008</v>
      </c>
      <c r="L2544" t="s">
        <v>7008</v>
      </c>
    </row>
    <row r="2545" spans="1:40" x14ac:dyDescent="0.35">
      <c r="A2545">
        <v>6679368</v>
      </c>
      <c r="B2545" t="s">
        <v>7009</v>
      </c>
      <c r="C2545" t="str">
        <f>"9783030816872"</f>
        <v>9783030816872</v>
      </c>
      <c r="D2545" t="str">
        <f>"9783030816889"</f>
        <v>9783030816889</v>
      </c>
      <c r="E2545" t="s">
        <v>2289</v>
      </c>
      <c r="F2545" t="s">
        <v>2290</v>
      </c>
      <c r="G2545" s="1">
        <v>44394</v>
      </c>
      <c r="H2545" s="1">
        <v>44676</v>
      </c>
      <c r="I2545" t="s">
        <v>189</v>
      </c>
      <c r="K2545" t="s">
        <v>4008</v>
      </c>
      <c r="L2545" t="s">
        <v>7008</v>
      </c>
    </row>
    <row r="2546" spans="1:40" x14ac:dyDescent="0.35">
      <c r="A2546">
        <v>6679369</v>
      </c>
      <c r="B2546" t="s">
        <v>7010</v>
      </c>
      <c r="C2546" t="str">
        <f>"9783030749095"</f>
        <v>9783030749095</v>
      </c>
      <c r="D2546" t="str">
        <f>"9783030749101"</f>
        <v>9783030749101</v>
      </c>
      <c r="E2546" t="s">
        <v>2289</v>
      </c>
      <c r="F2546" t="s">
        <v>2663</v>
      </c>
      <c r="G2546" s="1">
        <v>44394</v>
      </c>
      <c r="H2546" s="1">
        <v>44676</v>
      </c>
      <c r="I2546" t="s">
        <v>189</v>
      </c>
      <c r="K2546" t="s">
        <v>7011</v>
      </c>
      <c r="L2546" t="s">
        <v>7012</v>
      </c>
      <c r="M2546" t="s">
        <v>329</v>
      </c>
      <c r="N2546" t="s">
        <v>7013</v>
      </c>
      <c r="Q2546" t="s">
        <v>260</v>
      </c>
      <c r="R2546" t="s">
        <v>261</v>
      </c>
      <c r="S2546" t="s">
        <v>261</v>
      </c>
      <c r="T2546" t="s">
        <v>261</v>
      </c>
      <c r="U2546" t="s">
        <v>262</v>
      </c>
      <c r="V2546" t="s">
        <v>262</v>
      </c>
      <c r="W2546" t="s">
        <v>261</v>
      </c>
      <c r="X2546" t="s">
        <v>262</v>
      </c>
      <c r="Y2546" t="s">
        <v>261</v>
      </c>
      <c r="Z2546" t="s">
        <v>409</v>
      </c>
      <c r="AA2546" t="s">
        <v>409</v>
      </c>
      <c r="AB2546" t="s">
        <v>409</v>
      </c>
      <c r="AC2546" t="s">
        <v>409</v>
      </c>
      <c r="AD2546" t="s">
        <v>261</v>
      </c>
      <c r="AH2546" t="s">
        <v>262</v>
      </c>
      <c r="AI2546" t="s">
        <v>262</v>
      </c>
      <c r="AJ2546" t="s">
        <v>261</v>
      </c>
      <c r="AK2546" t="s">
        <v>261</v>
      </c>
      <c r="AM2546" t="s">
        <v>262</v>
      </c>
      <c r="AN2546" t="s">
        <v>7014</v>
      </c>
    </row>
    <row r="2547" spans="1:40" x14ac:dyDescent="0.35">
      <c r="A2547">
        <v>6679449</v>
      </c>
      <c r="B2547" t="s">
        <v>7015</v>
      </c>
      <c r="C2547" t="str">
        <f>"9783030707989"</f>
        <v>9783030707989</v>
      </c>
      <c r="D2547" t="str">
        <f>"9783030707996"</f>
        <v>9783030707996</v>
      </c>
      <c r="E2547" t="s">
        <v>2289</v>
      </c>
      <c r="F2547" t="s">
        <v>2290</v>
      </c>
      <c r="G2547" s="1">
        <v>44395</v>
      </c>
      <c r="H2547" s="1">
        <v>44676</v>
      </c>
      <c r="I2547" t="s">
        <v>189</v>
      </c>
      <c r="K2547" t="s">
        <v>7016</v>
      </c>
      <c r="L2547" t="s">
        <v>7017</v>
      </c>
    </row>
    <row r="2548" spans="1:40" x14ac:dyDescent="0.35">
      <c r="A2548">
        <v>6680535</v>
      </c>
      <c r="B2548" t="s">
        <v>7018</v>
      </c>
      <c r="C2548" t="str">
        <f>"9783658328627"</f>
        <v>9783658328627</v>
      </c>
      <c r="D2548" t="str">
        <f>"9783658328634"</f>
        <v>9783658328634</v>
      </c>
      <c r="E2548" t="s">
        <v>3972</v>
      </c>
      <c r="F2548" t="s">
        <v>3998</v>
      </c>
      <c r="G2548" s="1">
        <v>44397</v>
      </c>
      <c r="H2548" s="1">
        <v>44676</v>
      </c>
      <c r="I2548" t="s">
        <v>189</v>
      </c>
      <c r="L2548" t="s">
        <v>7019</v>
      </c>
    </row>
    <row r="2549" spans="1:40" x14ac:dyDescent="0.35">
      <c r="A2549">
        <v>6680536</v>
      </c>
      <c r="B2549" t="s">
        <v>7020</v>
      </c>
      <c r="C2549" t="str">
        <f>"9783030789343"</f>
        <v>9783030789343</v>
      </c>
      <c r="D2549" t="str">
        <f>"9783030789350"</f>
        <v>9783030789350</v>
      </c>
      <c r="E2549" t="s">
        <v>2289</v>
      </c>
      <c r="F2549" t="s">
        <v>2663</v>
      </c>
      <c r="G2549" s="1">
        <v>44397</v>
      </c>
      <c r="H2549" s="1">
        <v>44676</v>
      </c>
      <c r="I2549" t="s">
        <v>189</v>
      </c>
      <c r="L2549" t="s">
        <v>7021</v>
      </c>
    </row>
    <row r="2550" spans="1:40" x14ac:dyDescent="0.35">
      <c r="A2550">
        <v>6680537</v>
      </c>
      <c r="B2550" t="s">
        <v>7022</v>
      </c>
      <c r="C2550" t="str">
        <f>"9783030781569"</f>
        <v>9783030781569</v>
      </c>
      <c r="D2550" t="str">
        <f>"9783030781576"</f>
        <v>9783030781576</v>
      </c>
      <c r="E2550" t="s">
        <v>2289</v>
      </c>
      <c r="F2550" t="s">
        <v>2663</v>
      </c>
      <c r="G2550" s="1">
        <v>44397</v>
      </c>
      <c r="H2550" s="1">
        <v>44694</v>
      </c>
      <c r="I2550" t="s">
        <v>189</v>
      </c>
      <c r="L2550" t="s">
        <v>7023</v>
      </c>
    </row>
    <row r="2551" spans="1:40" x14ac:dyDescent="0.35">
      <c r="A2551">
        <v>6681091</v>
      </c>
      <c r="B2551" t="s">
        <v>7024</v>
      </c>
      <c r="C2551" t="str">
        <f>"9783030824266"</f>
        <v>9783030824266</v>
      </c>
      <c r="D2551" t="str">
        <f>"9783030824273"</f>
        <v>9783030824273</v>
      </c>
      <c r="E2551" t="s">
        <v>2289</v>
      </c>
      <c r="F2551" t="s">
        <v>2290</v>
      </c>
      <c r="G2551" s="1">
        <v>44398</v>
      </c>
      <c r="H2551" s="1">
        <v>44676</v>
      </c>
      <c r="I2551" t="s">
        <v>189</v>
      </c>
      <c r="K2551" t="s">
        <v>4008</v>
      </c>
      <c r="L2551" t="s">
        <v>7025</v>
      </c>
    </row>
    <row r="2552" spans="1:40" x14ac:dyDescent="0.35">
      <c r="A2552">
        <v>6681092</v>
      </c>
      <c r="B2552" t="s">
        <v>7026</v>
      </c>
      <c r="C2552" t="str">
        <f>"9783658342241"</f>
        <v>9783658342241</v>
      </c>
      <c r="D2552" t="str">
        <f>"9783658342258"</f>
        <v>9783658342258</v>
      </c>
      <c r="E2552" t="s">
        <v>3972</v>
      </c>
      <c r="F2552" t="s">
        <v>4048</v>
      </c>
      <c r="G2552" s="1">
        <v>44398</v>
      </c>
      <c r="H2552" s="1">
        <v>44676</v>
      </c>
      <c r="I2552" t="s">
        <v>189</v>
      </c>
      <c r="K2552" t="s">
        <v>4874</v>
      </c>
      <c r="L2552" t="s">
        <v>7027</v>
      </c>
    </row>
    <row r="2553" spans="1:40" x14ac:dyDescent="0.35">
      <c r="A2553">
        <v>6681093</v>
      </c>
      <c r="B2553" t="s">
        <v>7028</v>
      </c>
      <c r="C2553" t="str">
        <f>"9783030725945"</f>
        <v>9783030725945</v>
      </c>
      <c r="D2553" t="str">
        <f>"9783030725952"</f>
        <v>9783030725952</v>
      </c>
      <c r="E2553" t="s">
        <v>2289</v>
      </c>
      <c r="F2553" t="s">
        <v>2290</v>
      </c>
      <c r="G2553" s="1">
        <v>44398</v>
      </c>
      <c r="H2553" s="1">
        <v>44676</v>
      </c>
      <c r="I2553" t="s">
        <v>189</v>
      </c>
      <c r="K2553" t="s">
        <v>7029</v>
      </c>
      <c r="L2553" t="s">
        <v>7030</v>
      </c>
    </row>
    <row r="2554" spans="1:40" x14ac:dyDescent="0.35">
      <c r="A2554">
        <v>6683072</v>
      </c>
      <c r="B2554" t="s">
        <v>7031</v>
      </c>
      <c r="C2554" t="str">
        <f>""</f>
        <v/>
      </c>
      <c r="D2554" t="str">
        <f>"9789179296056"</f>
        <v>9789179296056</v>
      </c>
      <c r="E2554" t="s">
        <v>3642</v>
      </c>
      <c r="F2554" t="s">
        <v>3642</v>
      </c>
      <c r="G2554" s="1">
        <v>44397</v>
      </c>
      <c r="H2554" s="1">
        <v>44431</v>
      </c>
      <c r="I2554" t="s">
        <v>189</v>
      </c>
      <c r="J2554">
        <v>1</v>
      </c>
      <c r="L2554" t="s">
        <v>7032</v>
      </c>
      <c r="Q2554" t="s">
        <v>260</v>
      </c>
      <c r="R2554" t="s">
        <v>261</v>
      </c>
      <c r="S2554" t="s">
        <v>261</v>
      </c>
      <c r="T2554" t="s">
        <v>261</v>
      </c>
      <c r="U2554" t="s">
        <v>261</v>
      </c>
      <c r="V2554" t="s">
        <v>262</v>
      </c>
      <c r="W2554" t="s">
        <v>261</v>
      </c>
      <c r="X2554" t="s">
        <v>261</v>
      </c>
      <c r="Y2554" t="s">
        <v>261</v>
      </c>
      <c r="AD2554" t="s">
        <v>261</v>
      </c>
      <c r="AH2554" t="s">
        <v>262</v>
      </c>
      <c r="AI2554" t="s">
        <v>261</v>
      </c>
      <c r="AJ2554" t="s">
        <v>261</v>
      </c>
      <c r="AK2554" t="s">
        <v>261</v>
      </c>
      <c r="AM2554" t="s">
        <v>262</v>
      </c>
      <c r="AN2554" t="s">
        <v>7033</v>
      </c>
    </row>
    <row r="2555" spans="1:40" x14ac:dyDescent="0.35">
      <c r="A2555">
        <v>6683074</v>
      </c>
      <c r="B2555" t="s">
        <v>7034</v>
      </c>
      <c r="C2555" t="str">
        <f>""</f>
        <v/>
      </c>
      <c r="D2555" t="str">
        <f>"9789179296209"</f>
        <v>9789179296209</v>
      </c>
      <c r="E2555" t="s">
        <v>3642</v>
      </c>
      <c r="F2555" t="s">
        <v>3642</v>
      </c>
      <c r="G2555" s="1">
        <v>44370</v>
      </c>
      <c r="H2555" s="1">
        <v>44403</v>
      </c>
      <c r="I2555" t="s">
        <v>189</v>
      </c>
      <c r="J2555">
        <v>1</v>
      </c>
      <c r="L2555" t="s">
        <v>7035</v>
      </c>
      <c r="Q2555" t="s">
        <v>260</v>
      </c>
      <c r="R2555" t="s">
        <v>261</v>
      </c>
      <c r="S2555" t="s">
        <v>261</v>
      </c>
      <c r="T2555" t="s">
        <v>261</v>
      </c>
      <c r="U2555" t="s">
        <v>261</v>
      </c>
      <c r="V2555" t="s">
        <v>262</v>
      </c>
      <c r="W2555" t="s">
        <v>261</v>
      </c>
      <c r="X2555" t="s">
        <v>261</v>
      </c>
      <c r="Y2555" t="s">
        <v>261</v>
      </c>
      <c r="AD2555" t="s">
        <v>261</v>
      </c>
      <c r="AH2555" t="s">
        <v>262</v>
      </c>
      <c r="AI2555" t="s">
        <v>261</v>
      </c>
      <c r="AJ2555" t="s">
        <v>261</v>
      </c>
      <c r="AK2555" t="s">
        <v>261</v>
      </c>
      <c r="AM2555" t="s">
        <v>262</v>
      </c>
      <c r="AN2555" t="s">
        <v>7036</v>
      </c>
    </row>
    <row r="2556" spans="1:40" x14ac:dyDescent="0.35">
      <c r="A2556">
        <v>6683075</v>
      </c>
      <c r="B2556" t="s">
        <v>7037</v>
      </c>
      <c r="C2556" t="str">
        <f>""</f>
        <v/>
      </c>
      <c r="D2556" t="str">
        <f>"9789179296070"</f>
        <v>9789179296070</v>
      </c>
      <c r="E2556" t="s">
        <v>3642</v>
      </c>
      <c r="F2556" t="s">
        <v>3642</v>
      </c>
      <c r="G2556" s="1">
        <v>44399</v>
      </c>
      <c r="H2556" s="1">
        <v>44445</v>
      </c>
      <c r="I2556" t="s">
        <v>189</v>
      </c>
      <c r="J2556">
        <v>1</v>
      </c>
      <c r="L2556" t="s">
        <v>7038</v>
      </c>
      <c r="Q2556" t="s">
        <v>260</v>
      </c>
      <c r="R2556" t="s">
        <v>261</v>
      </c>
      <c r="S2556" t="s">
        <v>261</v>
      </c>
      <c r="T2556" t="s">
        <v>261</v>
      </c>
      <c r="U2556" t="s">
        <v>261</v>
      </c>
      <c r="V2556" t="s">
        <v>262</v>
      </c>
      <c r="W2556" t="s">
        <v>261</v>
      </c>
      <c r="X2556" t="s">
        <v>261</v>
      </c>
      <c r="Y2556" t="s">
        <v>261</v>
      </c>
      <c r="AD2556" t="s">
        <v>261</v>
      </c>
      <c r="AH2556" t="s">
        <v>262</v>
      </c>
      <c r="AI2556" t="s">
        <v>261</v>
      </c>
      <c r="AJ2556" t="s">
        <v>261</v>
      </c>
      <c r="AK2556" t="s">
        <v>261</v>
      </c>
      <c r="AM2556" t="s">
        <v>262</v>
      </c>
      <c r="AN2556" t="s">
        <v>7039</v>
      </c>
    </row>
    <row r="2557" spans="1:40" x14ac:dyDescent="0.35">
      <c r="A2557">
        <v>6683076</v>
      </c>
      <c r="B2557" t="s">
        <v>7040</v>
      </c>
      <c r="C2557" t="str">
        <f>""</f>
        <v/>
      </c>
      <c r="D2557" t="str">
        <f>"9789179296346"</f>
        <v>9789179296346</v>
      </c>
      <c r="E2557" t="s">
        <v>3642</v>
      </c>
      <c r="F2557" t="s">
        <v>3642</v>
      </c>
      <c r="G2557" s="1">
        <v>44398</v>
      </c>
      <c r="H2557" s="1">
        <v>44403</v>
      </c>
      <c r="I2557" t="s">
        <v>189</v>
      </c>
      <c r="J2557">
        <v>1</v>
      </c>
      <c r="L2557" t="s">
        <v>7041</v>
      </c>
      <c r="Q2557" t="s">
        <v>260</v>
      </c>
      <c r="R2557" t="s">
        <v>261</v>
      </c>
      <c r="S2557" t="s">
        <v>261</v>
      </c>
      <c r="T2557" t="s">
        <v>261</v>
      </c>
      <c r="U2557" t="s">
        <v>261</v>
      </c>
      <c r="V2557" t="s">
        <v>262</v>
      </c>
      <c r="W2557" t="s">
        <v>261</v>
      </c>
      <c r="X2557" t="s">
        <v>261</v>
      </c>
      <c r="Y2557" t="s">
        <v>261</v>
      </c>
      <c r="AD2557" t="s">
        <v>261</v>
      </c>
      <c r="AH2557" t="s">
        <v>262</v>
      </c>
      <c r="AI2557" t="s">
        <v>261</v>
      </c>
      <c r="AJ2557" t="s">
        <v>261</v>
      </c>
      <c r="AK2557" t="s">
        <v>261</v>
      </c>
      <c r="AM2557" t="s">
        <v>262</v>
      </c>
      <c r="AN2557" t="s">
        <v>7042</v>
      </c>
    </row>
    <row r="2558" spans="1:40" x14ac:dyDescent="0.35">
      <c r="A2558">
        <v>6683077</v>
      </c>
      <c r="B2558" t="s">
        <v>7043</v>
      </c>
      <c r="C2558" t="str">
        <f>""</f>
        <v/>
      </c>
      <c r="D2558" t="str">
        <f>"9789179296384"</f>
        <v>9789179296384</v>
      </c>
      <c r="E2558" t="s">
        <v>3642</v>
      </c>
      <c r="F2558" t="s">
        <v>3642</v>
      </c>
      <c r="G2558" s="1">
        <v>44398</v>
      </c>
      <c r="H2558" s="1">
        <v>44403</v>
      </c>
      <c r="I2558" t="s">
        <v>189</v>
      </c>
      <c r="J2558">
        <v>1</v>
      </c>
      <c r="L2558" t="s">
        <v>7044</v>
      </c>
      <c r="Q2558" t="s">
        <v>260</v>
      </c>
      <c r="R2558" t="s">
        <v>261</v>
      </c>
      <c r="S2558" t="s">
        <v>261</v>
      </c>
      <c r="T2558" t="s">
        <v>261</v>
      </c>
      <c r="U2558" t="s">
        <v>261</v>
      </c>
      <c r="V2558" t="s">
        <v>262</v>
      </c>
      <c r="W2558" t="s">
        <v>261</v>
      </c>
      <c r="X2558" t="s">
        <v>261</v>
      </c>
      <c r="Y2558" t="s">
        <v>261</v>
      </c>
      <c r="AD2558" t="s">
        <v>261</v>
      </c>
      <c r="AH2558" t="s">
        <v>262</v>
      </c>
      <c r="AI2558" t="s">
        <v>261</v>
      </c>
      <c r="AJ2558" t="s">
        <v>261</v>
      </c>
      <c r="AK2558" t="s">
        <v>261</v>
      </c>
      <c r="AM2558" t="s">
        <v>262</v>
      </c>
      <c r="AN2558" t="s">
        <v>7045</v>
      </c>
    </row>
    <row r="2559" spans="1:40" x14ac:dyDescent="0.35">
      <c r="A2559">
        <v>6683078</v>
      </c>
      <c r="B2559" t="s">
        <v>7046</v>
      </c>
      <c r="C2559" t="str">
        <f>""</f>
        <v/>
      </c>
      <c r="D2559" t="str">
        <f>"9789179296230"</f>
        <v>9789179296230</v>
      </c>
      <c r="E2559" t="s">
        <v>3642</v>
      </c>
      <c r="F2559" t="s">
        <v>3642</v>
      </c>
      <c r="G2559" s="1">
        <v>44349</v>
      </c>
      <c r="H2559" s="1">
        <v>44403</v>
      </c>
      <c r="I2559" t="s">
        <v>189</v>
      </c>
      <c r="J2559">
        <v>1</v>
      </c>
      <c r="L2559" t="s">
        <v>7047</v>
      </c>
      <c r="Q2559" t="s">
        <v>260</v>
      </c>
      <c r="R2559" t="s">
        <v>261</v>
      </c>
      <c r="S2559" t="s">
        <v>261</v>
      </c>
      <c r="T2559" t="s">
        <v>261</v>
      </c>
      <c r="U2559" t="s">
        <v>261</v>
      </c>
      <c r="V2559" t="s">
        <v>262</v>
      </c>
      <c r="W2559" t="s">
        <v>261</v>
      </c>
      <c r="X2559" t="s">
        <v>261</v>
      </c>
      <c r="Y2559" t="s">
        <v>261</v>
      </c>
      <c r="AD2559" t="s">
        <v>261</v>
      </c>
      <c r="AH2559" t="s">
        <v>262</v>
      </c>
      <c r="AI2559" t="s">
        <v>261</v>
      </c>
      <c r="AJ2559" t="s">
        <v>261</v>
      </c>
      <c r="AK2559" t="s">
        <v>261</v>
      </c>
      <c r="AM2559" t="s">
        <v>262</v>
      </c>
      <c r="AN2559" t="s">
        <v>7048</v>
      </c>
    </row>
    <row r="2560" spans="1:40" x14ac:dyDescent="0.35">
      <c r="A2560">
        <v>6683644</v>
      </c>
      <c r="B2560" t="s">
        <v>7049</v>
      </c>
      <c r="C2560" t="str">
        <f>"9789462989511"</f>
        <v>9789462989511</v>
      </c>
      <c r="D2560" t="str">
        <f>"9789048542079"</f>
        <v>9789048542079</v>
      </c>
      <c r="E2560" t="s">
        <v>361</v>
      </c>
      <c r="F2560" t="s">
        <v>361</v>
      </c>
      <c r="G2560" s="1">
        <v>44278</v>
      </c>
      <c r="H2560" s="1">
        <v>44462</v>
      </c>
      <c r="I2560" t="s">
        <v>189</v>
      </c>
      <c r="J2560">
        <v>1</v>
      </c>
      <c r="K2560" t="s">
        <v>7050</v>
      </c>
      <c r="L2560" t="s">
        <v>7051</v>
      </c>
    </row>
    <row r="2561" spans="1:40" x14ac:dyDescent="0.35">
      <c r="A2561">
        <v>6684530</v>
      </c>
      <c r="B2561" t="s">
        <v>7052</v>
      </c>
      <c r="C2561" t="str">
        <f>"9789811626692"</f>
        <v>9789811626692</v>
      </c>
      <c r="D2561" t="str">
        <f>"9789811626708"</f>
        <v>9789811626708</v>
      </c>
      <c r="E2561" t="s">
        <v>3404</v>
      </c>
      <c r="F2561" t="s">
        <v>2290</v>
      </c>
      <c r="G2561" s="1">
        <v>44404</v>
      </c>
      <c r="H2561" s="1">
        <v>44676</v>
      </c>
      <c r="I2561" t="s">
        <v>189</v>
      </c>
      <c r="L2561" t="s">
        <v>7053</v>
      </c>
    </row>
    <row r="2562" spans="1:40" x14ac:dyDescent="0.35">
      <c r="A2562">
        <v>6686713</v>
      </c>
      <c r="B2562" t="s">
        <v>7054</v>
      </c>
      <c r="C2562" t="str">
        <f>"9789027209276"</f>
        <v>9789027209276</v>
      </c>
      <c r="D2562" t="str">
        <f>"9789027259585"</f>
        <v>9789027259585</v>
      </c>
      <c r="E2562" t="s">
        <v>1372</v>
      </c>
      <c r="F2562" t="s">
        <v>1372</v>
      </c>
      <c r="G2562" s="1">
        <v>44456</v>
      </c>
      <c r="H2562" s="1">
        <v>44428</v>
      </c>
      <c r="I2562" t="s">
        <v>189</v>
      </c>
      <c r="J2562">
        <v>1</v>
      </c>
      <c r="K2562" t="s">
        <v>2892</v>
      </c>
      <c r="L2562" t="s">
        <v>7055</v>
      </c>
    </row>
    <row r="2563" spans="1:40" x14ac:dyDescent="0.35">
      <c r="A2563">
        <v>6687084</v>
      </c>
      <c r="B2563" t="s">
        <v>7056</v>
      </c>
      <c r="C2563" t="str">
        <f>"9783030591397"</f>
        <v>9783030591397</v>
      </c>
      <c r="D2563" t="str">
        <f>"9783030591403"</f>
        <v>9783030591403</v>
      </c>
      <c r="E2563" t="s">
        <v>2289</v>
      </c>
      <c r="F2563" t="s">
        <v>2290</v>
      </c>
      <c r="G2563" s="1">
        <v>44409</v>
      </c>
      <c r="H2563" s="1">
        <v>44694</v>
      </c>
      <c r="I2563" t="s">
        <v>189</v>
      </c>
      <c r="L2563" t="s">
        <v>7057</v>
      </c>
    </row>
    <row r="2564" spans="1:40" x14ac:dyDescent="0.35">
      <c r="A2564">
        <v>6688370</v>
      </c>
      <c r="B2564" t="s">
        <v>7058</v>
      </c>
      <c r="C2564" t="str">
        <f>"9781478010647"</f>
        <v>9781478010647</v>
      </c>
      <c r="D2564" t="str">
        <f>"9781478013112"</f>
        <v>9781478013112</v>
      </c>
      <c r="E2564" t="s">
        <v>687</v>
      </c>
      <c r="F2564" t="s">
        <v>687</v>
      </c>
      <c r="G2564" s="1">
        <v>44463</v>
      </c>
      <c r="H2564" s="1">
        <v>44412</v>
      </c>
      <c r="I2564" t="s">
        <v>189</v>
      </c>
      <c r="J2564">
        <v>1</v>
      </c>
      <c r="K2564" t="s">
        <v>2452</v>
      </c>
      <c r="L2564" t="s">
        <v>2453</v>
      </c>
    </row>
    <row r="2565" spans="1:40" x14ac:dyDescent="0.35">
      <c r="A2565">
        <v>6689123</v>
      </c>
      <c r="B2565" t="s">
        <v>7059</v>
      </c>
      <c r="C2565" t="str">
        <f>"9781800642737"</f>
        <v>9781800642737</v>
      </c>
      <c r="D2565" t="str">
        <f>"9781800642744"</f>
        <v>9781800642744</v>
      </c>
      <c r="E2565" t="s">
        <v>1807</v>
      </c>
      <c r="F2565" t="s">
        <v>1807</v>
      </c>
      <c r="G2565" s="1">
        <v>44409</v>
      </c>
      <c r="H2565" s="1">
        <v>44413</v>
      </c>
      <c r="I2565" t="s">
        <v>189</v>
      </c>
      <c r="J2565">
        <v>1</v>
      </c>
      <c r="K2565" t="s">
        <v>3204</v>
      </c>
      <c r="L2565" t="s">
        <v>2125</v>
      </c>
    </row>
    <row r="2566" spans="1:40" x14ac:dyDescent="0.35">
      <c r="A2566">
        <v>6689124</v>
      </c>
      <c r="B2566" t="s">
        <v>7060</v>
      </c>
      <c r="C2566" t="str">
        <f>"9781800641334"</f>
        <v>9781800641334</v>
      </c>
      <c r="D2566" t="str">
        <f>"9781800641341"</f>
        <v>9781800641341</v>
      </c>
      <c r="E2566" t="s">
        <v>1807</v>
      </c>
      <c r="F2566" t="s">
        <v>1807</v>
      </c>
      <c r="G2566" s="1">
        <v>44378</v>
      </c>
      <c r="H2566" s="1">
        <v>44413</v>
      </c>
      <c r="I2566" t="s">
        <v>189</v>
      </c>
      <c r="J2566">
        <v>1</v>
      </c>
      <c r="L2566" t="s">
        <v>7061</v>
      </c>
      <c r="M2566" t="s">
        <v>964</v>
      </c>
      <c r="Q2566" t="s">
        <v>260</v>
      </c>
      <c r="R2566" t="s">
        <v>261</v>
      </c>
      <c r="S2566" t="s">
        <v>261</v>
      </c>
      <c r="T2566" t="s">
        <v>261</v>
      </c>
      <c r="U2566" t="s">
        <v>261</v>
      </c>
      <c r="V2566" t="s">
        <v>262</v>
      </c>
      <c r="W2566" t="s">
        <v>261</v>
      </c>
      <c r="X2566" t="s">
        <v>261</v>
      </c>
      <c r="Y2566" t="s">
        <v>261</v>
      </c>
      <c r="Z2566" t="s">
        <v>409</v>
      </c>
      <c r="AA2566" t="s">
        <v>409</v>
      </c>
      <c r="AB2566" t="s">
        <v>409</v>
      </c>
      <c r="AC2566" t="s">
        <v>409</v>
      </c>
      <c r="AD2566" t="s">
        <v>261</v>
      </c>
      <c r="AH2566" t="s">
        <v>262</v>
      </c>
      <c r="AI2566" t="s">
        <v>262</v>
      </c>
      <c r="AJ2566" t="s">
        <v>261</v>
      </c>
      <c r="AK2566" t="s">
        <v>261</v>
      </c>
      <c r="AM2566" t="s">
        <v>262</v>
      </c>
      <c r="AN2566" t="s">
        <v>7062</v>
      </c>
    </row>
    <row r="2567" spans="1:40" x14ac:dyDescent="0.35">
      <c r="A2567">
        <v>6689306</v>
      </c>
      <c r="B2567" t="s">
        <v>7063</v>
      </c>
      <c r="C2567" t="str">
        <f>"9781484271841"</f>
        <v>9781484271841</v>
      </c>
      <c r="D2567" t="str">
        <f>"9781484271858"</f>
        <v>9781484271858</v>
      </c>
      <c r="E2567" t="s">
        <v>4514</v>
      </c>
      <c r="F2567" t="s">
        <v>4514</v>
      </c>
      <c r="G2567" s="1">
        <v>44434</v>
      </c>
      <c r="H2567" s="1">
        <v>44676</v>
      </c>
      <c r="I2567" t="s">
        <v>189</v>
      </c>
      <c r="L2567" t="s">
        <v>7064</v>
      </c>
    </row>
    <row r="2568" spans="1:40" x14ac:dyDescent="0.35">
      <c r="A2568">
        <v>6689307</v>
      </c>
      <c r="B2568" t="s">
        <v>7065</v>
      </c>
      <c r="C2568" t="str">
        <f>"9783030676070"</f>
        <v>9783030676070</v>
      </c>
      <c r="D2568" t="str">
        <f>"9783030676087"</f>
        <v>9783030676087</v>
      </c>
      <c r="E2568" t="s">
        <v>2289</v>
      </c>
      <c r="F2568" t="s">
        <v>2290</v>
      </c>
      <c r="G2568" s="1">
        <v>44407</v>
      </c>
      <c r="H2568" s="1">
        <v>44676</v>
      </c>
      <c r="I2568" t="s">
        <v>189</v>
      </c>
      <c r="K2568" t="s">
        <v>1208</v>
      </c>
      <c r="L2568" t="s">
        <v>7066</v>
      </c>
    </row>
    <row r="2569" spans="1:40" x14ac:dyDescent="0.35">
      <c r="A2569">
        <v>6689308</v>
      </c>
      <c r="B2569" t="s">
        <v>7067</v>
      </c>
      <c r="C2569" t="str">
        <f>"9783030706609"</f>
        <v>9783030706609</v>
      </c>
      <c r="D2569" t="str">
        <f>"9783030706616"</f>
        <v>9783030706616</v>
      </c>
      <c r="E2569" t="s">
        <v>2289</v>
      </c>
      <c r="F2569" t="s">
        <v>2663</v>
      </c>
      <c r="G2569" s="1">
        <v>44412</v>
      </c>
      <c r="H2569" s="1">
        <v>44676</v>
      </c>
      <c r="I2569" t="s">
        <v>189</v>
      </c>
      <c r="L2569" t="s">
        <v>7068</v>
      </c>
    </row>
    <row r="2570" spans="1:40" x14ac:dyDescent="0.35">
      <c r="A2570">
        <v>6689309</v>
      </c>
      <c r="B2570" t="s">
        <v>7069</v>
      </c>
      <c r="C2570" t="str">
        <f>"9783030764449"</f>
        <v>9783030764449</v>
      </c>
      <c r="D2570" t="str">
        <f>"9783030764456"</f>
        <v>9783030764456</v>
      </c>
      <c r="E2570" t="s">
        <v>2289</v>
      </c>
      <c r="F2570" t="s">
        <v>2663</v>
      </c>
      <c r="G2570" s="1">
        <v>44412</v>
      </c>
      <c r="H2570" s="1">
        <v>44676</v>
      </c>
      <c r="I2570" t="s">
        <v>189</v>
      </c>
      <c r="L2570" t="s">
        <v>7070</v>
      </c>
      <c r="M2570" t="s">
        <v>582</v>
      </c>
    </row>
    <row r="2571" spans="1:40" x14ac:dyDescent="0.35">
      <c r="A2571">
        <v>6689310</v>
      </c>
      <c r="B2571" t="s">
        <v>7071</v>
      </c>
      <c r="C2571" t="str">
        <f>"9783658338671"</f>
        <v>9783658338671</v>
      </c>
      <c r="D2571" t="str">
        <f>"9783658338688"</f>
        <v>9783658338688</v>
      </c>
      <c r="E2571" t="s">
        <v>3972</v>
      </c>
      <c r="F2571" t="s">
        <v>3998</v>
      </c>
      <c r="G2571" s="1">
        <v>44408</v>
      </c>
      <c r="H2571" s="1">
        <v>44676</v>
      </c>
      <c r="I2571" t="s">
        <v>189</v>
      </c>
      <c r="L2571" t="s">
        <v>7072</v>
      </c>
      <c r="M2571" t="s">
        <v>249</v>
      </c>
      <c r="N2571" t="s">
        <v>7073</v>
      </c>
      <c r="Q2571" t="s">
        <v>408</v>
      </c>
      <c r="R2571" t="s">
        <v>261</v>
      </c>
      <c r="S2571" t="s">
        <v>261</v>
      </c>
      <c r="T2571" t="s">
        <v>261</v>
      </c>
      <c r="U2571" t="s">
        <v>262</v>
      </c>
      <c r="V2571" t="s">
        <v>262</v>
      </c>
      <c r="W2571" t="s">
        <v>261</v>
      </c>
      <c r="X2571" t="s">
        <v>262</v>
      </c>
      <c r="Y2571" t="s">
        <v>261</v>
      </c>
      <c r="Z2571" t="s">
        <v>409</v>
      </c>
      <c r="AA2571" t="s">
        <v>409</v>
      </c>
      <c r="AB2571" t="s">
        <v>409</v>
      </c>
      <c r="AC2571" t="s">
        <v>409</v>
      </c>
      <c r="AD2571" t="s">
        <v>261</v>
      </c>
      <c r="AH2571" t="s">
        <v>262</v>
      </c>
      <c r="AI2571" t="s">
        <v>262</v>
      </c>
      <c r="AJ2571" t="s">
        <v>261</v>
      </c>
      <c r="AK2571" t="s">
        <v>261</v>
      </c>
      <c r="AM2571" t="s">
        <v>262</v>
      </c>
      <c r="AN2571" t="s">
        <v>7074</v>
      </c>
    </row>
    <row r="2572" spans="1:40" x14ac:dyDescent="0.35">
      <c r="A2572">
        <v>6689311</v>
      </c>
      <c r="B2572" t="s">
        <v>7075</v>
      </c>
      <c r="C2572" t="str">
        <f>"9783030698225"</f>
        <v>9783030698225</v>
      </c>
      <c r="D2572" t="str">
        <f>"9783030698232"</f>
        <v>9783030698232</v>
      </c>
      <c r="E2572" t="s">
        <v>2289</v>
      </c>
      <c r="F2572" t="s">
        <v>2290</v>
      </c>
      <c r="G2572" s="1">
        <v>44411</v>
      </c>
      <c r="H2572" s="1">
        <v>44676</v>
      </c>
      <c r="I2572" t="s">
        <v>189</v>
      </c>
      <c r="K2572" t="s">
        <v>4784</v>
      </c>
      <c r="L2572" t="s">
        <v>7076</v>
      </c>
    </row>
    <row r="2573" spans="1:40" x14ac:dyDescent="0.35">
      <c r="A2573">
        <v>6692414</v>
      </c>
      <c r="B2573" t="s">
        <v>7077</v>
      </c>
      <c r="C2573" t="str">
        <f>"9783030774882"</f>
        <v>9783030774882</v>
      </c>
      <c r="D2573" t="str">
        <f>"9783030774899"</f>
        <v>9783030774899</v>
      </c>
      <c r="E2573" t="s">
        <v>2289</v>
      </c>
      <c r="F2573" t="s">
        <v>2290</v>
      </c>
      <c r="G2573" s="1">
        <v>44414</v>
      </c>
      <c r="H2573" s="1">
        <v>44676</v>
      </c>
      <c r="I2573" t="s">
        <v>189</v>
      </c>
      <c r="L2573" t="s">
        <v>7078</v>
      </c>
      <c r="M2573" t="s">
        <v>249</v>
      </c>
      <c r="N2573" t="s">
        <v>5418</v>
      </c>
      <c r="Q2573" t="s">
        <v>260</v>
      </c>
      <c r="R2573" t="s">
        <v>261</v>
      </c>
      <c r="S2573" t="s">
        <v>261</v>
      </c>
      <c r="T2573" t="s">
        <v>261</v>
      </c>
      <c r="U2573" t="s">
        <v>262</v>
      </c>
      <c r="V2573" t="s">
        <v>262</v>
      </c>
      <c r="W2573" t="s">
        <v>261</v>
      </c>
      <c r="X2573" t="s">
        <v>262</v>
      </c>
      <c r="Y2573" t="s">
        <v>261</v>
      </c>
      <c r="Z2573" t="s">
        <v>409</v>
      </c>
      <c r="AA2573" t="s">
        <v>409</v>
      </c>
      <c r="AB2573" t="s">
        <v>409</v>
      </c>
      <c r="AC2573" t="s">
        <v>409</v>
      </c>
      <c r="AD2573" t="s">
        <v>261</v>
      </c>
      <c r="AH2573" t="s">
        <v>262</v>
      </c>
      <c r="AI2573" t="s">
        <v>262</v>
      </c>
      <c r="AJ2573" t="s">
        <v>261</v>
      </c>
      <c r="AK2573" t="s">
        <v>261</v>
      </c>
      <c r="AM2573" t="s">
        <v>262</v>
      </c>
      <c r="AN2573" t="s">
        <v>7079</v>
      </c>
    </row>
    <row r="2574" spans="1:40" x14ac:dyDescent="0.35">
      <c r="A2574">
        <v>6693082</v>
      </c>
      <c r="B2574" t="s">
        <v>7080</v>
      </c>
      <c r="C2574" t="str">
        <f>""</f>
        <v/>
      </c>
      <c r="D2574" t="str">
        <f>"9789179296315"</f>
        <v>9789179296315</v>
      </c>
      <c r="E2574" t="s">
        <v>3642</v>
      </c>
      <c r="F2574" t="s">
        <v>3642</v>
      </c>
      <c r="G2574" s="1">
        <v>44412</v>
      </c>
      <c r="H2574" s="1">
        <v>44438</v>
      </c>
      <c r="I2574" t="s">
        <v>189</v>
      </c>
      <c r="J2574">
        <v>1</v>
      </c>
      <c r="L2574" t="s">
        <v>7081</v>
      </c>
      <c r="Q2574" t="s">
        <v>260</v>
      </c>
      <c r="R2574" t="s">
        <v>261</v>
      </c>
      <c r="S2574" t="s">
        <v>261</v>
      </c>
      <c r="T2574" t="s">
        <v>261</v>
      </c>
      <c r="U2574" t="s">
        <v>261</v>
      </c>
      <c r="V2574" t="s">
        <v>262</v>
      </c>
      <c r="W2574" t="s">
        <v>261</v>
      </c>
      <c r="X2574" t="s">
        <v>261</v>
      </c>
      <c r="Y2574" t="s">
        <v>261</v>
      </c>
      <c r="AD2574" t="s">
        <v>261</v>
      </c>
      <c r="AH2574" t="s">
        <v>262</v>
      </c>
      <c r="AI2574" t="s">
        <v>261</v>
      </c>
      <c r="AJ2574" t="s">
        <v>261</v>
      </c>
      <c r="AK2574" t="s">
        <v>261</v>
      </c>
      <c r="AM2574" t="s">
        <v>262</v>
      </c>
      <c r="AN2574" t="s">
        <v>7082</v>
      </c>
    </row>
    <row r="2575" spans="1:40" x14ac:dyDescent="0.35">
      <c r="A2575">
        <v>6696321</v>
      </c>
      <c r="B2575" t="s">
        <v>7083</v>
      </c>
      <c r="C2575" t="str">
        <f>""</f>
        <v/>
      </c>
      <c r="D2575" t="str">
        <f>"9782759231492"</f>
        <v>9782759231492</v>
      </c>
      <c r="E2575" t="s">
        <v>1928</v>
      </c>
      <c r="F2575" t="s">
        <v>1928</v>
      </c>
      <c r="G2575" s="1">
        <v>44420</v>
      </c>
      <c r="H2575" s="1">
        <v>44449</v>
      </c>
      <c r="I2575" t="s">
        <v>189</v>
      </c>
      <c r="K2575" t="s">
        <v>2571</v>
      </c>
      <c r="L2575" t="s">
        <v>7084</v>
      </c>
    </row>
    <row r="2576" spans="1:40" x14ac:dyDescent="0.35">
      <c r="A2576">
        <v>6696599</v>
      </c>
      <c r="B2576" t="s">
        <v>7085</v>
      </c>
      <c r="C2576" t="str">
        <f>"9783030730642"</f>
        <v>9783030730642</v>
      </c>
      <c r="D2576" t="str">
        <f>"9783030730659"</f>
        <v>9783030730659</v>
      </c>
      <c r="E2576" t="s">
        <v>2289</v>
      </c>
      <c r="F2576" t="s">
        <v>2663</v>
      </c>
      <c r="G2576" s="1">
        <v>44419</v>
      </c>
      <c r="H2576" s="1">
        <v>44676</v>
      </c>
      <c r="I2576" t="s">
        <v>189</v>
      </c>
      <c r="L2576" t="s">
        <v>7086</v>
      </c>
    </row>
    <row r="2577" spans="1:40" x14ac:dyDescent="0.35">
      <c r="A2577">
        <v>6696600</v>
      </c>
      <c r="B2577" t="s">
        <v>7087</v>
      </c>
      <c r="C2577" t="str">
        <f>"9783658338879"</f>
        <v>9783658338879</v>
      </c>
      <c r="D2577" t="str">
        <f>"9783658338886"</f>
        <v>9783658338886</v>
      </c>
      <c r="E2577" t="s">
        <v>3972</v>
      </c>
      <c r="F2577" t="s">
        <v>3998</v>
      </c>
      <c r="G2577" s="1">
        <v>44419</v>
      </c>
      <c r="H2577" s="1">
        <v>44676</v>
      </c>
      <c r="I2577" t="s">
        <v>189</v>
      </c>
      <c r="K2577" t="s">
        <v>4677</v>
      </c>
      <c r="L2577" t="s">
        <v>7088</v>
      </c>
      <c r="M2577" t="s">
        <v>210</v>
      </c>
      <c r="N2577" t="s">
        <v>7089</v>
      </c>
      <c r="Q2577" t="s">
        <v>408</v>
      </c>
      <c r="R2577" t="s">
        <v>261</v>
      </c>
      <c r="S2577" t="s">
        <v>261</v>
      </c>
      <c r="T2577" t="s">
        <v>261</v>
      </c>
      <c r="U2577" t="s">
        <v>262</v>
      </c>
      <c r="V2577" t="s">
        <v>262</v>
      </c>
      <c r="W2577" t="s">
        <v>261</v>
      </c>
      <c r="X2577" t="s">
        <v>262</v>
      </c>
      <c r="Y2577" t="s">
        <v>261</v>
      </c>
      <c r="Z2577" t="s">
        <v>409</v>
      </c>
      <c r="AA2577" t="s">
        <v>409</v>
      </c>
      <c r="AB2577" t="s">
        <v>409</v>
      </c>
      <c r="AC2577" t="s">
        <v>409</v>
      </c>
      <c r="AD2577" t="s">
        <v>261</v>
      </c>
      <c r="AH2577" t="s">
        <v>262</v>
      </c>
      <c r="AI2577" t="s">
        <v>262</v>
      </c>
      <c r="AJ2577" t="s">
        <v>261</v>
      </c>
      <c r="AK2577" t="s">
        <v>261</v>
      </c>
      <c r="AM2577" t="s">
        <v>262</v>
      </c>
      <c r="AN2577" t="s">
        <v>7090</v>
      </c>
    </row>
    <row r="2578" spans="1:40" x14ac:dyDescent="0.35">
      <c r="A2578">
        <v>6698484</v>
      </c>
      <c r="B2578" t="s">
        <v>7091</v>
      </c>
      <c r="C2578" t="str">
        <f>"9783030639624"</f>
        <v>9783030639624</v>
      </c>
      <c r="D2578" t="str">
        <f>"9783030639631"</f>
        <v>9783030639631</v>
      </c>
      <c r="E2578" t="s">
        <v>2289</v>
      </c>
      <c r="F2578" t="s">
        <v>2290</v>
      </c>
      <c r="G2578" s="1">
        <v>44367</v>
      </c>
      <c r="H2578" s="1">
        <v>44676</v>
      </c>
      <c r="I2578" t="s">
        <v>189</v>
      </c>
      <c r="L2578" t="s">
        <v>7092</v>
      </c>
    </row>
    <row r="2579" spans="1:40" x14ac:dyDescent="0.35">
      <c r="A2579">
        <v>6699255</v>
      </c>
      <c r="B2579" t="s">
        <v>7093</v>
      </c>
      <c r="C2579" t="str">
        <f>"9783030678050"</f>
        <v>9783030678050</v>
      </c>
      <c r="D2579" t="str">
        <f>"9783030678067"</f>
        <v>9783030678067</v>
      </c>
      <c r="E2579" t="s">
        <v>2289</v>
      </c>
      <c r="F2579" t="s">
        <v>2290</v>
      </c>
      <c r="G2579" s="1">
        <v>44421</v>
      </c>
      <c r="H2579" s="1">
        <v>44676</v>
      </c>
      <c r="I2579" t="s">
        <v>189</v>
      </c>
      <c r="L2579" t="s">
        <v>7094</v>
      </c>
    </row>
    <row r="2580" spans="1:40" x14ac:dyDescent="0.35">
      <c r="A2580">
        <v>6699256</v>
      </c>
      <c r="B2580" t="s">
        <v>7095</v>
      </c>
      <c r="C2580" t="str">
        <f>"9783030751494"</f>
        <v>9783030751494</v>
      </c>
      <c r="D2580" t="str">
        <f>"9783030751500"</f>
        <v>9783030751500</v>
      </c>
      <c r="E2580" t="s">
        <v>2289</v>
      </c>
      <c r="F2580" t="s">
        <v>2290</v>
      </c>
      <c r="G2580" s="1">
        <v>44422</v>
      </c>
      <c r="H2580" s="1">
        <v>44676</v>
      </c>
      <c r="I2580" t="s">
        <v>189</v>
      </c>
      <c r="L2580" t="s">
        <v>7096</v>
      </c>
    </row>
    <row r="2581" spans="1:40" x14ac:dyDescent="0.35">
      <c r="A2581">
        <v>6700223</v>
      </c>
      <c r="B2581" t="s">
        <v>7097</v>
      </c>
      <c r="C2581" t="str">
        <f>"9783030710682"</f>
        <v>9783030710682</v>
      </c>
      <c r="D2581" t="str">
        <f>"9783030710699"</f>
        <v>9783030710699</v>
      </c>
      <c r="E2581" t="s">
        <v>2289</v>
      </c>
      <c r="F2581" t="s">
        <v>2290</v>
      </c>
      <c r="G2581" s="1">
        <v>44422</v>
      </c>
      <c r="H2581" s="1">
        <v>44676</v>
      </c>
      <c r="I2581" t="s">
        <v>189</v>
      </c>
      <c r="L2581" t="s">
        <v>7098</v>
      </c>
    </row>
    <row r="2582" spans="1:40" x14ac:dyDescent="0.35">
      <c r="A2582">
        <v>6700285</v>
      </c>
      <c r="B2582" t="s">
        <v>7099</v>
      </c>
      <c r="C2582" t="str">
        <f>""</f>
        <v/>
      </c>
      <c r="D2582" t="str">
        <f>"9789179290030"</f>
        <v>9789179290030</v>
      </c>
      <c r="E2582" t="s">
        <v>3642</v>
      </c>
      <c r="F2582" t="s">
        <v>3642</v>
      </c>
      <c r="G2582" s="1">
        <v>44421</v>
      </c>
      <c r="H2582" s="1">
        <v>44445</v>
      </c>
      <c r="I2582" t="s">
        <v>189</v>
      </c>
      <c r="J2582">
        <v>1</v>
      </c>
      <c r="L2582" t="s">
        <v>7100</v>
      </c>
      <c r="Q2582" t="s">
        <v>260</v>
      </c>
      <c r="R2582" t="s">
        <v>261</v>
      </c>
      <c r="S2582" t="s">
        <v>261</v>
      </c>
      <c r="T2582" t="s">
        <v>261</v>
      </c>
      <c r="U2582" t="s">
        <v>261</v>
      </c>
      <c r="V2582" t="s">
        <v>262</v>
      </c>
      <c r="W2582" t="s">
        <v>261</v>
      </c>
      <c r="X2582" t="s">
        <v>261</v>
      </c>
      <c r="Y2582" t="s">
        <v>261</v>
      </c>
      <c r="AD2582" t="s">
        <v>261</v>
      </c>
      <c r="AH2582" t="s">
        <v>262</v>
      </c>
      <c r="AI2582" t="s">
        <v>261</v>
      </c>
      <c r="AJ2582" t="s">
        <v>261</v>
      </c>
      <c r="AK2582" t="s">
        <v>261</v>
      </c>
      <c r="AM2582" t="s">
        <v>262</v>
      </c>
      <c r="AN2582" t="s">
        <v>7101</v>
      </c>
    </row>
    <row r="2583" spans="1:40" x14ac:dyDescent="0.35">
      <c r="A2583">
        <v>6702647</v>
      </c>
      <c r="B2583" t="s">
        <v>7102</v>
      </c>
      <c r="C2583" t="str">
        <f>"9783030452308"</f>
        <v>9783030452308</v>
      </c>
      <c r="D2583" t="str">
        <f>"9783030452315"</f>
        <v>9783030452315</v>
      </c>
      <c r="E2583" t="s">
        <v>2289</v>
      </c>
      <c r="F2583" t="s">
        <v>2290</v>
      </c>
      <c r="G2583" s="1">
        <v>43939</v>
      </c>
      <c r="H2583" s="1">
        <v>44676</v>
      </c>
      <c r="I2583" t="s">
        <v>189</v>
      </c>
      <c r="K2583" t="s">
        <v>4008</v>
      </c>
      <c r="L2583" t="s">
        <v>7103</v>
      </c>
    </row>
    <row r="2584" spans="1:40" x14ac:dyDescent="0.35">
      <c r="A2584">
        <v>6705010</v>
      </c>
      <c r="B2584" t="s">
        <v>7104</v>
      </c>
      <c r="C2584" t="str">
        <f>"9783030735685"</f>
        <v>9783030735685</v>
      </c>
      <c r="D2584" t="str">
        <f>"9783030735692"</f>
        <v>9783030735692</v>
      </c>
      <c r="E2584" t="s">
        <v>2289</v>
      </c>
      <c r="F2584" t="s">
        <v>2290</v>
      </c>
      <c r="G2584" s="1">
        <v>44424</v>
      </c>
      <c r="H2584" s="1">
        <v>44676</v>
      </c>
      <c r="I2584" t="s">
        <v>189</v>
      </c>
      <c r="L2584" t="s">
        <v>7105</v>
      </c>
    </row>
    <row r="2585" spans="1:40" x14ac:dyDescent="0.35">
      <c r="A2585">
        <v>6706670</v>
      </c>
      <c r="B2585" t="s">
        <v>7106</v>
      </c>
      <c r="C2585" t="str">
        <f>"9780472054855"</f>
        <v>9780472054855</v>
      </c>
      <c r="D2585" t="str">
        <f>"9780472902415"</f>
        <v>9780472902415</v>
      </c>
      <c r="E2585" t="s">
        <v>2090</v>
      </c>
      <c r="F2585" t="s">
        <v>2090</v>
      </c>
      <c r="G2585" s="1">
        <v>44377</v>
      </c>
      <c r="H2585" s="1">
        <v>44462</v>
      </c>
      <c r="I2585" t="s">
        <v>189</v>
      </c>
      <c r="K2585" t="s">
        <v>7107</v>
      </c>
      <c r="L2585" t="s">
        <v>7108</v>
      </c>
      <c r="M2585" t="s">
        <v>323</v>
      </c>
    </row>
    <row r="2586" spans="1:40" x14ac:dyDescent="0.35">
      <c r="A2586">
        <v>6706672</v>
      </c>
      <c r="B2586" t="s">
        <v>7109</v>
      </c>
      <c r="C2586" t="str">
        <f>"9780472074792"</f>
        <v>9780472074792</v>
      </c>
      <c r="D2586" t="str">
        <f>"9780472128631"</f>
        <v>9780472128631</v>
      </c>
      <c r="E2586" t="s">
        <v>2090</v>
      </c>
      <c r="F2586" t="s">
        <v>2090</v>
      </c>
      <c r="G2586" s="1">
        <v>44410</v>
      </c>
      <c r="H2586" s="1">
        <v>44462</v>
      </c>
      <c r="I2586" t="s">
        <v>189</v>
      </c>
      <c r="L2586" t="s">
        <v>7110</v>
      </c>
      <c r="M2586" t="s">
        <v>578</v>
      </c>
      <c r="N2586" t="s">
        <v>7111</v>
      </c>
      <c r="O2586" s="2">
        <v>7920721</v>
      </c>
      <c r="Q2586" t="s">
        <v>260</v>
      </c>
      <c r="R2586" t="s">
        <v>261</v>
      </c>
      <c r="S2586" t="s">
        <v>261</v>
      </c>
      <c r="T2586" t="s">
        <v>261</v>
      </c>
      <c r="U2586" t="s">
        <v>261</v>
      </c>
      <c r="V2586" t="s">
        <v>262</v>
      </c>
      <c r="W2586" t="s">
        <v>261</v>
      </c>
      <c r="X2586" t="s">
        <v>261</v>
      </c>
      <c r="Y2586" t="s">
        <v>261</v>
      </c>
      <c r="AA2586" t="s">
        <v>409</v>
      </c>
      <c r="AB2586" t="s">
        <v>409</v>
      </c>
      <c r="AC2586" t="s">
        <v>409</v>
      </c>
      <c r="AD2586" t="s">
        <v>261</v>
      </c>
      <c r="AH2586" t="s">
        <v>262</v>
      </c>
      <c r="AI2586" t="s">
        <v>262</v>
      </c>
      <c r="AJ2586" t="s">
        <v>261</v>
      </c>
      <c r="AK2586" t="s">
        <v>261</v>
      </c>
      <c r="AM2586" t="s">
        <v>262</v>
      </c>
      <c r="AN2586" t="s">
        <v>7112</v>
      </c>
    </row>
    <row r="2587" spans="1:40" x14ac:dyDescent="0.35">
      <c r="A2587">
        <v>6706674</v>
      </c>
      <c r="B2587" t="s">
        <v>7113</v>
      </c>
      <c r="C2587" t="str">
        <f>"9780472054473"</f>
        <v>9780472054473</v>
      </c>
      <c r="D2587" t="str">
        <f>"9780472901241"</f>
        <v>9780472901241</v>
      </c>
      <c r="E2587" t="s">
        <v>2090</v>
      </c>
      <c r="F2587" t="s">
        <v>2090</v>
      </c>
      <c r="G2587" s="1">
        <v>44407</v>
      </c>
      <c r="H2587" s="1">
        <v>44462</v>
      </c>
      <c r="I2587" t="s">
        <v>189</v>
      </c>
      <c r="L2587" t="s">
        <v>7114</v>
      </c>
    </row>
    <row r="2588" spans="1:40" x14ac:dyDescent="0.35">
      <c r="A2588">
        <v>6707454</v>
      </c>
      <c r="B2588" t="s">
        <v>7115</v>
      </c>
      <c r="C2588" t="str">
        <f>"9783030658236"</f>
        <v>9783030658236</v>
      </c>
      <c r="D2588" t="str">
        <f>"9783030658243"</f>
        <v>9783030658243</v>
      </c>
      <c r="E2588" t="s">
        <v>2289</v>
      </c>
      <c r="F2588" t="s">
        <v>2290</v>
      </c>
      <c r="G2588" s="1">
        <v>44426</v>
      </c>
      <c r="H2588" s="1">
        <v>44676</v>
      </c>
      <c r="I2588" t="s">
        <v>189</v>
      </c>
      <c r="K2588" t="s">
        <v>7116</v>
      </c>
      <c r="L2588" t="s">
        <v>7117</v>
      </c>
    </row>
    <row r="2589" spans="1:40" x14ac:dyDescent="0.35">
      <c r="A2589">
        <v>6708504</v>
      </c>
      <c r="B2589" t="s">
        <v>7118</v>
      </c>
      <c r="C2589" t="str">
        <f>""</f>
        <v/>
      </c>
      <c r="D2589" t="str">
        <f>"9789179296575"</f>
        <v>9789179296575</v>
      </c>
      <c r="E2589" t="s">
        <v>3642</v>
      </c>
      <c r="F2589" t="s">
        <v>3642</v>
      </c>
      <c r="G2589" s="1">
        <v>44424</v>
      </c>
      <c r="H2589" s="1">
        <v>44431</v>
      </c>
      <c r="I2589" t="s">
        <v>189</v>
      </c>
      <c r="J2589">
        <v>1</v>
      </c>
      <c r="L2589" t="s">
        <v>7119</v>
      </c>
      <c r="Q2589" t="s">
        <v>260</v>
      </c>
      <c r="R2589" t="s">
        <v>261</v>
      </c>
      <c r="S2589" t="s">
        <v>261</v>
      </c>
      <c r="T2589" t="s">
        <v>261</v>
      </c>
      <c r="U2589" t="s">
        <v>261</v>
      </c>
      <c r="V2589" t="s">
        <v>262</v>
      </c>
      <c r="W2589" t="s">
        <v>261</v>
      </c>
      <c r="X2589" t="s">
        <v>261</v>
      </c>
      <c r="Y2589" t="s">
        <v>261</v>
      </c>
      <c r="AD2589" t="s">
        <v>261</v>
      </c>
      <c r="AH2589" t="s">
        <v>262</v>
      </c>
      <c r="AI2589" t="s">
        <v>261</v>
      </c>
      <c r="AJ2589" t="s">
        <v>261</v>
      </c>
      <c r="AK2589" t="s">
        <v>261</v>
      </c>
      <c r="AM2589" t="s">
        <v>262</v>
      </c>
      <c r="AN2589" t="s">
        <v>7120</v>
      </c>
    </row>
    <row r="2590" spans="1:40" x14ac:dyDescent="0.35">
      <c r="A2590">
        <v>6708512</v>
      </c>
      <c r="B2590" t="s">
        <v>7121</v>
      </c>
      <c r="C2590" t="str">
        <f>""</f>
        <v/>
      </c>
      <c r="D2590" t="str">
        <f>"9789179290245"</f>
        <v>9789179290245</v>
      </c>
      <c r="E2590" t="s">
        <v>3642</v>
      </c>
      <c r="F2590" t="s">
        <v>3642</v>
      </c>
      <c r="G2590" s="1">
        <v>44424</v>
      </c>
      <c r="H2590" s="1">
        <v>44445</v>
      </c>
      <c r="I2590" t="s">
        <v>189</v>
      </c>
      <c r="J2590">
        <v>1</v>
      </c>
      <c r="L2590" t="s">
        <v>7122</v>
      </c>
      <c r="Q2590" t="s">
        <v>260</v>
      </c>
      <c r="R2590" t="s">
        <v>261</v>
      </c>
      <c r="S2590" t="s">
        <v>261</v>
      </c>
      <c r="T2590" t="s">
        <v>261</v>
      </c>
      <c r="U2590" t="s">
        <v>261</v>
      </c>
      <c r="V2590" t="s">
        <v>262</v>
      </c>
      <c r="W2590" t="s">
        <v>261</v>
      </c>
      <c r="X2590" t="s">
        <v>261</v>
      </c>
      <c r="Y2590" t="s">
        <v>261</v>
      </c>
      <c r="AD2590" t="s">
        <v>261</v>
      </c>
      <c r="AH2590" t="s">
        <v>262</v>
      </c>
      <c r="AI2590" t="s">
        <v>261</v>
      </c>
      <c r="AJ2590" t="s">
        <v>261</v>
      </c>
      <c r="AK2590" t="s">
        <v>261</v>
      </c>
      <c r="AM2590" t="s">
        <v>262</v>
      </c>
      <c r="AN2590" t="s">
        <v>7123</v>
      </c>
    </row>
    <row r="2591" spans="1:40" x14ac:dyDescent="0.35">
      <c r="A2591">
        <v>6708513</v>
      </c>
      <c r="B2591" t="s">
        <v>7124</v>
      </c>
      <c r="C2591" t="str">
        <f>""</f>
        <v/>
      </c>
      <c r="D2591" t="str">
        <f>"9789179290115"</f>
        <v>9789179290115</v>
      </c>
      <c r="E2591" t="s">
        <v>3642</v>
      </c>
      <c r="F2591" t="s">
        <v>3642</v>
      </c>
      <c r="G2591" s="1">
        <v>44426</v>
      </c>
      <c r="H2591" s="1">
        <v>44438</v>
      </c>
      <c r="I2591" t="s">
        <v>189</v>
      </c>
      <c r="J2591">
        <v>1</v>
      </c>
      <c r="L2591" t="s">
        <v>7125</v>
      </c>
      <c r="Q2591" t="s">
        <v>260</v>
      </c>
      <c r="R2591" t="s">
        <v>261</v>
      </c>
      <c r="S2591" t="s">
        <v>261</v>
      </c>
      <c r="T2591" t="s">
        <v>261</v>
      </c>
      <c r="U2591" t="s">
        <v>261</v>
      </c>
      <c r="V2591" t="s">
        <v>262</v>
      </c>
      <c r="W2591" t="s">
        <v>261</v>
      </c>
      <c r="X2591" t="s">
        <v>261</v>
      </c>
      <c r="Y2591" t="s">
        <v>261</v>
      </c>
      <c r="AD2591" t="s">
        <v>261</v>
      </c>
      <c r="AH2591" t="s">
        <v>262</v>
      </c>
      <c r="AI2591" t="s">
        <v>261</v>
      </c>
      <c r="AJ2591" t="s">
        <v>261</v>
      </c>
      <c r="AK2591" t="s">
        <v>261</v>
      </c>
      <c r="AM2591" t="s">
        <v>262</v>
      </c>
      <c r="AN2591" t="s">
        <v>7126</v>
      </c>
    </row>
    <row r="2592" spans="1:40" x14ac:dyDescent="0.35">
      <c r="A2592">
        <v>6709073</v>
      </c>
      <c r="B2592" t="s">
        <v>7127</v>
      </c>
      <c r="C2592" t="str">
        <f>"9781137378460"</f>
        <v>9781137378460</v>
      </c>
      <c r="D2592" t="str">
        <f>"9781137378477"</f>
        <v>9781137378477</v>
      </c>
      <c r="E2592" t="s">
        <v>4183</v>
      </c>
      <c r="F2592" t="s">
        <v>2663</v>
      </c>
      <c r="G2592" s="1">
        <v>41996</v>
      </c>
      <c r="H2592" s="1">
        <v>44459</v>
      </c>
      <c r="I2592" t="s">
        <v>189</v>
      </c>
      <c r="L2592" t="s">
        <v>7128</v>
      </c>
      <c r="M2592" t="s">
        <v>249</v>
      </c>
    </row>
    <row r="2593" spans="1:40" x14ac:dyDescent="0.35">
      <c r="A2593">
        <v>6709812</v>
      </c>
      <c r="B2593" t="s">
        <v>7129</v>
      </c>
      <c r="C2593" t="str">
        <f>"9783658312787"</f>
        <v>9783658312787</v>
      </c>
      <c r="D2593" t="str">
        <f>"9783658312794"</f>
        <v>9783658312794</v>
      </c>
      <c r="E2593" t="s">
        <v>3972</v>
      </c>
      <c r="F2593" t="s">
        <v>4048</v>
      </c>
      <c r="G2593" s="1">
        <v>44055</v>
      </c>
      <c r="H2593" s="1">
        <v>44676</v>
      </c>
      <c r="I2593" t="s">
        <v>189</v>
      </c>
      <c r="L2593" t="s">
        <v>7130</v>
      </c>
    </row>
    <row r="2594" spans="1:40" x14ac:dyDescent="0.35">
      <c r="A2594">
        <v>6709813</v>
      </c>
      <c r="B2594" t="s">
        <v>7131</v>
      </c>
      <c r="C2594" t="str">
        <f>"9789811543265"</f>
        <v>9789811543265</v>
      </c>
      <c r="D2594" t="str">
        <f>"9789811543272"</f>
        <v>9789811543272</v>
      </c>
      <c r="E2594" t="s">
        <v>3404</v>
      </c>
      <c r="F2594" t="s">
        <v>2290</v>
      </c>
      <c r="G2594" s="1">
        <v>43995</v>
      </c>
      <c r="H2594" s="1">
        <v>44676</v>
      </c>
      <c r="I2594" t="s">
        <v>189</v>
      </c>
      <c r="L2594" t="s">
        <v>7132</v>
      </c>
    </row>
    <row r="2595" spans="1:40" x14ac:dyDescent="0.35">
      <c r="A2595">
        <v>6709814</v>
      </c>
      <c r="B2595" t="s">
        <v>7133</v>
      </c>
      <c r="C2595" t="str">
        <f>"9789811628603"</f>
        <v>9789811628603</v>
      </c>
      <c r="D2595" t="str">
        <f>"9789811628610"</f>
        <v>9789811628610</v>
      </c>
      <c r="E2595" t="s">
        <v>3404</v>
      </c>
      <c r="F2595" t="s">
        <v>2663</v>
      </c>
      <c r="G2595" s="1">
        <v>44427</v>
      </c>
      <c r="H2595" s="1">
        <v>44676</v>
      </c>
      <c r="I2595" t="s">
        <v>189</v>
      </c>
      <c r="L2595" t="s">
        <v>7134</v>
      </c>
    </row>
    <row r="2596" spans="1:40" x14ac:dyDescent="0.35">
      <c r="A2596">
        <v>6709815</v>
      </c>
      <c r="B2596" t="s">
        <v>7135</v>
      </c>
      <c r="C2596" t="str">
        <f>"9783658354787"</f>
        <v>9783658354787</v>
      </c>
      <c r="D2596" t="str">
        <f>"9783658354794"</f>
        <v>9783658354794</v>
      </c>
      <c r="E2596" t="s">
        <v>3972</v>
      </c>
      <c r="F2596" t="s">
        <v>3972</v>
      </c>
      <c r="G2596" s="1">
        <v>44428</v>
      </c>
      <c r="H2596" s="1">
        <v>44676</v>
      </c>
      <c r="I2596" t="s">
        <v>189</v>
      </c>
      <c r="K2596" t="s">
        <v>7136</v>
      </c>
      <c r="L2596" t="s">
        <v>7137</v>
      </c>
      <c r="M2596" t="s">
        <v>249</v>
      </c>
      <c r="N2596" t="s">
        <v>7138</v>
      </c>
      <c r="Q2596" t="s">
        <v>408</v>
      </c>
      <c r="R2596" t="s">
        <v>261</v>
      </c>
      <c r="S2596" t="s">
        <v>261</v>
      </c>
      <c r="T2596" t="s">
        <v>261</v>
      </c>
      <c r="U2596" t="s">
        <v>262</v>
      </c>
      <c r="V2596" t="s">
        <v>262</v>
      </c>
      <c r="W2596" t="s">
        <v>261</v>
      </c>
      <c r="X2596" t="s">
        <v>262</v>
      </c>
      <c r="Y2596" t="s">
        <v>261</v>
      </c>
      <c r="Z2596" t="s">
        <v>409</v>
      </c>
      <c r="AA2596" t="s">
        <v>409</v>
      </c>
      <c r="AB2596" t="s">
        <v>409</v>
      </c>
      <c r="AC2596" t="s">
        <v>409</v>
      </c>
      <c r="AD2596" t="s">
        <v>261</v>
      </c>
      <c r="AH2596" t="s">
        <v>262</v>
      </c>
      <c r="AI2596" t="s">
        <v>262</v>
      </c>
      <c r="AJ2596" t="s">
        <v>261</v>
      </c>
      <c r="AK2596" t="s">
        <v>261</v>
      </c>
      <c r="AM2596" t="s">
        <v>262</v>
      </c>
      <c r="AN2596" t="s">
        <v>7139</v>
      </c>
    </row>
    <row r="2597" spans="1:40" x14ac:dyDescent="0.35">
      <c r="A2597">
        <v>6709816</v>
      </c>
      <c r="B2597" t="s">
        <v>7140</v>
      </c>
      <c r="C2597" t="str">
        <f>"9783658347659"</f>
        <v>9783658347659</v>
      </c>
      <c r="D2597" t="str">
        <f>"9783658347666"</f>
        <v>9783658347666</v>
      </c>
      <c r="E2597" t="s">
        <v>3972</v>
      </c>
      <c r="F2597" t="s">
        <v>3998</v>
      </c>
      <c r="G2597" s="1">
        <v>44428</v>
      </c>
      <c r="H2597" s="1">
        <v>44676</v>
      </c>
      <c r="I2597" t="s">
        <v>189</v>
      </c>
      <c r="L2597" t="s">
        <v>7141</v>
      </c>
      <c r="M2597" t="s">
        <v>578</v>
      </c>
      <c r="N2597" t="s">
        <v>7142</v>
      </c>
      <c r="Q2597" t="s">
        <v>408</v>
      </c>
      <c r="R2597" t="s">
        <v>261</v>
      </c>
      <c r="S2597" t="s">
        <v>261</v>
      </c>
      <c r="T2597" t="s">
        <v>261</v>
      </c>
      <c r="U2597" t="s">
        <v>262</v>
      </c>
      <c r="V2597" t="s">
        <v>262</v>
      </c>
      <c r="W2597" t="s">
        <v>261</v>
      </c>
      <c r="X2597" t="s">
        <v>262</v>
      </c>
      <c r="Y2597" t="s">
        <v>261</v>
      </c>
      <c r="Z2597" t="s">
        <v>409</v>
      </c>
      <c r="AA2597" t="s">
        <v>409</v>
      </c>
      <c r="AB2597" t="s">
        <v>409</v>
      </c>
      <c r="AC2597" t="s">
        <v>409</v>
      </c>
      <c r="AD2597" t="s">
        <v>261</v>
      </c>
      <c r="AH2597" t="s">
        <v>262</v>
      </c>
      <c r="AI2597" t="s">
        <v>262</v>
      </c>
      <c r="AJ2597" t="s">
        <v>261</v>
      </c>
      <c r="AK2597" t="s">
        <v>261</v>
      </c>
      <c r="AM2597" t="s">
        <v>262</v>
      </c>
      <c r="AN2597" t="s">
        <v>7143</v>
      </c>
    </row>
    <row r="2598" spans="1:40" x14ac:dyDescent="0.35">
      <c r="A2598">
        <v>6710764</v>
      </c>
      <c r="B2598" t="s">
        <v>7144</v>
      </c>
      <c r="C2598" t="str">
        <f>"9783030768812"</f>
        <v>9783030768812</v>
      </c>
      <c r="D2598" t="str">
        <f>"9783030768829"</f>
        <v>9783030768829</v>
      </c>
      <c r="E2598" t="s">
        <v>2289</v>
      </c>
      <c r="F2598" t="s">
        <v>2290</v>
      </c>
      <c r="G2598" s="1">
        <v>44429</v>
      </c>
      <c r="H2598" s="1">
        <v>44676</v>
      </c>
      <c r="I2598" t="s">
        <v>189</v>
      </c>
      <c r="K2598" t="s">
        <v>4674</v>
      </c>
      <c r="L2598" t="s">
        <v>7145</v>
      </c>
    </row>
    <row r="2599" spans="1:40" x14ac:dyDescent="0.35">
      <c r="A2599">
        <v>6710765</v>
      </c>
      <c r="B2599" t="s">
        <v>7146</v>
      </c>
      <c r="C2599" t="str">
        <f>"9783658348502"</f>
        <v>9783658348502</v>
      </c>
      <c r="D2599" t="str">
        <f>"9783658348519"</f>
        <v>9783658348519</v>
      </c>
      <c r="E2599" t="s">
        <v>3972</v>
      </c>
      <c r="F2599" t="s">
        <v>3998</v>
      </c>
      <c r="G2599" s="1">
        <v>44430</v>
      </c>
      <c r="H2599" s="1">
        <v>44676</v>
      </c>
      <c r="I2599" t="s">
        <v>189</v>
      </c>
      <c r="K2599" t="s">
        <v>7147</v>
      </c>
      <c r="L2599" t="s">
        <v>7148</v>
      </c>
      <c r="M2599" t="s">
        <v>210</v>
      </c>
      <c r="N2599" t="s">
        <v>7149</v>
      </c>
      <c r="Q2599" t="s">
        <v>408</v>
      </c>
      <c r="R2599" t="s">
        <v>261</v>
      </c>
      <c r="S2599" t="s">
        <v>261</v>
      </c>
      <c r="T2599" t="s">
        <v>261</v>
      </c>
      <c r="U2599" t="s">
        <v>262</v>
      </c>
      <c r="V2599" t="s">
        <v>262</v>
      </c>
      <c r="W2599" t="s">
        <v>261</v>
      </c>
      <c r="X2599" t="s">
        <v>262</v>
      </c>
      <c r="Y2599" t="s">
        <v>261</v>
      </c>
      <c r="Z2599" t="s">
        <v>409</v>
      </c>
      <c r="AA2599" t="s">
        <v>409</v>
      </c>
      <c r="AB2599" t="s">
        <v>409</v>
      </c>
      <c r="AC2599" t="s">
        <v>409</v>
      </c>
      <c r="AD2599" t="s">
        <v>261</v>
      </c>
      <c r="AH2599" t="s">
        <v>262</v>
      </c>
      <c r="AI2599" t="s">
        <v>262</v>
      </c>
      <c r="AJ2599" t="s">
        <v>261</v>
      </c>
      <c r="AK2599" t="s">
        <v>261</v>
      </c>
      <c r="AM2599" t="s">
        <v>262</v>
      </c>
      <c r="AN2599" t="s">
        <v>7150</v>
      </c>
    </row>
    <row r="2600" spans="1:40" x14ac:dyDescent="0.35">
      <c r="A2600">
        <v>6713236</v>
      </c>
      <c r="B2600" t="s">
        <v>7151</v>
      </c>
      <c r="C2600" t="str">
        <f>"9783030748166"</f>
        <v>9783030748166</v>
      </c>
      <c r="D2600" t="str">
        <f>"9783030748173"</f>
        <v>9783030748173</v>
      </c>
      <c r="E2600" t="s">
        <v>2289</v>
      </c>
      <c r="F2600" t="s">
        <v>2290</v>
      </c>
      <c r="G2600" s="1">
        <v>44434</v>
      </c>
      <c r="H2600" s="1">
        <v>44694</v>
      </c>
      <c r="I2600" t="s">
        <v>189</v>
      </c>
      <c r="K2600" t="s">
        <v>7152</v>
      </c>
      <c r="L2600" t="s">
        <v>7153</v>
      </c>
    </row>
    <row r="2601" spans="1:40" x14ac:dyDescent="0.35">
      <c r="A2601">
        <v>6714071</v>
      </c>
      <c r="B2601" t="s">
        <v>7154</v>
      </c>
      <c r="C2601" t="str">
        <f>"9781800642133"</f>
        <v>9781800642133</v>
      </c>
      <c r="D2601" t="str">
        <f>"9781800642140"</f>
        <v>9781800642140</v>
      </c>
      <c r="E2601" t="s">
        <v>1807</v>
      </c>
      <c r="F2601" t="s">
        <v>1807</v>
      </c>
      <c r="G2601" s="1">
        <v>44416</v>
      </c>
      <c r="H2601" s="1">
        <v>44436</v>
      </c>
      <c r="I2601" t="s">
        <v>189</v>
      </c>
      <c r="J2601">
        <v>1</v>
      </c>
      <c r="L2601" t="s">
        <v>2407</v>
      </c>
      <c r="M2601" t="s">
        <v>219</v>
      </c>
      <c r="Q2601" t="s">
        <v>260</v>
      </c>
      <c r="R2601" t="s">
        <v>261</v>
      </c>
      <c r="S2601" t="s">
        <v>261</v>
      </c>
      <c r="T2601" t="s">
        <v>261</v>
      </c>
      <c r="U2601" t="s">
        <v>261</v>
      </c>
      <c r="V2601" t="s">
        <v>262</v>
      </c>
      <c r="W2601" t="s">
        <v>261</v>
      </c>
      <c r="X2601" t="s">
        <v>261</v>
      </c>
      <c r="Y2601" t="s">
        <v>261</v>
      </c>
      <c r="Z2601" t="s">
        <v>409</v>
      </c>
      <c r="AA2601" t="s">
        <v>409</v>
      </c>
      <c r="AB2601" t="s">
        <v>409</v>
      </c>
      <c r="AC2601" t="s">
        <v>409</v>
      </c>
      <c r="AD2601" t="s">
        <v>261</v>
      </c>
      <c r="AH2601" t="s">
        <v>262</v>
      </c>
      <c r="AI2601" t="s">
        <v>262</v>
      </c>
      <c r="AJ2601" t="s">
        <v>261</v>
      </c>
      <c r="AK2601" t="s">
        <v>261</v>
      </c>
      <c r="AM2601" t="s">
        <v>262</v>
      </c>
      <c r="AN2601" t="s">
        <v>7155</v>
      </c>
    </row>
    <row r="2602" spans="1:40" x14ac:dyDescent="0.35">
      <c r="A2602">
        <v>6714571</v>
      </c>
      <c r="B2602" t="s">
        <v>7156</v>
      </c>
      <c r="C2602" t="str">
        <f>""</f>
        <v/>
      </c>
      <c r="D2602" t="str">
        <f>"9789179290160"</f>
        <v>9789179290160</v>
      </c>
      <c r="E2602" t="s">
        <v>3642</v>
      </c>
      <c r="F2602" t="s">
        <v>3642</v>
      </c>
      <c r="G2602" s="1">
        <v>44432</v>
      </c>
      <c r="H2602" s="1">
        <v>44473</v>
      </c>
      <c r="I2602" t="s">
        <v>189</v>
      </c>
      <c r="L2602" t="s">
        <v>7157</v>
      </c>
      <c r="Q2602" t="s">
        <v>260</v>
      </c>
      <c r="R2602" t="s">
        <v>261</v>
      </c>
      <c r="S2602" t="s">
        <v>261</v>
      </c>
      <c r="T2602" t="s">
        <v>261</v>
      </c>
      <c r="U2602" t="s">
        <v>261</v>
      </c>
      <c r="V2602" t="s">
        <v>262</v>
      </c>
      <c r="W2602" t="s">
        <v>261</v>
      </c>
      <c r="X2602" t="s">
        <v>261</v>
      </c>
      <c r="Y2602" t="s">
        <v>261</v>
      </c>
      <c r="AD2602" t="s">
        <v>261</v>
      </c>
      <c r="AH2602" t="s">
        <v>262</v>
      </c>
      <c r="AI2602" t="s">
        <v>261</v>
      </c>
      <c r="AJ2602" t="s">
        <v>261</v>
      </c>
      <c r="AK2602" t="s">
        <v>261</v>
      </c>
      <c r="AM2602" t="s">
        <v>262</v>
      </c>
      <c r="AN2602" t="s">
        <v>7158</v>
      </c>
    </row>
    <row r="2603" spans="1:40" x14ac:dyDescent="0.35">
      <c r="A2603">
        <v>6714572</v>
      </c>
      <c r="B2603" t="s">
        <v>7159</v>
      </c>
      <c r="C2603" t="str">
        <f>""</f>
        <v/>
      </c>
      <c r="D2603" t="str">
        <f>"9789179290177"</f>
        <v>9789179290177</v>
      </c>
      <c r="E2603" t="s">
        <v>3642</v>
      </c>
      <c r="F2603" t="s">
        <v>3642</v>
      </c>
      <c r="G2603" s="1">
        <v>44425</v>
      </c>
      <c r="H2603" s="1">
        <v>44438</v>
      </c>
      <c r="I2603" t="s">
        <v>189</v>
      </c>
      <c r="J2603">
        <v>1</v>
      </c>
      <c r="L2603" t="s">
        <v>7160</v>
      </c>
      <c r="Q2603" t="s">
        <v>260</v>
      </c>
      <c r="R2603" t="s">
        <v>261</v>
      </c>
      <c r="S2603" t="s">
        <v>261</v>
      </c>
      <c r="T2603" t="s">
        <v>261</v>
      </c>
      <c r="U2603" t="s">
        <v>261</v>
      </c>
      <c r="V2603" t="s">
        <v>262</v>
      </c>
      <c r="W2603" t="s">
        <v>261</v>
      </c>
      <c r="X2603" t="s">
        <v>261</v>
      </c>
      <c r="Y2603" t="s">
        <v>261</v>
      </c>
      <c r="AD2603" t="s">
        <v>261</v>
      </c>
      <c r="AH2603" t="s">
        <v>262</v>
      </c>
      <c r="AI2603" t="s">
        <v>261</v>
      </c>
      <c r="AJ2603" t="s">
        <v>261</v>
      </c>
      <c r="AK2603" t="s">
        <v>261</v>
      </c>
      <c r="AM2603" t="s">
        <v>262</v>
      </c>
      <c r="AN2603" t="s">
        <v>7161</v>
      </c>
    </row>
    <row r="2604" spans="1:40" x14ac:dyDescent="0.35">
      <c r="A2604">
        <v>6714573</v>
      </c>
      <c r="B2604" t="s">
        <v>7162</v>
      </c>
      <c r="C2604" t="str">
        <f>""</f>
        <v/>
      </c>
      <c r="D2604" t="str">
        <f>"9789179290252"</f>
        <v>9789179290252</v>
      </c>
      <c r="E2604" t="s">
        <v>3642</v>
      </c>
      <c r="F2604" t="s">
        <v>3642</v>
      </c>
      <c r="G2604" s="1">
        <v>44432</v>
      </c>
      <c r="H2604" s="1">
        <v>44445</v>
      </c>
      <c r="I2604" t="s">
        <v>189</v>
      </c>
      <c r="J2604">
        <v>1</v>
      </c>
      <c r="L2604" t="s">
        <v>7163</v>
      </c>
      <c r="Q2604" t="s">
        <v>260</v>
      </c>
      <c r="R2604" t="s">
        <v>261</v>
      </c>
      <c r="S2604" t="s">
        <v>261</v>
      </c>
      <c r="T2604" t="s">
        <v>261</v>
      </c>
      <c r="U2604" t="s">
        <v>261</v>
      </c>
      <c r="V2604" t="s">
        <v>262</v>
      </c>
      <c r="W2604" t="s">
        <v>261</v>
      </c>
      <c r="X2604" t="s">
        <v>261</v>
      </c>
      <c r="Y2604" t="s">
        <v>261</v>
      </c>
      <c r="AD2604" t="s">
        <v>261</v>
      </c>
      <c r="AH2604" t="s">
        <v>262</v>
      </c>
      <c r="AI2604" t="s">
        <v>261</v>
      </c>
      <c r="AJ2604" t="s">
        <v>261</v>
      </c>
      <c r="AK2604" t="s">
        <v>261</v>
      </c>
      <c r="AM2604" t="s">
        <v>262</v>
      </c>
      <c r="AN2604" t="s">
        <v>7164</v>
      </c>
    </row>
    <row r="2605" spans="1:40" x14ac:dyDescent="0.35">
      <c r="A2605">
        <v>6714574</v>
      </c>
      <c r="B2605" t="s">
        <v>7165</v>
      </c>
      <c r="C2605" t="str">
        <f>""</f>
        <v/>
      </c>
      <c r="D2605" t="str">
        <f>"9789179296339"</f>
        <v>9789179296339</v>
      </c>
      <c r="E2605" t="s">
        <v>3642</v>
      </c>
      <c r="F2605" t="s">
        <v>3642</v>
      </c>
      <c r="G2605" s="1">
        <v>44434</v>
      </c>
      <c r="H2605" s="1">
        <v>44438</v>
      </c>
      <c r="I2605" t="s">
        <v>189</v>
      </c>
      <c r="J2605">
        <v>1</v>
      </c>
      <c r="L2605" t="s">
        <v>7166</v>
      </c>
      <c r="Q2605" t="s">
        <v>260</v>
      </c>
      <c r="R2605" t="s">
        <v>261</v>
      </c>
      <c r="S2605" t="s">
        <v>261</v>
      </c>
      <c r="T2605" t="s">
        <v>261</v>
      </c>
      <c r="U2605" t="s">
        <v>261</v>
      </c>
      <c r="V2605" t="s">
        <v>262</v>
      </c>
      <c r="W2605" t="s">
        <v>261</v>
      </c>
      <c r="X2605" t="s">
        <v>261</v>
      </c>
      <c r="Y2605" t="s">
        <v>261</v>
      </c>
      <c r="AD2605" t="s">
        <v>261</v>
      </c>
      <c r="AH2605" t="s">
        <v>262</v>
      </c>
      <c r="AI2605" t="s">
        <v>261</v>
      </c>
      <c r="AJ2605" t="s">
        <v>261</v>
      </c>
      <c r="AK2605" t="s">
        <v>261</v>
      </c>
      <c r="AM2605" t="s">
        <v>262</v>
      </c>
      <c r="AN2605" t="s">
        <v>7167</v>
      </c>
    </row>
    <row r="2606" spans="1:40" x14ac:dyDescent="0.35">
      <c r="A2606">
        <v>6714634</v>
      </c>
      <c r="B2606" t="s">
        <v>7168</v>
      </c>
      <c r="C2606" t="str">
        <f>"9783658345686"</f>
        <v>9783658345686</v>
      </c>
      <c r="D2606" t="str">
        <f>"9783658345693"</f>
        <v>9783658345693</v>
      </c>
      <c r="E2606" t="s">
        <v>3972</v>
      </c>
      <c r="F2606" t="s">
        <v>3972</v>
      </c>
      <c r="G2606" s="1">
        <v>44437</v>
      </c>
      <c r="H2606" s="1">
        <v>44676</v>
      </c>
      <c r="I2606" t="s">
        <v>189</v>
      </c>
      <c r="K2606" t="s">
        <v>7169</v>
      </c>
      <c r="L2606" t="s">
        <v>7170</v>
      </c>
      <c r="M2606" t="s">
        <v>249</v>
      </c>
      <c r="N2606" t="s">
        <v>5250</v>
      </c>
      <c r="Q2606" t="s">
        <v>260</v>
      </c>
      <c r="R2606" t="s">
        <v>261</v>
      </c>
      <c r="S2606" t="s">
        <v>261</v>
      </c>
      <c r="T2606" t="s">
        <v>261</v>
      </c>
      <c r="U2606" t="s">
        <v>262</v>
      </c>
      <c r="V2606" t="s">
        <v>262</v>
      </c>
      <c r="W2606" t="s">
        <v>261</v>
      </c>
      <c r="X2606" t="s">
        <v>262</v>
      </c>
      <c r="Y2606" t="s">
        <v>261</v>
      </c>
      <c r="Z2606" t="s">
        <v>409</v>
      </c>
      <c r="AA2606" t="s">
        <v>409</v>
      </c>
      <c r="AB2606" t="s">
        <v>409</v>
      </c>
      <c r="AC2606" t="s">
        <v>409</v>
      </c>
      <c r="AD2606" t="s">
        <v>261</v>
      </c>
      <c r="AH2606" t="s">
        <v>262</v>
      </c>
      <c r="AI2606" t="s">
        <v>262</v>
      </c>
      <c r="AJ2606" t="s">
        <v>261</v>
      </c>
      <c r="AK2606" t="s">
        <v>261</v>
      </c>
      <c r="AM2606" t="s">
        <v>262</v>
      </c>
      <c r="AN2606" t="s">
        <v>7171</v>
      </c>
    </row>
    <row r="2607" spans="1:40" x14ac:dyDescent="0.35">
      <c r="A2607">
        <v>6715041</v>
      </c>
      <c r="B2607" t="s">
        <v>7172</v>
      </c>
      <c r="C2607" t="str">
        <f>""</f>
        <v/>
      </c>
      <c r="D2607" t="str">
        <f>"9782759232918"</f>
        <v>9782759232918</v>
      </c>
      <c r="E2607" t="s">
        <v>1928</v>
      </c>
      <c r="F2607" t="s">
        <v>1928</v>
      </c>
      <c r="G2607" s="1">
        <v>44385</v>
      </c>
      <c r="H2607" s="1">
        <v>44462</v>
      </c>
      <c r="I2607" t="s">
        <v>189</v>
      </c>
      <c r="K2607" t="s">
        <v>1948</v>
      </c>
      <c r="L2607" t="s">
        <v>7173</v>
      </c>
    </row>
    <row r="2608" spans="1:40" x14ac:dyDescent="0.35">
      <c r="A2608">
        <v>6715042</v>
      </c>
      <c r="B2608" t="s">
        <v>7174</v>
      </c>
      <c r="C2608" t="str">
        <f>""</f>
        <v/>
      </c>
      <c r="D2608" t="str">
        <f>"9782759233274"</f>
        <v>9782759233274</v>
      </c>
      <c r="E2608" t="s">
        <v>1928</v>
      </c>
      <c r="F2608" t="s">
        <v>1928</v>
      </c>
      <c r="G2608" s="1">
        <v>44357</v>
      </c>
      <c r="H2608" s="1">
        <v>44462</v>
      </c>
      <c r="I2608" t="s">
        <v>189</v>
      </c>
      <c r="J2608">
        <v>1</v>
      </c>
      <c r="K2608" t="s">
        <v>7175</v>
      </c>
      <c r="L2608" t="s">
        <v>7176</v>
      </c>
    </row>
    <row r="2609" spans="1:40" x14ac:dyDescent="0.35">
      <c r="A2609">
        <v>6715872</v>
      </c>
      <c r="B2609" t="s">
        <v>7177</v>
      </c>
      <c r="C2609" t="str">
        <f>"9781478013723"</f>
        <v>9781478013723</v>
      </c>
      <c r="D2609" t="str">
        <f>"9781478021957"</f>
        <v>9781478021957</v>
      </c>
      <c r="E2609" t="s">
        <v>687</v>
      </c>
      <c r="F2609" t="s">
        <v>687</v>
      </c>
      <c r="G2609" s="1">
        <v>44519</v>
      </c>
      <c r="H2609" s="1">
        <v>44440</v>
      </c>
      <c r="I2609" t="s">
        <v>189</v>
      </c>
      <c r="J2609">
        <v>1</v>
      </c>
      <c r="L2609" t="s">
        <v>7178</v>
      </c>
    </row>
    <row r="2610" spans="1:40" x14ac:dyDescent="0.35">
      <c r="A2610">
        <v>6716486</v>
      </c>
      <c r="B2610" t="s">
        <v>7179</v>
      </c>
      <c r="C2610" t="str">
        <f>"9780472131747"</f>
        <v>9780472131747</v>
      </c>
      <c r="D2610" t="str">
        <f>"9780472901234"</f>
        <v>9780472901234</v>
      </c>
      <c r="E2610" t="s">
        <v>2090</v>
      </c>
      <c r="F2610" t="s">
        <v>2090</v>
      </c>
      <c r="G2610" s="1">
        <v>43920</v>
      </c>
      <c r="H2610" s="1">
        <v>44462</v>
      </c>
      <c r="I2610" t="s">
        <v>189</v>
      </c>
      <c r="L2610" t="s">
        <v>7180</v>
      </c>
    </row>
    <row r="2611" spans="1:40" x14ac:dyDescent="0.35">
      <c r="A2611">
        <v>6716487</v>
      </c>
      <c r="B2611" t="s">
        <v>7181</v>
      </c>
      <c r="C2611" t="str">
        <f>"9780472073719"</f>
        <v>9780472073719</v>
      </c>
      <c r="D2611" t="str">
        <f>"9780472900725"</f>
        <v>9780472900725</v>
      </c>
      <c r="E2611" t="s">
        <v>2090</v>
      </c>
      <c r="F2611" t="s">
        <v>2090</v>
      </c>
      <c r="G2611" s="1">
        <v>43061</v>
      </c>
      <c r="H2611" s="1">
        <v>44462</v>
      </c>
      <c r="I2611" t="s">
        <v>189</v>
      </c>
      <c r="K2611" t="s">
        <v>2172</v>
      </c>
      <c r="L2611" t="s">
        <v>7182</v>
      </c>
      <c r="M2611" t="s">
        <v>323</v>
      </c>
      <c r="N2611" t="s">
        <v>7183</v>
      </c>
      <c r="O2611" s="2">
        <v>3780087</v>
      </c>
      <c r="Q2611" t="s">
        <v>260</v>
      </c>
      <c r="R2611" t="s">
        <v>261</v>
      </c>
      <c r="S2611" t="s">
        <v>261</v>
      </c>
      <c r="T2611" t="s">
        <v>261</v>
      </c>
      <c r="U2611" t="s">
        <v>261</v>
      </c>
      <c r="V2611" t="s">
        <v>262</v>
      </c>
      <c r="W2611" t="s">
        <v>261</v>
      </c>
      <c r="X2611" t="s">
        <v>261</v>
      </c>
      <c r="Y2611" t="s">
        <v>261</v>
      </c>
      <c r="AA2611" t="s">
        <v>409</v>
      </c>
      <c r="AB2611" t="s">
        <v>409</v>
      </c>
      <c r="AC2611" t="s">
        <v>409</v>
      </c>
      <c r="AD2611" t="s">
        <v>261</v>
      </c>
      <c r="AH2611" t="s">
        <v>262</v>
      </c>
      <c r="AI2611" t="s">
        <v>262</v>
      </c>
      <c r="AJ2611" t="s">
        <v>261</v>
      </c>
      <c r="AK2611" t="s">
        <v>261</v>
      </c>
      <c r="AM2611" t="s">
        <v>262</v>
      </c>
      <c r="AN2611" t="s">
        <v>7184</v>
      </c>
    </row>
    <row r="2612" spans="1:40" x14ac:dyDescent="0.35">
      <c r="A2612">
        <v>6716489</v>
      </c>
      <c r="B2612" t="s">
        <v>7185</v>
      </c>
      <c r="C2612" t="str">
        <f>"9780891480273"</f>
        <v>9780891480273</v>
      </c>
      <c r="D2612" t="str">
        <f>"9780472901647"</f>
        <v>9780472901647</v>
      </c>
      <c r="E2612" t="s">
        <v>6145</v>
      </c>
      <c r="F2612" t="s">
        <v>6145</v>
      </c>
      <c r="G2612" s="1">
        <v>30711</v>
      </c>
      <c r="H2612" s="1">
        <v>44462</v>
      </c>
      <c r="I2612" t="s">
        <v>189</v>
      </c>
      <c r="K2612" t="s">
        <v>6146</v>
      </c>
      <c r="L2612" t="s">
        <v>7186</v>
      </c>
    </row>
    <row r="2613" spans="1:40" x14ac:dyDescent="0.35">
      <c r="A2613">
        <v>6716612</v>
      </c>
      <c r="B2613" t="s">
        <v>7187</v>
      </c>
      <c r="C2613" t="str">
        <f>""</f>
        <v/>
      </c>
      <c r="D2613" t="str">
        <f>"9782759233823"</f>
        <v>9782759233823</v>
      </c>
      <c r="E2613" t="s">
        <v>1928</v>
      </c>
      <c r="F2613" t="s">
        <v>1928</v>
      </c>
      <c r="G2613" s="1">
        <v>44440</v>
      </c>
      <c r="H2613" s="1">
        <v>44462</v>
      </c>
      <c r="I2613" t="s">
        <v>189</v>
      </c>
      <c r="J2613">
        <v>1</v>
      </c>
      <c r="K2613" t="s">
        <v>1948</v>
      </c>
      <c r="L2613" t="s">
        <v>7188</v>
      </c>
    </row>
    <row r="2614" spans="1:40" x14ac:dyDescent="0.35">
      <c r="A2614">
        <v>6716674</v>
      </c>
      <c r="B2614" t="s">
        <v>7189</v>
      </c>
      <c r="C2614" t="str">
        <f>"9783030694401"</f>
        <v>9783030694401</v>
      </c>
      <c r="D2614" t="str">
        <f>"9783030694418"</f>
        <v>9783030694418</v>
      </c>
      <c r="E2614" t="s">
        <v>2289</v>
      </c>
      <c r="F2614" t="s">
        <v>2290</v>
      </c>
      <c r="G2614" s="1">
        <v>44440</v>
      </c>
      <c r="H2614" s="1">
        <v>44676</v>
      </c>
      <c r="I2614" t="s">
        <v>189</v>
      </c>
      <c r="K2614" t="s">
        <v>1208</v>
      </c>
      <c r="L2614" t="s">
        <v>7190</v>
      </c>
    </row>
    <row r="2615" spans="1:40" x14ac:dyDescent="0.35">
      <c r="A2615">
        <v>6716675</v>
      </c>
      <c r="B2615" t="s">
        <v>7191</v>
      </c>
      <c r="C2615" t="str">
        <f>"9783030757458"</f>
        <v>9783030757458</v>
      </c>
      <c r="D2615" t="str">
        <f>"9783030757465"</f>
        <v>9783030757465</v>
      </c>
      <c r="E2615" t="s">
        <v>2289</v>
      </c>
      <c r="F2615" t="s">
        <v>2290</v>
      </c>
      <c r="G2615" s="1">
        <v>44440</v>
      </c>
      <c r="H2615" s="1">
        <v>44676</v>
      </c>
      <c r="I2615" t="s">
        <v>189</v>
      </c>
      <c r="K2615" t="s">
        <v>4096</v>
      </c>
      <c r="L2615" t="s">
        <v>7192</v>
      </c>
    </row>
    <row r="2616" spans="1:40" x14ac:dyDescent="0.35">
      <c r="A2616">
        <v>6716676</v>
      </c>
      <c r="B2616" t="s">
        <v>7193</v>
      </c>
      <c r="C2616" t="str">
        <f>"9783658351441"</f>
        <v>9783658351441</v>
      </c>
      <c r="D2616" t="str">
        <f>"9783658351458"</f>
        <v>9783658351458</v>
      </c>
      <c r="E2616" t="s">
        <v>3972</v>
      </c>
      <c r="F2616" t="s">
        <v>3972</v>
      </c>
      <c r="G2616" s="1">
        <v>44440</v>
      </c>
      <c r="H2616" s="1">
        <v>44676</v>
      </c>
      <c r="I2616" t="s">
        <v>189</v>
      </c>
      <c r="L2616" t="s">
        <v>7194</v>
      </c>
      <c r="M2616" t="s">
        <v>249</v>
      </c>
      <c r="N2616" t="s">
        <v>7195</v>
      </c>
      <c r="Q2616" t="s">
        <v>408</v>
      </c>
      <c r="R2616" t="s">
        <v>261</v>
      </c>
      <c r="S2616" t="s">
        <v>261</v>
      </c>
      <c r="T2616" t="s">
        <v>261</v>
      </c>
      <c r="U2616" t="s">
        <v>262</v>
      </c>
      <c r="V2616" t="s">
        <v>262</v>
      </c>
      <c r="W2616" t="s">
        <v>261</v>
      </c>
      <c r="X2616" t="s">
        <v>262</v>
      </c>
      <c r="Y2616" t="s">
        <v>261</v>
      </c>
      <c r="Z2616" t="s">
        <v>409</v>
      </c>
      <c r="AA2616" t="s">
        <v>409</v>
      </c>
      <c r="AB2616" t="s">
        <v>409</v>
      </c>
      <c r="AC2616" t="s">
        <v>409</v>
      </c>
      <c r="AD2616" t="s">
        <v>261</v>
      </c>
      <c r="AH2616" t="s">
        <v>262</v>
      </c>
      <c r="AI2616" t="s">
        <v>262</v>
      </c>
      <c r="AJ2616" t="s">
        <v>261</v>
      </c>
      <c r="AK2616" t="s">
        <v>261</v>
      </c>
      <c r="AM2616" t="s">
        <v>262</v>
      </c>
      <c r="AN2616" t="s">
        <v>7196</v>
      </c>
    </row>
    <row r="2617" spans="1:40" x14ac:dyDescent="0.35">
      <c r="A2617">
        <v>6716677</v>
      </c>
      <c r="B2617" t="s">
        <v>7197</v>
      </c>
      <c r="C2617" t="str">
        <f>"9783658331030"</f>
        <v>9783658331030</v>
      </c>
      <c r="D2617" t="str">
        <f>"9783658331047"</f>
        <v>9783658331047</v>
      </c>
      <c r="E2617" t="s">
        <v>3972</v>
      </c>
      <c r="F2617" t="s">
        <v>3998</v>
      </c>
      <c r="G2617" s="1">
        <v>44440</v>
      </c>
      <c r="H2617" s="1">
        <v>44676</v>
      </c>
      <c r="I2617" t="s">
        <v>189</v>
      </c>
      <c r="K2617" t="s">
        <v>7198</v>
      </c>
      <c r="L2617" t="s">
        <v>7199</v>
      </c>
      <c r="M2617" t="s">
        <v>329</v>
      </c>
      <c r="N2617" t="s">
        <v>7200</v>
      </c>
      <c r="Q2617" t="s">
        <v>408</v>
      </c>
      <c r="R2617" t="s">
        <v>261</v>
      </c>
      <c r="S2617" t="s">
        <v>261</v>
      </c>
      <c r="T2617" t="s">
        <v>261</v>
      </c>
      <c r="U2617" t="s">
        <v>262</v>
      </c>
      <c r="V2617" t="s">
        <v>262</v>
      </c>
      <c r="W2617" t="s">
        <v>261</v>
      </c>
      <c r="X2617" t="s">
        <v>262</v>
      </c>
      <c r="Y2617" t="s">
        <v>261</v>
      </c>
      <c r="Z2617" t="s">
        <v>409</v>
      </c>
      <c r="AA2617" t="s">
        <v>409</v>
      </c>
      <c r="AB2617" t="s">
        <v>409</v>
      </c>
      <c r="AC2617" t="s">
        <v>409</v>
      </c>
      <c r="AD2617" t="s">
        <v>261</v>
      </c>
      <c r="AH2617" t="s">
        <v>262</v>
      </c>
      <c r="AI2617" t="s">
        <v>262</v>
      </c>
      <c r="AJ2617" t="s">
        <v>261</v>
      </c>
      <c r="AK2617" t="s">
        <v>261</v>
      </c>
      <c r="AM2617" t="s">
        <v>262</v>
      </c>
      <c r="AN2617" t="s">
        <v>7201</v>
      </c>
    </row>
    <row r="2618" spans="1:40" x14ac:dyDescent="0.35">
      <c r="A2618">
        <v>6717895</v>
      </c>
      <c r="B2618" t="s">
        <v>7202</v>
      </c>
      <c r="C2618" t="str">
        <f>"9783030787233"</f>
        <v>9783030787233</v>
      </c>
      <c r="D2618" t="str">
        <f>"9783030787240"</f>
        <v>9783030787240</v>
      </c>
      <c r="E2618" t="s">
        <v>2289</v>
      </c>
      <c r="F2618" t="s">
        <v>2663</v>
      </c>
      <c r="G2618" s="1">
        <v>44441</v>
      </c>
      <c r="H2618" s="1">
        <v>44676</v>
      </c>
      <c r="I2618" t="s">
        <v>189</v>
      </c>
      <c r="J2618">
        <v>2</v>
      </c>
      <c r="L2618" t="s">
        <v>7203</v>
      </c>
      <c r="M2618" t="s">
        <v>329</v>
      </c>
    </row>
    <row r="2619" spans="1:40" x14ac:dyDescent="0.35">
      <c r="A2619">
        <v>6717896</v>
      </c>
      <c r="B2619" t="s">
        <v>7204</v>
      </c>
      <c r="C2619" t="str">
        <f>"9783030672447"</f>
        <v>9783030672447</v>
      </c>
      <c r="D2619" t="str">
        <f>"9783030672454"</f>
        <v>9783030672454</v>
      </c>
      <c r="E2619" t="s">
        <v>2289</v>
      </c>
      <c r="F2619" t="s">
        <v>2290</v>
      </c>
      <c r="G2619" s="1">
        <v>44441</v>
      </c>
      <c r="H2619" s="1">
        <v>44676</v>
      </c>
      <c r="I2619" t="s">
        <v>189</v>
      </c>
      <c r="L2619" t="s">
        <v>7205</v>
      </c>
    </row>
    <row r="2620" spans="1:40" x14ac:dyDescent="0.35">
      <c r="A2620">
        <v>6719370</v>
      </c>
      <c r="B2620" t="s">
        <v>7206</v>
      </c>
      <c r="C2620" t="str">
        <f>"9783030796747"</f>
        <v>9783030796747</v>
      </c>
      <c r="D2620" t="str">
        <f>"9783030796754"</f>
        <v>9783030796754</v>
      </c>
      <c r="E2620" t="s">
        <v>2289</v>
      </c>
      <c r="F2620" t="s">
        <v>2663</v>
      </c>
      <c r="G2620" s="1">
        <v>44442</v>
      </c>
      <c r="H2620" s="1">
        <v>44676</v>
      </c>
      <c r="I2620" t="s">
        <v>189</v>
      </c>
      <c r="K2620" t="s">
        <v>7207</v>
      </c>
      <c r="L2620" t="s">
        <v>7208</v>
      </c>
      <c r="M2620" t="s">
        <v>1687</v>
      </c>
      <c r="N2620" t="s">
        <v>7209</v>
      </c>
      <c r="O2620" t="s">
        <v>7210</v>
      </c>
      <c r="Q2620" t="s">
        <v>260</v>
      </c>
      <c r="R2620" t="s">
        <v>261</v>
      </c>
      <c r="S2620" t="s">
        <v>261</v>
      </c>
      <c r="T2620" t="s">
        <v>261</v>
      </c>
      <c r="U2620" t="s">
        <v>262</v>
      </c>
      <c r="V2620" t="s">
        <v>262</v>
      </c>
      <c r="W2620" t="s">
        <v>261</v>
      </c>
      <c r="X2620" t="s">
        <v>262</v>
      </c>
      <c r="Y2620" t="s">
        <v>261</v>
      </c>
      <c r="Z2620" t="s">
        <v>409</v>
      </c>
      <c r="AA2620" t="s">
        <v>409</v>
      </c>
      <c r="AB2620" t="s">
        <v>409</v>
      </c>
      <c r="AC2620" t="s">
        <v>409</v>
      </c>
      <c r="AD2620" t="s">
        <v>261</v>
      </c>
      <c r="AH2620" t="s">
        <v>262</v>
      </c>
      <c r="AI2620" t="s">
        <v>262</v>
      </c>
      <c r="AJ2620" t="s">
        <v>261</v>
      </c>
      <c r="AK2620" t="s">
        <v>261</v>
      </c>
      <c r="AM2620" t="s">
        <v>262</v>
      </c>
      <c r="AN2620" t="s">
        <v>7211</v>
      </c>
    </row>
    <row r="2621" spans="1:40" x14ac:dyDescent="0.35">
      <c r="A2621">
        <v>6719986</v>
      </c>
      <c r="B2621" t="s">
        <v>7212</v>
      </c>
      <c r="C2621" t="str">
        <f>"9783030805104"</f>
        <v>9783030805104</v>
      </c>
      <c r="D2621" t="str">
        <f>"9783030805111"</f>
        <v>9783030805111</v>
      </c>
      <c r="E2621" t="s">
        <v>2289</v>
      </c>
      <c r="F2621" t="s">
        <v>2290</v>
      </c>
      <c r="G2621" s="1">
        <v>44443</v>
      </c>
      <c r="H2621" s="1">
        <v>44694</v>
      </c>
      <c r="I2621" t="s">
        <v>189</v>
      </c>
      <c r="K2621" t="s">
        <v>4002</v>
      </c>
      <c r="L2621" t="s">
        <v>7213</v>
      </c>
    </row>
    <row r="2622" spans="1:40" x14ac:dyDescent="0.35">
      <c r="A2622">
        <v>6720001</v>
      </c>
      <c r="B2622" t="s">
        <v>7214</v>
      </c>
      <c r="C2622" t="str">
        <f>""</f>
        <v/>
      </c>
      <c r="D2622" t="str">
        <f>"9789179296063"</f>
        <v>9789179296063</v>
      </c>
      <c r="E2622" t="s">
        <v>3642</v>
      </c>
      <c r="F2622" t="s">
        <v>3642</v>
      </c>
      <c r="G2622" s="1">
        <v>44439</v>
      </c>
      <c r="H2622" s="1">
        <v>44445</v>
      </c>
      <c r="I2622" t="s">
        <v>189</v>
      </c>
      <c r="J2622">
        <v>1</v>
      </c>
      <c r="L2622" t="s">
        <v>7215</v>
      </c>
      <c r="Q2622" t="s">
        <v>260</v>
      </c>
      <c r="R2622" t="s">
        <v>261</v>
      </c>
      <c r="S2622" t="s">
        <v>261</v>
      </c>
      <c r="T2622" t="s">
        <v>261</v>
      </c>
      <c r="U2622" t="s">
        <v>261</v>
      </c>
      <c r="V2622" t="s">
        <v>262</v>
      </c>
      <c r="W2622" t="s">
        <v>261</v>
      </c>
      <c r="X2622" t="s">
        <v>261</v>
      </c>
      <c r="Y2622" t="s">
        <v>261</v>
      </c>
      <c r="AD2622" t="s">
        <v>261</v>
      </c>
      <c r="AH2622" t="s">
        <v>262</v>
      </c>
      <c r="AI2622" t="s">
        <v>261</v>
      </c>
      <c r="AJ2622" t="s">
        <v>261</v>
      </c>
      <c r="AK2622" t="s">
        <v>261</v>
      </c>
      <c r="AM2622" t="s">
        <v>262</v>
      </c>
      <c r="AN2622" t="s">
        <v>7216</v>
      </c>
    </row>
    <row r="2623" spans="1:40" x14ac:dyDescent="0.35">
      <c r="A2623">
        <v>6720002</v>
      </c>
      <c r="B2623" t="s">
        <v>7217</v>
      </c>
      <c r="C2623" t="str">
        <f>""</f>
        <v/>
      </c>
      <c r="D2623" t="str">
        <f>"9789179290016"</f>
        <v>9789179290016</v>
      </c>
      <c r="E2623" t="s">
        <v>3642</v>
      </c>
      <c r="F2623" t="s">
        <v>3642</v>
      </c>
      <c r="G2623" s="1">
        <v>44439</v>
      </c>
      <c r="H2623" s="1">
        <v>44445</v>
      </c>
      <c r="I2623" t="s">
        <v>189</v>
      </c>
      <c r="J2623">
        <v>1</v>
      </c>
      <c r="L2623" t="s">
        <v>7218</v>
      </c>
      <c r="Q2623" t="s">
        <v>260</v>
      </c>
      <c r="R2623" t="s">
        <v>261</v>
      </c>
      <c r="S2623" t="s">
        <v>261</v>
      </c>
      <c r="T2623" t="s">
        <v>261</v>
      </c>
      <c r="U2623" t="s">
        <v>261</v>
      </c>
      <c r="V2623" t="s">
        <v>262</v>
      </c>
      <c r="W2623" t="s">
        <v>261</v>
      </c>
      <c r="X2623" t="s">
        <v>261</v>
      </c>
      <c r="Y2623" t="s">
        <v>261</v>
      </c>
      <c r="AD2623" t="s">
        <v>261</v>
      </c>
      <c r="AH2623" t="s">
        <v>262</v>
      </c>
      <c r="AI2623" t="s">
        <v>261</v>
      </c>
      <c r="AJ2623" t="s">
        <v>261</v>
      </c>
      <c r="AK2623" t="s">
        <v>261</v>
      </c>
      <c r="AM2623" t="s">
        <v>262</v>
      </c>
      <c r="AN2623" t="s">
        <v>7219</v>
      </c>
    </row>
    <row r="2624" spans="1:40" x14ac:dyDescent="0.35">
      <c r="A2624">
        <v>6720003</v>
      </c>
      <c r="B2624" t="s">
        <v>7220</v>
      </c>
      <c r="C2624" t="str">
        <f>""</f>
        <v/>
      </c>
      <c r="D2624" t="str">
        <f>"9789179296049"</f>
        <v>9789179296049</v>
      </c>
      <c r="E2624" t="s">
        <v>3642</v>
      </c>
      <c r="F2624" t="s">
        <v>3642</v>
      </c>
      <c r="G2624" s="1">
        <v>44354</v>
      </c>
      <c r="H2624" s="1">
        <v>44445</v>
      </c>
      <c r="I2624" t="s">
        <v>189</v>
      </c>
      <c r="J2624">
        <v>1</v>
      </c>
      <c r="L2624" t="s">
        <v>7221</v>
      </c>
      <c r="Q2624" t="s">
        <v>260</v>
      </c>
      <c r="R2624" t="s">
        <v>261</v>
      </c>
      <c r="S2624" t="s">
        <v>261</v>
      </c>
      <c r="T2624" t="s">
        <v>261</v>
      </c>
      <c r="U2624" t="s">
        <v>261</v>
      </c>
      <c r="V2624" t="s">
        <v>262</v>
      </c>
      <c r="W2624" t="s">
        <v>261</v>
      </c>
      <c r="X2624" t="s">
        <v>261</v>
      </c>
      <c r="Y2624" t="s">
        <v>261</v>
      </c>
      <c r="AD2624" t="s">
        <v>261</v>
      </c>
      <c r="AH2624" t="s">
        <v>262</v>
      </c>
      <c r="AI2624" t="s">
        <v>261</v>
      </c>
      <c r="AJ2624" t="s">
        <v>261</v>
      </c>
      <c r="AK2624" t="s">
        <v>261</v>
      </c>
      <c r="AM2624" t="s">
        <v>262</v>
      </c>
      <c r="AN2624" t="s">
        <v>7222</v>
      </c>
    </row>
    <row r="2625" spans="1:40" x14ac:dyDescent="0.35">
      <c r="A2625">
        <v>6720004</v>
      </c>
      <c r="B2625" t="s">
        <v>7223</v>
      </c>
      <c r="C2625" t="str">
        <f>""</f>
        <v/>
      </c>
      <c r="D2625" t="str">
        <f>"9789179296100"</f>
        <v>9789179296100</v>
      </c>
      <c r="E2625" t="s">
        <v>3642</v>
      </c>
      <c r="F2625" t="s">
        <v>3642</v>
      </c>
      <c r="G2625" s="1">
        <v>44426</v>
      </c>
      <c r="H2625" s="1">
        <v>44445</v>
      </c>
      <c r="I2625" t="s">
        <v>189</v>
      </c>
      <c r="J2625">
        <v>1</v>
      </c>
      <c r="L2625" t="s">
        <v>7224</v>
      </c>
      <c r="Q2625" t="s">
        <v>260</v>
      </c>
      <c r="R2625" t="s">
        <v>261</v>
      </c>
      <c r="S2625" t="s">
        <v>261</v>
      </c>
      <c r="T2625" t="s">
        <v>261</v>
      </c>
      <c r="U2625" t="s">
        <v>261</v>
      </c>
      <c r="V2625" t="s">
        <v>262</v>
      </c>
      <c r="W2625" t="s">
        <v>261</v>
      </c>
      <c r="X2625" t="s">
        <v>261</v>
      </c>
      <c r="Y2625" t="s">
        <v>261</v>
      </c>
      <c r="AD2625" t="s">
        <v>261</v>
      </c>
      <c r="AH2625" t="s">
        <v>262</v>
      </c>
      <c r="AI2625" t="s">
        <v>261</v>
      </c>
      <c r="AJ2625" t="s">
        <v>261</v>
      </c>
      <c r="AK2625" t="s">
        <v>261</v>
      </c>
      <c r="AM2625" t="s">
        <v>262</v>
      </c>
      <c r="AN2625" t="s">
        <v>7225</v>
      </c>
    </row>
    <row r="2626" spans="1:40" x14ac:dyDescent="0.35">
      <c r="A2626">
        <v>6720005</v>
      </c>
      <c r="B2626" t="s">
        <v>7226</v>
      </c>
      <c r="C2626" t="str">
        <f>""</f>
        <v/>
      </c>
      <c r="D2626" t="str">
        <f>"9789179296476"</f>
        <v>9789179296476</v>
      </c>
      <c r="E2626" t="s">
        <v>3642</v>
      </c>
      <c r="F2626" t="s">
        <v>3642</v>
      </c>
      <c r="G2626" s="1">
        <v>44438</v>
      </c>
      <c r="H2626" s="1">
        <v>44452</v>
      </c>
      <c r="I2626" t="s">
        <v>189</v>
      </c>
      <c r="J2626">
        <v>1</v>
      </c>
      <c r="L2626" t="s">
        <v>7227</v>
      </c>
      <c r="Q2626" t="s">
        <v>260</v>
      </c>
      <c r="R2626" t="s">
        <v>261</v>
      </c>
      <c r="S2626" t="s">
        <v>261</v>
      </c>
      <c r="T2626" t="s">
        <v>261</v>
      </c>
      <c r="U2626" t="s">
        <v>261</v>
      </c>
      <c r="V2626" t="s">
        <v>262</v>
      </c>
      <c r="W2626" t="s">
        <v>261</v>
      </c>
      <c r="X2626" t="s">
        <v>261</v>
      </c>
      <c r="Y2626" t="s">
        <v>261</v>
      </c>
      <c r="AD2626" t="s">
        <v>261</v>
      </c>
      <c r="AH2626" t="s">
        <v>262</v>
      </c>
      <c r="AI2626" t="s">
        <v>261</v>
      </c>
      <c r="AJ2626" t="s">
        <v>261</v>
      </c>
      <c r="AK2626" t="s">
        <v>261</v>
      </c>
      <c r="AM2626" t="s">
        <v>262</v>
      </c>
      <c r="AN2626" t="s">
        <v>7228</v>
      </c>
    </row>
    <row r="2627" spans="1:40" x14ac:dyDescent="0.35">
      <c r="A2627">
        <v>6720434</v>
      </c>
      <c r="B2627" t="s">
        <v>7229</v>
      </c>
      <c r="C2627" t="str">
        <f>"9789811651373"</f>
        <v>9789811651373</v>
      </c>
      <c r="D2627" t="str">
        <f>"9789811651380"</f>
        <v>9789811651380</v>
      </c>
      <c r="E2627" t="s">
        <v>3404</v>
      </c>
      <c r="F2627" t="s">
        <v>2290</v>
      </c>
      <c r="G2627" s="1">
        <v>44444</v>
      </c>
      <c r="H2627" s="1">
        <v>44676</v>
      </c>
      <c r="I2627" t="s">
        <v>189</v>
      </c>
      <c r="K2627" t="s">
        <v>4674</v>
      </c>
      <c r="L2627" t="s">
        <v>7230</v>
      </c>
    </row>
    <row r="2628" spans="1:40" x14ac:dyDescent="0.35">
      <c r="A2628">
        <v>6722061</v>
      </c>
      <c r="B2628" t="s">
        <v>7231</v>
      </c>
      <c r="C2628" t="str">
        <f>"9783030756444"</f>
        <v>9783030756444</v>
      </c>
      <c r="D2628" t="str">
        <f>"9783030756451"</f>
        <v>9783030756451</v>
      </c>
      <c r="E2628" t="s">
        <v>2289</v>
      </c>
      <c r="F2628" t="s">
        <v>2290</v>
      </c>
      <c r="G2628" s="1">
        <v>44447</v>
      </c>
      <c r="H2628" s="1">
        <v>44676</v>
      </c>
      <c r="I2628" t="s">
        <v>189</v>
      </c>
      <c r="K2628" t="s">
        <v>5529</v>
      </c>
      <c r="L2628" t="s">
        <v>7232</v>
      </c>
    </row>
    <row r="2629" spans="1:40" x14ac:dyDescent="0.35">
      <c r="A2629">
        <v>6722062</v>
      </c>
      <c r="B2629" t="s">
        <v>7233</v>
      </c>
      <c r="C2629" t="str">
        <f>"9789402420852"</f>
        <v>9789402420852</v>
      </c>
      <c r="D2629" t="str">
        <f>"9789402420869"</f>
        <v>9789402420869</v>
      </c>
      <c r="E2629" t="s">
        <v>4164</v>
      </c>
      <c r="F2629" t="s">
        <v>2290</v>
      </c>
      <c r="G2629" s="1">
        <v>44447</v>
      </c>
      <c r="H2629" s="1">
        <v>44676</v>
      </c>
      <c r="I2629" t="s">
        <v>189</v>
      </c>
      <c r="K2629" t="s">
        <v>7234</v>
      </c>
      <c r="L2629" t="s">
        <v>7235</v>
      </c>
    </row>
    <row r="2630" spans="1:40" x14ac:dyDescent="0.35">
      <c r="A2630">
        <v>6724812</v>
      </c>
      <c r="B2630" t="s">
        <v>7236</v>
      </c>
      <c r="C2630" t="str">
        <f>"9783030744939"</f>
        <v>9783030744939</v>
      </c>
      <c r="D2630" t="str">
        <f>"9783030744946"</f>
        <v>9783030744946</v>
      </c>
      <c r="E2630" t="s">
        <v>2289</v>
      </c>
      <c r="F2630" t="s">
        <v>2290</v>
      </c>
      <c r="G2630" s="1">
        <v>44449</v>
      </c>
      <c r="H2630" s="1">
        <v>44676</v>
      </c>
      <c r="I2630" t="s">
        <v>189</v>
      </c>
      <c r="K2630" t="s">
        <v>7237</v>
      </c>
      <c r="L2630" t="s">
        <v>7238</v>
      </c>
      <c r="M2630" t="s">
        <v>329</v>
      </c>
      <c r="N2630" t="s">
        <v>7200</v>
      </c>
      <c r="Q2630" t="s">
        <v>260</v>
      </c>
      <c r="R2630" t="s">
        <v>261</v>
      </c>
      <c r="S2630" t="s">
        <v>261</v>
      </c>
      <c r="T2630" t="s">
        <v>261</v>
      </c>
      <c r="U2630" t="s">
        <v>261</v>
      </c>
      <c r="V2630" t="s">
        <v>262</v>
      </c>
      <c r="W2630" t="s">
        <v>261</v>
      </c>
      <c r="X2630" t="s">
        <v>261</v>
      </c>
      <c r="Y2630" t="s">
        <v>261</v>
      </c>
      <c r="Z2630" t="s">
        <v>409</v>
      </c>
      <c r="AA2630" t="s">
        <v>409</v>
      </c>
      <c r="AB2630" t="s">
        <v>409</v>
      </c>
      <c r="AC2630" t="s">
        <v>409</v>
      </c>
      <c r="AD2630" t="s">
        <v>261</v>
      </c>
      <c r="AH2630" t="s">
        <v>262</v>
      </c>
      <c r="AI2630" t="s">
        <v>262</v>
      </c>
      <c r="AJ2630" t="s">
        <v>261</v>
      </c>
      <c r="AK2630" t="s">
        <v>261</v>
      </c>
      <c r="AM2630" t="s">
        <v>262</v>
      </c>
      <c r="AN2630" t="s">
        <v>7239</v>
      </c>
    </row>
    <row r="2631" spans="1:40" x14ac:dyDescent="0.35">
      <c r="A2631">
        <v>6724813</v>
      </c>
      <c r="B2631" t="s">
        <v>7240</v>
      </c>
      <c r="C2631" t="str">
        <f>"9783658350697"</f>
        <v>9783658350697</v>
      </c>
      <c r="D2631" t="str">
        <f>"9783658350703"</f>
        <v>9783658350703</v>
      </c>
      <c r="E2631" t="s">
        <v>3972</v>
      </c>
      <c r="F2631" t="s">
        <v>3998</v>
      </c>
      <c r="G2631" s="1">
        <v>44449</v>
      </c>
      <c r="H2631" s="1">
        <v>44676</v>
      </c>
      <c r="I2631" t="s">
        <v>189</v>
      </c>
      <c r="L2631" t="s">
        <v>7241</v>
      </c>
      <c r="M2631" t="s">
        <v>323</v>
      </c>
      <c r="N2631" t="s">
        <v>7242</v>
      </c>
      <c r="Q2631" t="s">
        <v>408</v>
      </c>
      <c r="R2631" t="s">
        <v>261</v>
      </c>
      <c r="S2631" t="s">
        <v>261</v>
      </c>
      <c r="T2631" t="s">
        <v>261</v>
      </c>
      <c r="U2631" t="s">
        <v>261</v>
      </c>
      <c r="V2631" t="s">
        <v>262</v>
      </c>
      <c r="W2631" t="s">
        <v>261</v>
      </c>
      <c r="X2631" t="s">
        <v>261</v>
      </c>
      <c r="Y2631" t="s">
        <v>261</v>
      </c>
      <c r="Z2631" t="s">
        <v>409</v>
      </c>
      <c r="AA2631" t="s">
        <v>409</v>
      </c>
      <c r="AB2631" t="s">
        <v>409</v>
      </c>
      <c r="AC2631" t="s">
        <v>409</v>
      </c>
      <c r="AD2631" t="s">
        <v>261</v>
      </c>
      <c r="AH2631" t="s">
        <v>262</v>
      </c>
      <c r="AI2631" t="s">
        <v>262</v>
      </c>
      <c r="AJ2631" t="s">
        <v>261</v>
      </c>
      <c r="AK2631" t="s">
        <v>261</v>
      </c>
      <c r="AM2631" t="s">
        <v>262</v>
      </c>
      <c r="AN2631" t="s">
        <v>7243</v>
      </c>
    </row>
    <row r="2632" spans="1:40" x14ac:dyDescent="0.35">
      <c r="A2632">
        <v>6724954</v>
      </c>
      <c r="B2632" t="s">
        <v>7244</v>
      </c>
      <c r="C2632" t="str">
        <f>"9781978817920"</f>
        <v>9781978817920</v>
      </c>
      <c r="D2632" t="str">
        <f>"9781978817951"</f>
        <v>9781978817951</v>
      </c>
      <c r="E2632" t="s">
        <v>336</v>
      </c>
      <c r="F2632" t="s">
        <v>336</v>
      </c>
      <c r="G2632" s="1">
        <v>44484</v>
      </c>
      <c r="H2632" s="1">
        <v>44451</v>
      </c>
      <c r="I2632" t="s">
        <v>189</v>
      </c>
      <c r="J2632">
        <v>1</v>
      </c>
      <c r="K2632" t="s">
        <v>7245</v>
      </c>
      <c r="L2632" t="s">
        <v>7246</v>
      </c>
      <c r="M2632" t="s">
        <v>3181</v>
      </c>
    </row>
    <row r="2633" spans="1:40" x14ac:dyDescent="0.35">
      <c r="A2633">
        <v>6725018</v>
      </c>
      <c r="B2633" t="s">
        <v>7247</v>
      </c>
      <c r="C2633" t="str">
        <f>"9783030806576"</f>
        <v>9783030806576</v>
      </c>
      <c r="D2633" t="str">
        <f>"9783030806583"</f>
        <v>9783030806583</v>
      </c>
      <c r="E2633" t="s">
        <v>2289</v>
      </c>
      <c r="F2633" t="s">
        <v>2290</v>
      </c>
      <c r="G2633" s="1">
        <v>44450</v>
      </c>
      <c r="H2633" s="1">
        <v>44676</v>
      </c>
      <c r="I2633" t="s">
        <v>189</v>
      </c>
      <c r="K2633" t="s">
        <v>7248</v>
      </c>
      <c r="L2633" t="s">
        <v>7249</v>
      </c>
    </row>
    <row r="2634" spans="1:40" x14ac:dyDescent="0.35">
      <c r="A2634">
        <v>6725019</v>
      </c>
      <c r="B2634" t="s">
        <v>7250</v>
      </c>
      <c r="C2634" t="str">
        <f>"9783030638917"</f>
        <v>9783030638917</v>
      </c>
      <c r="D2634" t="str">
        <f>"9783030638924"</f>
        <v>9783030638924</v>
      </c>
      <c r="E2634" t="s">
        <v>2289</v>
      </c>
      <c r="F2634" t="s">
        <v>2290</v>
      </c>
      <c r="G2634" s="1">
        <v>44450</v>
      </c>
      <c r="H2634" s="1">
        <v>44676</v>
      </c>
      <c r="I2634" t="s">
        <v>189</v>
      </c>
      <c r="K2634" t="s">
        <v>7251</v>
      </c>
      <c r="L2634" t="s">
        <v>7252</v>
      </c>
    </row>
    <row r="2635" spans="1:40" x14ac:dyDescent="0.35">
      <c r="A2635">
        <v>6725030</v>
      </c>
      <c r="B2635" t="s">
        <v>7253</v>
      </c>
      <c r="C2635" t="str">
        <f>""</f>
        <v/>
      </c>
      <c r="D2635" t="str">
        <f>"9789179290221"</f>
        <v>9789179290221</v>
      </c>
      <c r="E2635" t="s">
        <v>3642</v>
      </c>
      <c r="F2635" t="s">
        <v>3642</v>
      </c>
      <c r="G2635" s="1">
        <v>44445</v>
      </c>
      <c r="H2635" s="1">
        <v>44459</v>
      </c>
      <c r="I2635" t="s">
        <v>189</v>
      </c>
      <c r="J2635">
        <v>1</v>
      </c>
      <c r="L2635" t="s">
        <v>7254</v>
      </c>
      <c r="Q2635" t="s">
        <v>260</v>
      </c>
      <c r="R2635" t="s">
        <v>261</v>
      </c>
      <c r="S2635" t="s">
        <v>261</v>
      </c>
      <c r="T2635" t="s">
        <v>261</v>
      </c>
      <c r="U2635" t="s">
        <v>261</v>
      </c>
      <c r="V2635" t="s">
        <v>262</v>
      </c>
      <c r="W2635" t="s">
        <v>261</v>
      </c>
      <c r="X2635" t="s">
        <v>261</v>
      </c>
      <c r="Y2635" t="s">
        <v>261</v>
      </c>
      <c r="AD2635" t="s">
        <v>261</v>
      </c>
      <c r="AH2635" t="s">
        <v>262</v>
      </c>
      <c r="AI2635" t="s">
        <v>261</v>
      </c>
      <c r="AJ2635" t="s">
        <v>261</v>
      </c>
      <c r="AK2635" t="s">
        <v>261</v>
      </c>
      <c r="AM2635" t="s">
        <v>262</v>
      </c>
      <c r="AN2635" t="s">
        <v>7255</v>
      </c>
    </row>
    <row r="2636" spans="1:40" x14ac:dyDescent="0.35">
      <c r="A2636">
        <v>6725031</v>
      </c>
      <c r="B2636" t="s">
        <v>7256</v>
      </c>
      <c r="C2636" t="str">
        <f>""</f>
        <v/>
      </c>
      <c r="D2636" t="str">
        <f>"9789179290061"</f>
        <v>9789179290061</v>
      </c>
      <c r="E2636" t="s">
        <v>3642</v>
      </c>
      <c r="F2636" t="s">
        <v>3642</v>
      </c>
      <c r="G2636" s="1">
        <v>44427</v>
      </c>
      <c r="H2636" s="1">
        <v>44459</v>
      </c>
      <c r="I2636" t="s">
        <v>189</v>
      </c>
      <c r="J2636">
        <v>1</v>
      </c>
      <c r="L2636" t="s">
        <v>7257</v>
      </c>
      <c r="Q2636" t="s">
        <v>260</v>
      </c>
      <c r="R2636" t="s">
        <v>261</v>
      </c>
      <c r="S2636" t="s">
        <v>261</v>
      </c>
      <c r="T2636" t="s">
        <v>261</v>
      </c>
      <c r="U2636" t="s">
        <v>261</v>
      </c>
      <c r="V2636" t="s">
        <v>262</v>
      </c>
      <c r="W2636" t="s">
        <v>261</v>
      </c>
      <c r="X2636" t="s">
        <v>261</v>
      </c>
      <c r="Y2636" t="s">
        <v>261</v>
      </c>
      <c r="AD2636" t="s">
        <v>261</v>
      </c>
      <c r="AH2636" t="s">
        <v>262</v>
      </c>
      <c r="AI2636" t="s">
        <v>261</v>
      </c>
      <c r="AJ2636" t="s">
        <v>261</v>
      </c>
      <c r="AK2636" t="s">
        <v>261</v>
      </c>
      <c r="AM2636" t="s">
        <v>262</v>
      </c>
      <c r="AN2636" t="s">
        <v>7258</v>
      </c>
    </row>
    <row r="2637" spans="1:40" x14ac:dyDescent="0.35">
      <c r="A2637">
        <v>6725199</v>
      </c>
      <c r="B2637" t="s">
        <v>7259</v>
      </c>
      <c r="C2637" t="str">
        <f>"9789811645778"</f>
        <v>9789811645778</v>
      </c>
      <c r="D2637" t="str">
        <f>"9789811645785"</f>
        <v>9789811645785</v>
      </c>
      <c r="E2637" t="s">
        <v>3404</v>
      </c>
      <c r="F2637" t="s">
        <v>2290</v>
      </c>
      <c r="G2637" s="1">
        <v>44451</v>
      </c>
      <c r="H2637" s="1">
        <v>44676</v>
      </c>
      <c r="I2637" t="s">
        <v>189</v>
      </c>
      <c r="K2637" t="s">
        <v>4882</v>
      </c>
      <c r="L2637" t="s">
        <v>7260</v>
      </c>
    </row>
    <row r="2638" spans="1:40" x14ac:dyDescent="0.35">
      <c r="A2638">
        <v>6726326</v>
      </c>
      <c r="B2638" t="s">
        <v>7261</v>
      </c>
      <c r="C2638" t="str">
        <f>"9781783749423"</f>
        <v>9781783749423</v>
      </c>
      <c r="D2638" t="str">
        <f>"9781783749430"</f>
        <v>9781783749430</v>
      </c>
      <c r="E2638" t="s">
        <v>1807</v>
      </c>
      <c r="F2638" t="s">
        <v>1807</v>
      </c>
      <c r="G2638" s="1">
        <v>44416</v>
      </c>
      <c r="H2638" s="1">
        <v>44454</v>
      </c>
      <c r="I2638" t="s">
        <v>189</v>
      </c>
      <c r="J2638">
        <v>1</v>
      </c>
      <c r="K2638" t="s">
        <v>3667</v>
      </c>
      <c r="L2638" t="s">
        <v>7262</v>
      </c>
      <c r="M2638" t="s">
        <v>676</v>
      </c>
    </row>
    <row r="2639" spans="1:40" x14ac:dyDescent="0.35">
      <c r="A2639">
        <v>6726436</v>
      </c>
      <c r="B2639" t="s">
        <v>7263</v>
      </c>
      <c r="C2639" t="str">
        <f>"9783658353827"</f>
        <v>9783658353827</v>
      </c>
      <c r="D2639" t="str">
        <f>"9783658353834"</f>
        <v>9783658353834</v>
      </c>
      <c r="E2639" t="s">
        <v>3972</v>
      </c>
      <c r="F2639" t="s">
        <v>3998</v>
      </c>
      <c r="G2639" s="1">
        <v>44453</v>
      </c>
      <c r="H2639" s="1">
        <v>44676</v>
      </c>
      <c r="I2639" t="s">
        <v>189</v>
      </c>
      <c r="K2639" t="s">
        <v>7264</v>
      </c>
      <c r="L2639" t="s">
        <v>7265</v>
      </c>
      <c r="M2639" t="s">
        <v>323</v>
      </c>
      <c r="N2639" t="s">
        <v>7266</v>
      </c>
      <c r="Q2639" t="s">
        <v>408</v>
      </c>
      <c r="R2639" t="s">
        <v>261</v>
      </c>
      <c r="S2639" t="s">
        <v>261</v>
      </c>
      <c r="T2639" t="s">
        <v>261</v>
      </c>
      <c r="U2639" t="s">
        <v>262</v>
      </c>
      <c r="V2639" t="s">
        <v>262</v>
      </c>
      <c r="W2639" t="s">
        <v>261</v>
      </c>
      <c r="X2639" t="s">
        <v>262</v>
      </c>
      <c r="Y2639" t="s">
        <v>261</v>
      </c>
      <c r="Z2639" t="s">
        <v>409</v>
      </c>
      <c r="AA2639" t="s">
        <v>409</v>
      </c>
      <c r="AB2639" t="s">
        <v>409</v>
      </c>
      <c r="AC2639" t="s">
        <v>409</v>
      </c>
      <c r="AD2639" t="s">
        <v>261</v>
      </c>
      <c r="AH2639" t="s">
        <v>262</v>
      </c>
      <c r="AI2639" t="s">
        <v>262</v>
      </c>
      <c r="AJ2639" t="s">
        <v>261</v>
      </c>
      <c r="AK2639" t="s">
        <v>261</v>
      </c>
      <c r="AM2639" t="s">
        <v>262</v>
      </c>
      <c r="AN2639" t="s">
        <v>7267</v>
      </c>
    </row>
    <row r="2640" spans="1:40" x14ac:dyDescent="0.35">
      <c r="A2640">
        <v>6726791</v>
      </c>
      <c r="B2640" t="s">
        <v>7268</v>
      </c>
      <c r="C2640" t="str">
        <f>"9781438485737"</f>
        <v>9781438485737</v>
      </c>
      <c r="D2640" t="str">
        <f>"9781438485744"</f>
        <v>9781438485744</v>
      </c>
      <c r="E2640" t="s">
        <v>2073</v>
      </c>
      <c r="F2640" t="s">
        <v>2074</v>
      </c>
      <c r="G2640" s="1">
        <v>44470</v>
      </c>
      <c r="H2640" s="1">
        <v>44455</v>
      </c>
      <c r="I2640" t="s">
        <v>189</v>
      </c>
      <c r="J2640">
        <v>1</v>
      </c>
      <c r="K2640" t="s">
        <v>2078</v>
      </c>
      <c r="L2640" t="s">
        <v>7269</v>
      </c>
      <c r="M2640" t="s">
        <v>578</v>
      </c>
      <c r="O2640" t="s">
        <v>7270</v>
      </c>
      <c r="Q2640" t="s">
        <v>260</v>
      </c>
      <c r="R2640" t="s">
        <v>261</v>
      </c>
      <c r="S2640" t="s">
        <v>261</v>
      </c>
      <c r="T2640" t="s">
        <v>261</v>
      </c>
      <c r="U2640" t="s">
        <v>261</v>
      </c>
      <c r="V2640" t="s">
        <v>262</v>
      </c>
      <c r="W2640" t="s">
        <v>261</v>
      </c>
      <c r="X2640" t="s">
        <v>261</v>
      </c>
      <c r="Y2640" t="s">
        <v>261</v>
      </c>
      <c r="Z2640" t="s">
        <v>409</v>
      </c>
      <c r="AA2640" t="s">
        <v>409</v>
      </c>
      <c r="AB2640" t="s">
        <v>409</v>
      </c>
      <c r="AC2640" t="s">
        <v>409</v>
      </c>
      <c r="AD2640" t="s">
        <v>261</v>
      </c>
      <c r="AH2640" t="s">
        <v>262</v>
      </c>
      <c r="AI2640" t="s">
        <v>262</v>
      </c>
      <c r="AJ2640" t="s">
        <v>261</v>
      </c>
      <c r="AK2640" t="s">
        <v>261</v>
      </c>
      <c r="AM2640" t="s">
        <v>262</v>
      </c>
      <c r="AN2640" t="s">
        <v>7271</v>
      </c>
    </row>
    <row r="2641" spans="1:40" x14ac:dyDescent="0.35">
      <c r="A2641">
        <v>6727208</v>
      </c>
      <c r="B2641" t="s">
        <v>7272</v>
      </c>
      <c r="C2641" t="str">
        <f>"9783030814991"</f>
        <v>9783030814991</v>
      </c>
      <c r="D2641" t="str">
        <f>"9783030815004"</f>
        <v>9783030815004</v>
      </c>
      <c r="E2641" t="s">
        <v>2289</v>
      </c>
      <c r="F2641" t="s">
        <v>2290</v>
      </c>
      <c r="G2641" s="1">
        <v>44454</v>
      </c>
      <c r="H2641" s="1">
        <v>44676</v>
      </c>
      <c r="I2641" t="s">
        <v>189</v>
      </c>
      <c r="L2641" t="s">
        <v>4530</v>
      </c>
      <c r="M2641" t="s">
        <v>323</v>
      </c>
      <c r="N2641" t="s">
        <v>4531</v>
      </c>
      <c r="Q2641" t="s">
        <v>260</v>
      </c>
      <c r="R2641" t="s">
        <v>261</v>
      </c>
      <c r="S2641" t="s">
        <v>261</v>
      </c>
      <c r="T2641" t="s">
        <v>261</v>
      </c>
      <c r="U2641" t="s">
        <v>262</v>
      </c>
      <c r="V2641" t="s">
        <v>262</v>
      </c>
      <c r="W2641" t="s">
        <v>261</v>
      </c>
      <c r="X2641" t="s">
        <v>262</v>
      </c>
      <c r="Y2641" t="s">
        <v>261</v>
      </c>
      <c r="Z2641" t="s">
        <v>409</v>
      </c>
      <c r="AA2641" t="s">
        <v>409</v>
      </c>
      <c r="AB2641" t="s">
        <v>409</v>
      </c>
      <c r="AC2641" t="s">
        <v>409</v>
      </c>
      <c r="AD2641" t="s">
        <v>261</v>
      </c>
      <c r="AH2641" t="s">
        <v>262</v>
      </c>
      <c r="AI2641" t="s">
        <v>262</v>
      </c>
      <c r="AJ2641" t="s">
        <v>261</v>
      </c>
      <c r="AK2641" t="s">
        <v>261</v>
      </c>
      <c r="AM2641" t="s">
        <v>262</v>
      </c>
      <c r="AN2641" t="s">
        <v>7273</v>
      </c>
    </row>
    <row r="2642" spans="1:40" x14ac:dyDescent="0.35">
      <c r="A2642">
        <v>6729462</v>
      </c>
      <c r="B2642" t="s">
        <v>7274</v>
      </c>
      <c r="C2642" t="str">
        <f>"9783030787325"</f>
        <v>9783030787325</v>
      </c>
      <c r="D2642" t="str">
        <f>"9783030787332"</f>
        <v>9783030787332</v>
      </c>
      <c r="E2642" t="s">
        <v>2289</v>
      </c>
      <c r="F2642" t="s">
        <v>2290</v>
      </c>
      <c r="G2642" s="1">
        <v>44456</v>
      </c>
      <c r="H2642" s="1">
        <v>44676</v>
      </c>
      <c r="I2642" t="s">
        <v>189</v>
      </c>
      <c r="K2642" t="s">
        <v>4041</v>
      </c>
      <c r="L2642" t="s">
        <v>7275</v>
      </c>
    </row>
    <row r="2643" spans="1:40" x14ac:dyDescent="0.35">
      <c r="A2643">
        <v>6729463</v>
      </c>
      <c r="B2643" t="s">
        <v>7276</v>
      </c>
      <c r="C2643" t="str">
        <f>"9783662625613"</f>
        <v>9783662625613</v>
      </c>
      <c r="D2643" t="str">
        <f>"9783662625620"</f>
        <v>9783662625620</v>
      </c>
      <c r="E2643" t="s">
        <v>5118</v>
      </c>
      <c r="F2643" t="s">
        <v>5118</v>
      </c>
      <c r="G2643" s="1">
        <v>44456</v>
      </c>
      <c r="H2643" s="1">
        <v>44676</v>
      </c>
      <c r="I2643" t="s">
        <v>189</v>
      </c>
      <c r="K2643" t="s">
        <v>7277</v>
      </c>
      <c r="L2643" t="s">
        <v>7278</v>
      </c>
    </row>
    <row r="2644" spans="1:40" x14ac:dyDescent="0.35">
      <c r="A2644">
        <v>6729646</v>
      </c>
      <c r="B2644" t="s">
        <v>7279</v>
      </c>
      <c r="C2644" t="str">
        <f>""</f>
        <v/>
      </c>
      <c r="D2644" t="str">
        <f>"9789179290238"</f>
        <v>9789179290238</v>
      </c>
      <c r="E2644" t="s">
        <v>3642</v>
      </c>
      <c r="F2644" t="s">
        <v>3642</v>
      </c>
      <c r="G2644" s="1">
        <v>44450</v>
      </c>
      <c r="H2644" s="1">
        <v>44459</v>
      </c>
      <c r="I2644" t="s">
        <v>189</v>
      </c>
      <c r="J2644">
        <v>1</v>
      </c>
      <c r="L2644" t="s">
        <v>7280</v>
      </c>
      <c r="Q2644" t="s">
        <v>260</v>
      </c>
      <c r="R2644" t="s">
        <v>261</v>
      </c>
      <c r="S2644" t="s">
        <v>261</v>
      </c>
      <c r="T2644" t="s">
        <v>261</v>
      </c>
      <c r="U2644" t="s">
        <v>261</v>
      </c>
      <c r="V2644" t="s">
        <v>262</v>
      </c>
      <c r="W2644" t="s">
        <v>261</v>
      </c>
      <c r="X2644" t="s">
        <v>261</v>
      </c>
      <c r="Y2644" t="s">
        <v>261</v>
      </c>
      <c r="AD2644" t="s">
        <v>261</v>
      </c>
      <c r="AH2644" t="s">
        <v>262</v>
      </c>
      <c r="AI2644" t="s">
        <v>261</v>
      </c>
      <c r="AJ2644" t="s">
        <v>261</v>
      </c>
      <c r="AK2644" t="s">
        <v>261</v>
      </c>
      <c r="AM2644" t="s">
        <v>262</v>
      </c>
      <c r="AN2644" t="s">
        <v>7281</v>
      </c>
    </row>
    <row r="2645" spans="1:40" x14ac:dyDescent="0.35">
      <c r="A2645">
        <v>6729647</v>
      </c>
      <c r="B2645" t="s">
        <v>7282</v>
      </c>
      <c r="C2645" t="str">
        <f>""</f>
        <v/>
      </c>
      <c r="D2645" t="str">
        <f>"9789179290344"</f>
        <v>9789179290344</v>
      </c>
      <c r="E2645" t="s">
        <v>3642</v>
      </c>
      <c r="F2645" t="s">
        <v>3642</v>
      </c>
      <c r="G2645" s="1">
        <v>44431</v>
      </c>
      <c r="H2645" s="1">
        <v>44459</v>
      </c>
      <c r="I2645" t="s">
        <v>189</v>
      </c>
      <c r="J2645">
        <v>1</v>
      </c>
      <c r="L2645" t="s">
        <v>7283</v>
      </c>
      <c r="Q2645" t="s">
        <v>260</v>
      </c>
      <c r="R2645" t="s">
        <v>261</v>
      </c>
      <c r="S2645" t="s">
        <v>261</v>
      </c>
      <c r="T2645" t="s">
        <v>261</v>
      </c>
      <c r="U2645" t="s">
        <v>261</v>
      </c>
      <c r="V2645" t="s">
        <v>262</v>
      </c>
      <c r="W2645" t="s">
        <v>261</v>
      </c>
      <c r="X2645" t="s">
        <v>261</v>
      </c>
      <c r="Y2645" t="s">
        <v>261</v>
      </c>
      <c r="AD2645" t="s">
        <v>261</v>
      </c>
      <c r="AH2645" t="s">
        <v>262</v>
      </c>
      <c r="AI2645" t="s">
        <v>261</v>
      </c>
      <c r="AJ2645" t="s">
        <v>261</v>
      </c>
      <c r="AK2645" t="s">
        <v>261</v>
      </c>
      <c r="AM2645" t="s">
        <v>262</v>
      </c>
      <c r="AN2645" t="s">
        <v>7284</v>
      </c>
    </row>
    <row r="2646" spans="1:40" x14ac:dyDescent="0.35">
      <c r="A2646">
        <v>6729670</v>
      </c>
      <c r="B2646" t="s">
        <v>7285</v>
      </c>
      <c r="C2646" t="str">
        <f>""</f>
        <v/>
      </c>
      <c r="D2646" t="str">
        <f>"9789179290351"</f>
        <v>9789179290351</v>
      </c>
      <c r="E2646" t="s">
        <v>3642</v>
      </c>
      <c r="F2646" t="s">
        <v>3642</v>
      </c>
      <c r="G2646" s="1">
        <v>44445</v>
      </c>
      <c r="H2646" s="1">
        <v>44473</v>
      </c>
      <c r="I2646" t="s">
        <v>189</v>
      </c>
      <c r="L2646" t="s">
        <v>7286</v>
      </c>
      <c r="Q2646" t="s">
        <v>260</v>
      </c>
      <c r="R2646" t="s">
        <v>261</v>
      </c>
      <c r="S2646" t="s">
        <v>261</v>
      </c>
      <c r="T2646" t="s">
        <v>261</v>
      </c>
      <c r="U2646" t="s">
        <v>261</v>
      </c>
      <c r="V2646" t="s">
        <v>262</v>
      </c>
      <c r="W2646" t="s">
        <v>261</v>
      </c>
      <c r="X2646" t="s">
        <v>261</v>
      </c>
      <c r="Y2646" t="s">
        <v>261</v>
      </c>
      <c r="AD2646" t="s">
        <v>261</v>
      </c>
      <c r="AH2646" t="s">
        <v>262</v>
      </c>
      <c r="AI2646" t="s">
        <v>261</v>
      </c>
      <c r="AJ2646" t="s">
        <v>261</v>
      </c>
      <c r="AK2646" t="s">
        <v>261</v>
      </c>
      <c r="AM2646" t="s">
        <v>262</v>
      </c>
      <c r="AN2646" t="s">
        <v>7287</v>
      </c>
    </row>
    <row r="2647" spans="1:40" x14ac:dyDescent="0.35">
      <c r="A2647">
        <v>6730700</v>
      </c>
      <c r="B2647" t="s">
        <v>7288</v>
      </c>
      <c r="C2647" t="str">
        <f>"9783658351205"</f>
        <v>9783658351205</v>
      </c>
      <c r="D2647" t="str">
        <f>"9783658351212"</f>
        <v>9783658351212</v>
      </c>
      <c r="E2647" t="s">
        <v>3972</v>
      </c>
      <c r="F2647" t="s">
        <v>3998</v>
      </c>
      <c r="G2647" s="1">
        <v>44460</v>
      </c>
      <c r="H2647" s="1">
        <v>44676</v>
      </c>
      <c r="I2647" t="s">
        <v>189</v>
      </c>
      <c r="L2647" t="s">
        <v>7289</v>
      </c>
      <c r="M2647" t="s">
        <v>329</v>
      </c>
      <c r="N2647" t="s">
        <v>6191</v>
      </c>
      <c r="Q2647" t="s">
        <v>408</v>
      </c>
      <c r="R2647" t="s">
        <v>261</v>
      </c>
      <c r="S2647" t="s">
        <v>261</v>
      </c>
      <c r="T2647" t="s">
        <v>261</v>
      </c>
      <c r="U2647" t="s">
        <v>261</v>
      </c>
      <c r="V2647" t="s">
        <v>262</v>
      </c>
      <c r="W2647" t="s">
        <v>261</v>
      </c>
      <c r="X2647" t="s">
        <v>261</v>
      </c>
      <c r="Y2647" t="s">
        <v>261</v>
      </c>
      <c r="Z2647" t="s">
        <v>409</v>
      </c>
      <c r="AA2647" t="s">
        <v>409</v>
      </c>
      <c r="AB2647" t="s">
        <v>409</v>
      </c>
      <c r="AC2647" t="s">
        <v>409</v>
      </c>
      <c r="AD2647" t="s">
        <v>261</v>
      </c>
      <c r="AH2647" t="s">
        <v>262</v>
      </c>
      <c r="AI2647" t="s">
        <v>262</v>
      </c>
      <c r="AJ2647" t="s">
        <v>261</v>
      </c>
      <c r="AK2647" t="s">
        <v>261</v>
      </c>
      <c r="AM2647" t="s">
        <v>262</v>
      </c>
      <c r="AN2647" t="s">
        <v>7290</v>
      </c>
    </row>
    <row r="2648" spans="1:40" x14ac:dyDescent="0.35">
      <c r="A2648">
        <v>6730701</v>
      </c>
      <c r="B2648" t="s">
        <v>7291</v>
      </c>
      <c r="C2648" t="str">
        <f>"9789462654709"</f>
        <v>9789462654709</v>
      </c>
      <c r="D2648" t="str">
        <f>"9789462654716"</f>
        <v>9789462654716</v>
      </c>
      <c r="E2648" t="s">
        <v>4692</v>
      </c>
      <c r="F2648" t="s">
        <v>4692</v>
      </c>
      <c r="G2648" s="1">
        <v>44460</v>
      </c>
      <c r="H2648" s="1">
        <v>44676</v>
      </c>
      <c r="I2648" t="s">
        <v>189</v>
      </c>
      <c r="K2648" t="s">
        <v>4693</v>
      </c>
      <c r="L2648" t="s">
        <v>7292</v>
      </c>
    </row>
    <row r="2649" spans="1:40" x14ac:dyDescent="0.35">
      <c r="A2649">
        <v>6732941</v>
      </c>
      <c r="B2649" t="s">
        <v>7293</v>
      </c>
      <c r="C2649" t="str">
        <f>"9783658342975"</f>
        <v>9783658342975</v>
      </c>
      <c r="D2649" t="str">
        <f>"9783658342982"</f>
        <v>9783658342982</v>
      </c>
      <c r="E2649" t="s">
        <v>3972</v>
      </c>
      <c r="F2649" t="s">
        <v>3998</v>
      </c>
      <c r="G2649" s="1">
        <v>44461</v>
      </c>
      <c r="H2649" s="1">
        <v>44676</v>
      </c>
      <c r="I2649" t="s">
        <v>189</v>
      </c>
      <c r="L2649" t="s">
        <v>7294</v>
      </c>
      <c r="M2649" t="s">
        <v>210</v>
      </c>
      <c r="N2649" t="s">
        <v>6020</v>
      </c>
      <c r="Q2649" t="s">
        <v>408</v>
      </c>
      <c r="R2649" t="s">
        <v>261</v>
      </c>
      <c r="S2649" t="s">
        <v>261</v>
      </c>
      <c r="T2649" t="s">
        <v>261</v>
      </c>
      <c r="U2649" t="s">
        <v>262</v>
      </c>
      <c r="V2649" t="s">
        <v>262</v>
      </c>
      <c r="W2649" t="s">
        <v>261</v>
      </c>
      <c r="X2649" t="s">
        <v>262</v>
      </c>
      <c r="Y2649" t="s">
        <v>261</v>
      </c>
      <c r="Z2649" t="s">
        <v>409</v>
      </c>
      <c r="AA2649" t="s">
        <v>409</v>
      </c>
      <c r="AB2649" t="s">
        <v>409</v>
      </c>
      <c r="AC2649" t="s">
        <v>409</v>
      </c>
      <c r="AD2649" t="s">
        <v>261</v>
      </c>
      <c r="AH2649" t="s">
        <v>262</v>
      </c>
      <c r="AI2649" t="s">
        <v>262</v>
      </c>
      <c r="AJ2649" t="s">
        <v>261</v>
      </c>
      <c r="AK2649" t="s">
        <v>261</v>
      </c>
      <c r="AM2649" t="s">
        <v>262</v>
      </c>
      <c r="AN2649" t="s">
        <v>7295</v>
      </c>
    </row>
    <row r="2650" spans="1:40" x14ac:dyDescent="0.35">
      <c r="A2650">
        <v>6732942</v>
      </c>
      <c r="B2650" t="s">
        <v>7296</v>
      </c>
      <c r="C2650" t="str">
        <f>"9789811659829"</f>
        <v>9789811659829</v>
      </c>
      <c r="D2650" t="str">
        <f>"9789811659836"</f>
        <v>9789811659836</v>
      </c>
      <c r="E2650" t="s">
        <v>3404</v>
      </c>
      <c r="F2650" t="s">
        <v>2290</v>
      </c>
      <c r="G2650" s="1">
        <v>44461</v>
      </c>
      <c r="H2650" s="1">
        <v>44676</v>
      </c>
      <c r="I2650" t="s">
        <v>189</v>
      </c>
      <c r="L2650" t="s">
        <v>5790</v>
      </c>
    </row>
    <row r="2651" spans="1:40" x14ac:dyDescent="0.35">
      <c r="A2651">
        <v>6732943</v>
      </c>
      <c r="B2651" t="s">
        <v>7297</v>
      </c>
      <c r="C2651" t="str">
        <f>"9783658332884"</f>
        <v>9783658332884</v>
      </c>
      <c r="D2651" t="str">
        <f>"9783658332891"</f>
        <v>9783658332891</v>
      </c>
      <c r="E2651" t="s">
        <v>3972</v>
      </c>
      <c r="F2651" t="s">
        <v>3998</v>
      </c>
      <c r="G2651" s="1">
        <v>44461</v>
      </c>
      <c r="H2651" s="1">
        <v>44676</v>
      </c>
      <c r="I2651" t="s">
        <v>189</v>
      </c>
      <c r="K2651" t="s">
        <v>7298</v>
      </c>
      <c r="L2651" t="s">
        <v>7299</v>
      </c>
    </row>
    <row r="2652" spans="1:40" x14ac:dyDescent="0.35">
      <c r="A2652">
        <v>6733486</v>
      </c>
      <c r="B2652" t="s">
        <v>7300</v>
      </c>
      <c r="C2652" t="str">
        <f>"9783030721916"</f>
        <v>9783030721916</v>
      </c>
      <c r="D2652" t="str">
        <f>"9783030721923"</f>
        <v>9783030721923</v>
      </c>
      <c r="E2652" t="s">
        <v>2289</v>
      </c>
      <c r="F2652" t="s">
        <v>2290</v>
      </c>
      <c r="G2652" s="1">
        <v>44462</v>
      </c>
      <c r="H2652" s="1">
        <v>44676</v>
      </c>
      <c r="I2652" t="s">
        <v>189</v>
      </c>
      <c r="K2652" t="s">
        <v>7301</v>
      </c>
      <c r="L2652" t="s">
        <v>7302</v>
      </c>
    </row>
    <row r="2653" spans="1:40" x14ac:dyDescent="0.35">
      <c r="A2653">
        <v>6733487</v>
      </c>
      <c r="B2653" t="s">
        <v>7303</v>
      </c>
      <c r="C2653" t="str">
        <f>"9783658354114"</f>
        <v>9783658354114</v>
      </c>
      <c r="D2653" t="str">
        <f>"9783658354121"</f>
        <v>9783658354121</v>
      </c>
      <c r="E2653" t="s">
        <v>3972</v>
      </c>
      <c r="F2653" t="s">
        <v>3998</v>
      </c>
      <c r="G2653" s="1">
        <v>44462</v>
      </c>
      <c r="H2653" s="1">
        <v>44676</v>
      </c>
      <c r="I2653" t="s">
        <v>189</v>
      </c>
      <c r="K2653" t="s">
        <v>6946</v>
      </c>
      <c r="L2653" t="s">
        <v>7304</v>
      </c>
      <c r="M2653" t="s">
        <v>323</v>
      </c>
      <c r="N2653" t="s">
        <v>6948</v>
      </c>
      <c r="Q2653" t="s">
        <v>408</v>
      </c>
      <c r="R2653" t="s">
        <v>261</v>
      </c>
      <c r="S2653" t="s">
        <v>261</v>
      </c>
      <c r="T2653" t="s">
        <v>261</v>
      </c>
      <c r="U2653" t="s">
        <v>261</v>
      </c>
      <c r="V2653" t="s">
        <v>262</v>
      </c>
      <c r="W2653" t="s">
        <v>261</v>
      </c>
      <c r="X2653" t="s">
        <v>261</v>
      </c>
      <c r="Y2653" t="s">
        <v>261</v>
      </c>
      <c r="Z2653" t="s">
        <v>409</v>
      </c>
      <c r="AA2653" t="s">
        <v>409</v>
      </c>
      <c r="AB2653" t="s">
        <v>409</v>
      </c>
      <c r="AC2653" t="s">
        <v>409</v>
      </c>
      <c r="AD2653" t="s">
        <v>261</v>
      </c>
      <c r="AH2653" t="s">
        <v>262</v>
      </c>
      <c r="AI2653" t="s">
        <v>262</v>
      </c>
      <c r="AJ2653" t="s">
        <v>261</v>
      </c>
      <c r="AK2653" t="s">
        <v>261</v>
      </c>
      <c r="AM2653" t="s">
        <v>262</v>
      </c>
      <c r="AN2653" t="s">
        <v>7305</v>
      </c>
    </row>
    <row r="2654" spans="1:40" x14ac:dyDescent="0.35">
      <c r="A2654">
        <v>6733953</v>
      </c>
      <c r="B2654" t="s">
        <v>7306</v>
      </c>
      <c r="C2654" t="str">
        <f>""</f>
        <v/>
      </c>
      <c r="D2654" t="str">
        <f>"9782759232499"</f>
        <v>9782759232499</v>
      </c>
      <c r="E2654" t="s">
        <v>1928</v>
      </c>
      <c r="F2654" t="s">
        <v>1928</v>
      </c>
      <c r="G2654" s="1">
        <v>44224</v>
      </c>
      <c r="H2654" s="1">
        <v>44483</v>
      </c>
      <c r="I2654" t="s">
        <v>189</v>
      </c>
      <c r="J2654">
        <v>1</v>
      </c>
      <c r="K2654" t="s">
        <v>7175</v>
      </c>
      <c r="L2654" t="s">
        <v>7176</v>
      </c>
    </row>
    <row r="2655" spans="1:40" x14ac:dyDescent="0.35">
      <c r="A2655">
        <v>6733957</v>
      </c>
      <c r="B2655" t="s">
        <v>7307</v>
      </c>
      <c r="C2655" t="str">
        <f>""</f>
        <v/>
      </c>
      <c r="D2655" t="str">
        <f>"9782759226818"</f>
        <v>9782759226818</v>
      </c>
      <c r="E2655" t="s">
        <v>1928</v>
      </c>
      <c r="F2655" t="s">
        <v>1928</v>
      </c>
      <c r="G2655" s="1">
        <v>43601</v>
      </c>
      <c r="H2655" s="1">
        <v>44483</v>
      </c>
      <c r="I2655" t="s">
        <v>189</v>
      </c>
      <c r="J2655">
        <v>1</v>
      </c>
      <c r="K2655" t="s">
        <v>1936</v>
      </c>
      <c r="L2655" t="s">
        <v>7308</v>
      </c>
    </row>
    <row r="2656" spans="1:40" x14ac:dyDescent="0.35">
      <c r="A2656">
        <v>6733958</v>
      </c>
      <c r="B2656" t="s">
        <v>7309</v>
      </c>
      <c r="C2656" t="str">
        <f>""</f>
        <v/>
      </c>
      <c r="D2656" t="str">
        <f>"9782759232567"</f>
        <v>9782759232567</v>
      </c>
      <c r="E2656" t="s">
        <v>1928</v>
      </c>
      <c r="F2656" t="s">
        <v>1928</v>
      </c>
      <c r="G2656" s="1">
        <v>44154</v>
      </c>
      <c r="H2656" s="1">
        <v>44483</v>
      </c>
      <c r="I2656" t="s">
        <v>189</v>
      </c>
      <c r="K2656" t="s">
        <v>1948</v>
      </c>
      <c r="L2656" t="s">
        <v>7310</v>
      </c>
      <c r="Q2656" t="s">
        <v>1827</v>
      </c>
      <c r="R2656" t="s">
        <v>261</v>
      </c>
      <c r="S2656" t="s">
        <v>261</v>
      </c>
      <c r="T2656" t="s">
        <v>261</v>
      </c>
      <c r="U2656" t="s">
        <v>262</v>
      </c>
      <c r="V2656" t="s">
        <v>262</v>
      </c>
      <c r="W2656" t="s">
        <v>261</v>
      </c>
      <c r="X2656" t="s">
        <v>262</v>
      </c>
      <c r="Y2656" t="s">
        <v>261</v>
      </c>
      <c r="Z2656" t="s">
        <v>409</v>
      </c>
      <c r="AA2656" t="s">
        <v>409</v>
      </c>
      <c r="AB2656" t="s">
        <v>409</v>
      </c>
      <c r="AC2656" t="s">
        <v>409</v>
      </c>
      <c r="AD2656" t="s">
        <v>261</v>
      </c>
      <c r="AH2656" t="s">
        <v>262</v>
      </c>
      <c r="AI2656" t="s">
        <v>262</v>
      </c>
      <c r="AJ2656" t="s">
        <v>261</v>
      </c>
      <c r="AK2656" t="s">
        <v>261</v>
      </c>
      <c r="AM2656" t="s">
        <v>262</v>
      </c>
      <c r="AN2656" t="s">
        <v>7311</v>
      </c>
    </row>
    <row r="2657" spans="1:40" x14ac:dyDescent="0.35">
      <c r="A2657">
        <v>6733959</v>
      </c>
      <c r="B2657" t="s">
        <v>7312</v>
      </c>
      <c r="C2657" t="str">
        <f>""</f>
        <v/>
      </c>
      <c r="D2657" t="str">
        <f>"9782759231034"</f>
        <v>9782759231034</v>
      </c>
      <c r="E2657" t="s">
        <v>1928</v>
      </c>
      <c r="F2657" t="s">
        <v>1928</v>
      </c>
      <c r="G2657" s="1">
        <v>43731</v>
      </c>
      <c r="H2657" s="1">
        <v>44483</v>
      </c>
      <c r="I2657" t="s">
        <v>189</v>
      </c>
      <c r="K2657" t="s">
        <v>2571</v>
      </c>
      <c r="L2657" t="s">
        <v>7313</v>
      </c>
    </row>
    <row r="2658" spans="1:40" x14ac:dyDescent="0.35">
      <c r="A2658">
        <v>6733962</v>
      </c>
      <c r="B2658" t="s">
        <v>7314</v>
      </c>
      <c r="C2658" t="str">
        <f>""</f>
        <v/>
      </c>
      <c r="D2658" t="str">
        <f>"9782759230594"</f>
        <v>9782759230594</v>
      </c>
      <c r="E2658" t="s">
        <v>1928</v>
      </c>
      <c r="F2658" t="s">
        <v>1928</v>
      </c>
      <c r="G2658" s="1">
        <v>43605</v>
      </c>
      <c r="H2658" s="1">
        <v>44483</v>
      </c>
      <c r="I2658" t="s">
        <v>189</v>
      </c>
      <c r="K2658" t="s">
        <v>1929</v>
      </c>
      <c r="L2658" t="s">
        <v>7315</v>
      </c>
    </row>
    <row r="2659" spans="1:40" x14ac:dyDescent="0.35">
      <c r="A2659">
        <v>6733963</v>
      </c>
      <c r="B2659" t="s">
        <v>7316</v>
      </c>
      <c r="C2659" t="str">
        <f>""</f>
        <v/>
      </c>
      <c r="D2659" t="str">
        <f>"9782759231867"</f>
        <v>9782759231867</v>
      </c>
      <c r="E2659" t="s">
        <v>1928</v>
      </c>
      <c r="F2659" t="s">
        <v>1928</v>
      </c>
      <c r="G2659" s="1">
        <v>44092</v>
      </c>
      <c r="H2659" s="1">
        <v>44483</v>
      </c>
      <c r="I2659" t="s">
        <v>189</v>
      </c>
      <c r="J2659">
        <v>1</v>
      </c>
      <c r="K2659" t="s">
        <v>1948</v>
      </c>
      <c r="L2659" t="s">
        <v>2728</v>
      </c>
    </row>
    <row r="2660" spans="1:40" x14ac:dyDescent="0.35">
      <c r="A2660">
        <v>6733965</v>
      </c>
      <c r="B2660" t="s">
        <v>7317</v>
      </c>
      <c r="C2660" t="str">
        <f>""</f>
        <v/>
      </c>
      <c r="D2660" t="str">
        <f>"9782759231461"</f>
        <v>9782759231461</v>
      </c>
      <c r="E2660" t="s">
        <v>1928</v>
      </c>
      <c r="F2660" t="s">
        <v>1928</v>
      </c>
      <c r="G2660" s="1">
        <v>43812</v>
      </c>
      <c r="H2660" s="1">
        <v>44483</v>
      </c>
      <c r="I2660" t="s">
        <v>189</v>
      </c>
      <c r="J2660">
        <v>1</v>
      </c>
      <c r="L2660" t="s">
        <v>7318</v>
      </c>
    </row>
    <row r="2661" spans="1:40" x14ac:dyDescent="0.35">
      <c r="A2661">
        <v>6733966</v>
      </c>
      <c r="B2661" t="s">
        <v>7319</v>
      </c>
      <c r="C2661" t="str">
        <f>""</f>
        <v/>
      </c>
      <c r="D2661" t="str">
        <f>"9782759231591"</f>
        <v>9782759231591</v>
      </c>
      <c r="E2661" t="s">
        <v>1928</v>
      </c>
      <c r="F2661" t="s">
        <v>1928</v>
      </c>
      <c r="G2661" s="1">
        <v>44092</v>
      </c>
      <c r="H2661" s="1">
        <v>44483</v>
      </c>
      <c r="I2661" t="s">
        <v>189</v>
      </c>
      <c r="K2661" t="s">
        <v>1948</v>
      </c>
      <c r="L2661" t="s">
        <v>2728</v>
      </c>
    </row>
    <row r="2662" spans="1:40" x14ac:dyDescent="0.35">
      <c r="A2662">
        <v>6733969</v>
      </c>
      <c r="B2662" t="s">
        <v>7320</v>
      </c>
      <c r="C2662" t="str">
        <f>""</f>
        <v/>
      </c>
      <c r="D2662" t="str">
        <f>"9782759231256"</f>
        <v>9782759231256</v>
      </c>
      <c r="E2662" t="s">
        <v>1928</v>
      </c>
      <c r="F2662" t="s">
        <v>1928</v>
      </c>
      <c r="G2662" s="1">
        <v>44007</v>
      </c>
      <c r="H2662" s="1">
        <v>44483</v>
      </c>
      <c r="I2662" t="s">
        <v>189</v>
      </c>
      <c r="K2662" t="s">
        <v>2029</v>
      </c>
      <c r="L2662" t="s">
        <v>7321</v>
      </c>
    </row>
    <row r="2663" spans="1:40" x14ac:dyDescent="0.35">
      <c r="A2663">
        <v>6733970</v>
      </c>
      <c r="B2663" t="s">
        <v>7322</v>
      </c>
      <c r="C2663" t="str">
        <f>""</f>
        <v/>
      </c>
      <c r="D2663" t="str">
        <f>"9782759232376"</f>
        <v>9782759232376</v>
      </c>
      <c r="E2663" t="s">
        <v>1928</v>
      </c>
      <c r="F2663" t="s">
        <v>1928</v>
      </c>
      <c r="G2663" s="1">
        <v>44013</v>
      </c>
      <c r="H2663" s="1">
        <v>44483</v>
      </c>
      <c r="I2663" t="s">
        <v>189</v>
      </c>
      <c r="K2663" t="s">
        <v>7323</v>
      </c>
      <c r="L2663" t="s">
        <v>7324</v>
      </c>
      <c r="M2663" t="s">
        <v>316</v>
      </c>
    </row>
    <row r="2664" spans="1:40" x14ac:dyDescent="0.35">
      <c r="A2664">
        <v>6733971</v>
      </c>
      <c r="B2664" t="s">
        <v>7325</v>
      </c>
      <c r="C2664" t="str">
        <f>""</f>
        <v/>
      </c>
      <c r="D2664" t="str">
        <f>"9791097143022"</f>
        <v>9791097143022</v>
      </c>
      <c r="E2664" t="s">
        <v>1928</v>
      </c>
      <c r="F2664" t="s">
        <v>1928</v>
      </c>
      <c r="G2664" s="1">
        <v>43152</v>
      </c>
      <c r="H2664" s="1">
        <v>44483</v>
      </c>
      <c r="I2664" t="s">
        <v>189</v>
      </c>
      <c r="J2664">
        <v>1</v>
      </c>
      <c r="K2664" t="s">
        <v>1929</v>
      </c>
      <c r="L2664" t="s">
        <v>7326</v>
      </c>
      <c r="M2664" t="s">
        <v>964</v>
      </c>
      <c r="Q2664" t="s">
        <v>1827</v>
      </c>
      <c r="R2664" t="s">
        <v>261</v>
      </c>
      <c r="S2664" t="s">
        <v>261</v>
      </c>
      <c r="T2664" t="s">
        <v>261</v>
      </c>
      <c r="U2664" t="s">
        <v>262</v>
      </c>
      <c r="V2664" t="s">
        <v>262</v>
      </c>
      <c r="W2664" t="s">
        <v>261</v>
      </c>
      <c r="X2664" t="s">
        <v>262</v>
      </c>
      <c r="Y2664" t="s">
        <v>261</v>
      </c>
      <c r="Z2664" t="s">
        <v>409</v>
      </c>
      <c r="AA2664" t="s">
        <v>409</v>
      </c>
      <c r="AB2664" t="s">
        <v>409</v>
      </c>
      <c r="AC2664" t="s">
        <v>409</v>
      </c>
      <c r="AD2664" t="s">
        <v>261</v>
      </c>
      <c r="AH2664" t="s">
        <v>262</v>
      </c>
      <c r="AI2664" t="s">
        <v>262</v>
      </c>
      <c r="AJ2664" t="s">
        <v>261</v>
      </c>
      <c r="AK2664" t="s">
        <v>261</v>
      </c>
      <c r="AM2664" t="s">
        <v>262</v>
      </c>
      <c r="AN2664" t="s">
        <v>7327</v>
      </c>
    </row>
    <row r="2665" spans="1:40" x14ac:dyDescent="0.35">
      <c r="A2665">
        <v>6733972</v>
      </c>
      <c r="B2665" t="s">
        <v>7328</v>
      </c>
      <c r="C2665" t="str">
        <f>""</f>
        <v/>
      </c>
      <c r="D2665" t="str">
        <f>"9782759231737"</f>
        <v>9782759231737</v>
      </c>
      <c r="E2665" t="s">
        <v>1928</v>
      </c>
      <c r="F2665" t="s">
        <v>1928</v>
      </c>
      <c r="G2665" s="1">
        <v>44007</v>
      </c>
      <c r="H2665" s="1">
        <v>44483</v>
      </c>
      <c r="I2665" t="s">
        <v>189</v>
      </c>
      <c r="K2665" t="s">
        <v>7323</v>
      </c>
      <c r="L2665" t="s">
        <v>7329</v>
      </c>
      <c r="M2665" t="s">
        <v>944</v>
      </c>
    </row>
    <row r="2666" spans="1:40" x14ac:dyDescent="0.35">
      <c r="A2666">
        <v>6733974</v>
      </c>
      <c r="B2666" t="s">
        <v>7330</v>
      </c>
      <c r="C2666" t="str">
        <f>""</f>
        <v/>
      </c>
      <c r="D2666" t="str">
        <f>"9782759230976"</f>
        <v>9782759230976</v>
      </c>
      <c r="E2666" t="s">
        <v>1928</v>
      </c>
      <c r="F2666" t="s">
        <v>1928</v>
      </c>
      <c r="G2666" s="1">
        <v>44015</v>
      </c>
      <c r="H2666" s="1">
        <v>44483</v>
      </c>
      <c r="I2666" t="s">
        <v>189</v>
      </c>
      <c r="K2666" t="s">
        <v>2029</v>
      </c>
      <c r="L2666" t="s">
        <v>7331</v>
      </c>
    </row>
    <row r="2667" spans="1:40" x14ac:dyDescent="0.35">
      <c r="A2667">
        <v>6733978</v>
      </c>
      <c r="B2667" t="s">
        <v>7332</v>
      </c>
      <c r="C2667" t="str">
        <f>""</f>
        <v/>
      </c>
      <c r="D2667" t="str">
        <f>"9782759221585"</f>
        <v>9782759221585</v>
      </c>
      <c r="E2667" t="s">
        <v>1928</v>
      </c>
      <c r="F2667" t="s">
        <v>1928</v>
      </c>
      <c r="G2667" s="1">
        <v>41718</v>
      </c>
      <c r="H2667" s="1">
        <v>44483</v>
      </c>
      <c r="I2667" t="s">
        <v>189</v>
      </c>
      <c r="J2667">
        <v>1</v>
      </c>
      <c r="K2667" t="s">
        <v>2029</v>
      </c>
      <c r="L2667" t="s">
        <v>2728</v>
      </c>
    </row>
    <row r="2668" spans="1:40" x14ac:dyDescent="0.35">
      <c r="A2668">
        <v>6733981</v>
      </c>
      <c r="B2668" t="s">
        <v>7333</v>
      </c>
      <c r="C2668" t="str">
        <f>"9782759231294"</f>
        <v>9782759231294</v>
      </c>
      <c r="D2668" t="str">
        <f>"9782759231300"</f>
        <v>9782759231300</v>
      </c>
      <c r="E2668" t="s">
        <v>1928</v>
      </c>
      <c r="F2668" t="s">
        <v>1928</v>
      </c>
      <c r="G2668" s="1">
        <v>43853</v>
      </c>
      <c r="H2668" s="1">
        <v>44483</v>
      </c>
      <c r="I2668" t="s">
        <v>189</v>
      </c>
      <c r="K2668" t="s">
        <v>2571</v>
      </c>
      <c r="L2668" t="s">
        <v>6293</v>
      </c>
    </row>
    <row r="2669" spans="1:40" x14ac:dyDescent="0.35">
      <c r="A2669">
        <v>6733984</v>
      </c>
      <c r="B2669" t="s">
        <v>7334</v>
      </c>
      <c r="C2669" t="str">
        <f>""</f>
        <v/>
      </c>
      <c r="D2669" t="str">
        <f>"9782759223367"</f>
        <v>9782759223367</v>
      </c>
      <c r="E2669" t="s">
        <v>1928</v>
      </c>
      <c r="F2669" t="s">
        <v>1928</v>
      </c>
      <c r="G2669" s="1">
        <v>42194</v>
      </c>
      <c r="H2669" s="1">
        <v>44483</v>
      </c>
      <c r="I2669" t="s">
        <v>189</v>
      </c>
      <c r="J2669">
        <v>1</v>
      </c>
      <c r="K2669" t="s">
        <v>1948</v>
      </c>
      <c r="L2669" t="s">
        <v>7335</v>
      </c>
    </row>
    <row r="2670" spans="1:40" x14ac:dyDescent="0.35">
      <c r="A2670">
        <v>6733994</v>
      </c>
      <c r="B2670" t="s">
        <v>7336</v>
      </c>
      <c r="C2670" t="str">
        <f>""</f>
        <v/>
      </c>
      <c r="D2670" t="str">
        <f>"9782759207145"</f>
        <v>9782759207145</v>
      </c>
      <c r="E2670" t="s">
        <v>1928</v>
      </c>
      <c r="F2670" t="s">
        <v>1928</v>
      </c>
      <c r="G2670" s="1">
        <v>35916</v>
      </c>
      <c r="H2670" s="1">
        <v>44483</v>
      </c>
      <c r="I2670" t="s">
        <v>189</v>
      </c>
      <c r="K2670" t="s">
        <v>1938</v>
      </c>
      <c r="L2670" t="s">
        <v>7337</v>
      </c>
      <c r="M2670" t="s">
        <v>964</v>
      </c>
      <c r="Q2670" t="s">
        <v>1827</v>
      </c>
      <c r="R2670" t="s">
        <v>261</v>
      </c>
      <c r="S2670" t="s">
        <v>261</v>
      </c>
      <c r="T2670" t="s">
        <v>261</v>
      </c>
      <c r="U2670" t="s">
        <v>262</v>
      </c>
      <c r="V2670" t="s">
        <v>262</v>
      </c>
      <c r="W2670" t="s">
        <v>261</v>
      </c>
      <c r="X2670" t="s">
        <v>262</v>
      </c>
      <c r="Y2670" t="s">
        <v>261</v>
      </c>
      <c r="Z2670" t="s">
        <v>409</v>
      </c>
      <c r="AA2670" t="s">
        <v>409</v>
      </c>
      <c r="AB2670" t="s">
        <v>409</v>
      </c>
      <c r="AC2670" t="s">
        <v>409</v>
      </c>
      <c r="AD2670" t="s">
        <v>261</v>
      </c>
      <c r="AH2670" t="s">
        <v>262</v>
      </c>
      <c r="AI2670" t="s">
        <v>262</v>
      </c>
      <c r="AJ2670" t="s">
        <v>261</v>
      </c>
      <c r="AK2670" t="s">
        <v>261</v>
      </c>
      <c r="AM2670" t="s">
        <v>262</v>
      </c>
      <c r="AN2670" t="s">
        <v>7338</v>
      </c>
    </row>
    <row r="2671" spans="1:40" x14ac:dyDescent="0.35">
      <c r="A2671">
        <v>6733996</v>
      </c>
      <c r="B2671" t="s">
        <v>7339</v>
      </c>
      <c r="C2671" t="str">
        <f>""</f>
        <v/>
      </c>
      <c r="D2671" t="str">
        <f>"9782759231546"</f>
        <v>9782759231546</v>
      </c>
      <c r="E2671" t="s">
        <v>1928</v>
      </c>
      <c r="F2671" t="s">
        <v>1928</v>
      </c>
      <c r="G2671" s="1">
        <v>43888</v>
      </c>
      <c r="H2671" s="1">
        <v>44483</v>
      </c>
      <c r="I2671" t="s">
        <v>189</v>
      </c>
      <c r="J2671">
        <v>1</v>
      </c>
      <c r="K2671" t="s">
        <v>2571</v>
      </c>
      <c r="L2671" t="s">
        <v>7340</v>
      </c>
    </row>
    <row r="2672" spans="1:40" x14ac:dyDescent="0.35">
      <c r="A2672">
        <v>6733997</v>
      </c>
      <c r="B2672" t="s">
        <v>7341</v>
      </c>
      <c r="C2672" t="str">
        <f>""</f>
        <v/>
      </c>
      <c r="D2672" t="str">
        <f>"9782759227846"</f>
        <v>9782759227846</v>
      </c>
      <c r="E2672" t="s">
        <v>1928</v>
      </c>
      <c r="F2672" t="s">
        <v>1928</v>
      </c>
      <c r="G2672" s="1">
        <v>43817</v>
      </c>
      <c r="H2672" s="1">
        <v>44483</v>
      </c>
      <c r="I2672" t="s">
        <v>189</v>
      </c>
      <c r="J2672">
        <v>1</v>
      </c>
      <c r="K2672" t="s">
        <v>1936</v>
      </c>
      <c r="L2672" t="s">
        <v>37</v>
      </c>
    </row>
    <row r="2673" spans="1:40" x14ac:dyDescent="0.35">
      <c r="A2673">
        <v>6733999</v>
      </c>
      <c r="B2673" t="s">
        <v>7342</v>
      </c>
      <c r="C2673" t="str">
        <f>""</f>
        <v/>
      </c>
      <c r="D2673" t="str">
        <f>"9782759227099"</f>
        <v>9782759227099</v>
      </c>
      <c r="E2673" t="s">
        <v>1928</v>
      </c>
      <c r="F2673" t="s">
        <v>1928</v>
      </c>
      <c r="G2673" s="1">
        <v>43132</v>
      </c>
      <c r="H2673" s="1">
        <v>44483</v>
      </c>
      <c r="I2673" t="s">
        <v>189</v>
      </c>
      <c r="J2673">
        <v>1</v>
      </c>
      <c r="K2673" t="s">
        <v>1936</v>
      </c>
      <c r="L2673" t="s">
        <v>7343</v>
      </c>
    </row>
    <row r="2674" spans="1:40" x14ac:dyDescent="0.35">
      <c r="A2674">
        <v>6734000</v>
      </c>
      <c r="B2674" t="s">
        <v>7344</v>
      </c>
      <c r="C2674" t="str">
        <f>""</f>
        <v/>
      </c>
      <c r="D2674" t="str">
        <f>"9782759232604"</f>
        <v>9782759232604</v>
      </c>
      <c r="E2674" t="s">
        <v>1928</v>
      </c>
      <c r="F2674" t="s">
        <v>1928</v>
      </c>
      <c r="G2674" s="1">
        <v>44109</v>
      </c>
      <c r="H2674" s="1">
        <v>44483</v>
      </c>
      <c r="I2674" t="s">
        <v>189</v>
      </c>
      <c r="J2674">
        <v>1</v>
      </c>
      <c r="K2674" t="s">
        <v>1929</v>
      </c>
      <c r="L2674" t="s">
        <v>7345</v>
      </c>
    </row>
    <row r="2675" spans="1:40" x14ac:dyDescent="0.35">
      <c r="A2675">
        <v>6734002</v>
      </c>
      <c r="B2675" t="s">
        <v>7346</v>
      </c>
      <c r="C2675" t="str">
        <f>""</f>
        <v/>
      </c>
      <c r="D2675" t="str">
        <f>"9782759232628"</f>
        <v>9782759232628</v>
      </c>
      <c r="E2675" t="s">
        <v>1928</v>
      </c>
      <c r="F2675" t="s">
        <v>1928</v>
      </c>
      <c r="G2675" s="1">
        <v>44130</v>
      </c>
      <c r="H2675" s="1">
        <v>44483</v>
      </c>
      <c r="I2675" t="s">
        <v>189</v>
      </c>
      <c r="K2675" t="s">
        <v>7347</v>
      </c>
      <c r="L2675" t="s">
        <v>7348</v>
      </c>
    </row>
    <row r="2676" spans="1:40" x14ac:dyDescent="0.35">
      <c r="A2676">
        <v>6734004</v>
      </c>
      <c r="B2676" t="s">
        <v>7349</v>
      </c>
      <c r="C2676" t="str">
        <f>""</f>
        <v/>
      </c>
      <c r="D2676" t="str">
        <f>"9782759224937"</f>
        <v>9782759224937</v>
      </c>
      <c r="E2676" t="s">
        <v>1928</v>
      </c>
      <c r="F2676" t="s">
        <v>1928</v>
      </c>
      <c r="G2676" s="1">
        <v>37537</v>
      </c>
      <c r="H2676" s="1">
        <v>44483</v>
      </c>
      <c r="I2676" t="s">
        <v>189</v>
      </c>
      <c r="L2676" t="s">
        <v>7350</v>
      </c>
    </row>
    <row r="2677" spans="1:40" x14ac:dyDescent="0.35">
      <c r="A2677">
        <v>6734005</v>
      </c>
      <c r="B2677" t="s">
        <v>7351</v>
      </c>
      <c r="C2677" t="str">
        <f>""</f>
        <v/>
      </c>
      <c r="D2677" t="str">
        <f>"9782759229079"</f>
        <v>9782759229079</v>
      </c>
      <c r="E2677" t="s">
        <v>1928</v>
      </c>
      <c r="F2677" t="s">
        <v>1928</v>
      </c>
      <c r="G2677" s="1">
        <v>43434</v>
      </c>
      <c r="H2677" s="1">
        <v>44483</v>
      </c>
      <c r="I2677" t="s">
        <v>189</v>
      </c>
      <c r="K2677" t="s">
        <v>1929</v>
      </c>
      <c r="L2677" t="s">
        <v>7352</v>
      </c>
    </row>
    <row r="2678" spans="1:40" x14ac:dyDescent="0.35">
      <c r="A2678">
        <v>6734007</v>
      </c>
      <c r="B2678" t="s">
        <v>7353</v>
      </c>
      <c r="C2678" t="str">
        <f>""</f>
        <v/>
      </c>
      <c r="D2678" t="str">
        <f>"9782759222230"</f>
        <v>9782759222230</v>
      </c>
      <c r="E2678" t="s">
        <v>1928</v>
      </c>
      <c r="F2678" t="s">
        <v>1928</v>
      </c>
      <c r="G2678" s="1">
        <v>41990</v>
      </c>
      <c r="H2678" s="1">
        <v>44483</v>
      </c>
      <c r="I2678" t="s">
        <v>189</v>
      </c>
      <c r="K2678" t="s">
        <v>2029</v>
      </c>
      <c r="L2678" t="s">
        <v>7354</v>
      </c>
    </row>
    <row r="2679" spans="1:40" x14ac:dyDescent="0.35">
      <c r="A2679">
        <v>6734008</v>
      </c>
      <c r="B2679" t="s">
        <v>7355</v>
      </c>
      <c r="C2679" t="str">
        <f>""</f>
        <v/>
      </c>
      <c r="D2679" t="str">
        <f>"9782759229062"</f>
        <v>9782759229062</v>
      </c>
      <c r="E2679" t="s">
        <v>1928</v>
      </c>
      <c r="F2679" t="s">
        <v>1928</v>
      </c>
      <c r="G2679" s="1">
        <v>43349</v>
      </c>
      <c r="H2679" s="1">
        <v>44483</v>
      </c>
      <c r="I2679" t="s">
        <v>189</v>
      </c>
      <c r="K2679" t="s">
        <v>1929</v>
      </c>
      <c r="L2679" t="s">
        <v>7356</v>
      </c>
      <c r="M2679" t="s">
        <v>339</v>
      </c>
      <c r="Q2679" t="s">
        <v>1827</v>
      </c>
      <c r="R2679" t="s">
        <v>261</v>
      </c>
      <c r="S2679" t="s">
        <v>261</v>
      </c>
      <c r="T2679" t="s">
        <v>261</v>
      </c>
      <c r="U2679" t="s">
        <v>262</v>
      </c>
      <c r="V2679" t="s">
        <v>262</v>
      </c>
      <c r="W2679" t="s">
        <v>261</v>
      </c>
      <c r="X2679" t="s">
        <v>262</v>
      </c>
      <c r="Y2679" t="s">
        <v>261</v>
      </c>
      <c r="Z2679" t="s">
        <v>409</v>
      </c>
      <c r="AA2679" t="s">
        <v>409</v>
      </c>
      <c r="AB2679" t="s">
        <v>409</v>
      </c>
      <c r="AC2679" t="s">
        <v>409</v>
      </c>
      <c r="AD2679" t="s">
        <v>261</v>
      </c>
      <c r="AH2679" t="s">
        <v>262</v>
      </c>
      <c r="AI2679" t="s">
        <v>262</v>
      </c>
      <c r="AJ2679" t="s">
        <v>261</v>
      </c>
      <c r="AK2679" t="s">
        <v>261</v>
      </c>
      <c r="AM2679" t="s">
        <v>262</v>
      </c>
      <c r="AN2679" t="s">
        <v>7357</v>
      </c>
    </row>
    <row r="2680" spans="1:40" x14ac:dyDescent="0.35">
      <c r="A2680">
        <v>6734010</v>
      </c>
      <c r="B2680" t="s">
        <v>7358</v>
      </c>
      <c r="C2680" t="str">
        <f>""</f>
        <v/>
      </c>
      <c r="D2680" t="str">
        <f>"9782738014344"</f>
        <v>9782738014344</v>
      </c>
      <c r="E2680" t="s">
        <v>1928</v>
      </c>
      <c r="F2680" t="s">
        <v>1928</v>
      </c>
      <c r="G2680" s="1">
        <v>43796</v>
      </c>
      <c r="H2680" s="1">
        <v>44483</v>
      </c>
      <c r="I2680" t="s">
        <v>189</v>
      </c>
      <c r="K2680" t="s">
        <v>7359</v>
      </c>
      <c r="L2680" t="s">
        <v>7360</v>
      </c>
      <c r="M2680" t="s">
        <v>807</v>
      </c>
      <c r="Q2680" t="s">
        <v>1827</v>
      </c>
      <c r="R2680" t="s">
        <v>261</v>
      </c>
      <c r="S2680" t="s">
        <v>261</v>
      </c>
      <c r="T2680" t="s">
        <v>261</v>
      </c>
      <c r="U2680" t="s">
        <v>262</v>
      </c>
      <c r="V2680" t="s">
        <v>262</v>
      </c>
      <c r="W2680" t="s">
        <v>261</v>
      </c>
      <c r="X2680" t="s">
        <v>262</v>
      </c>
      <c r="Y2680" t="s">
        <v>261</v>
      </c>
      <c r="Z2680" t="s">
        <v>409</v>
      </c>
      <c r="AA2680" t="s">
        <v>409</v>
      </c>
      <c r="AB2680" t="s">
        <v>409</v>
      </c>
      <c r="AC2680" t="s">
        <v>409</v>
      </c>
      <c r="AD2680" t="s">
        <v>261</v>
      </c>
      <c r="AH2680" t="s">
        <v>262</v>
      </c>
      <c r="AI2680" t="s">
        <v>262</v>
      </c>
      <c r="AJ2680" t="s">
        <v>261</v>
      </c>
      <c r="AK2680" t="s">
        <v>261</v>
      </c>
      <c r="AM2680" t="s">
        <v>262</v>
      </c>
      <c r="AN2680" t="s">
        <v>7361</v>
      </c>
    </row>
    <row r="2681" spans="1:40" x14ac:dyDescent="0.35">
      <c r="A2681">
        <v>6734013</v>
      </c>
      <c r="B2681" t="s">
        <v>7362</v>
      </c>
      <c r="C2681" t="str">
        <f>""</f>
        <v/>
      </c>
      <c r="D2681" t="str">
        <f>"9782759231188"</f>
        <v>9782759231188</v>
      </c>
      <c r="E2681" t="s">
        <v>1928</v>
      </c>
      <c r="F2681" t="s">
        <v>1928</v>
      </c>
      <c r="G2681" s="1">
        <v>43860</v>
      </c>
      <c r="H2681" s="1">
        <v>44483</v>
      </c>
      <c r="I2681" t="s">
        <v>189</v>
      </c>
      <c r="K2681" t="s">
        <v>1948</v>
      </c>
      <c r="L2681" t="s">
        <v>7363</v>
      </c>
    </row>
    <row r="2682" spans="1:40" x14ac:dyDescent="0.35">
      <c r="A2682">
        <v>6734014</v>
      </c>
      <c r="B2682" t="s">
        <v>7364</v>
      </c>
      <c r="C2682" t="str">
        <f>""</f>
        <v/>
      </c>
      <c r="D2682" t="str">
        <f>"9782759230914"</f>
        <v>9782759230914</v>
      </c>
      <c r="E2682" t="s">
        <v>1928</v>
      </c>
      <c r="F2682" t="s">
        <v>1928</v>
      </c>
      <c r="G2682" s="1">
        <v>43888</v>
      </c>
      <c r="H2682" s="1">
        <v>44483</v>
      </c>
      <c r="I2682" t="s">
        <v>189</v>
      </c>
      <c r="K2682" t="s">
        <v>1929</v>
      </c>
      <c r="L2682" t="s">
        <v>6295</v>
      </c>
    </row>
    <row r="2683" spans="1:40" x14ac:dyDescent="0.35">
      <c r="A2683">
        <v>6734015</v>
      </c>
      <c r="B2683" t="s">
        <v>7365</v>
      </c>
      <c r="C2683" t="str">
        <f>""</f>
        <v/>
      </c>
      <c r="D2683" t="str">
        <f>"9782759230754"</f>
        <v>9782759230754</v>
      </c>
      <c r="E2683" t="s">
        <v>1928</v>
      </c>
      <c r="F2683" t="s">
        <v>1928</v>
      </c>
      <c r="G2683" s="1">
        <v>43731</v>
      </c>
      <c r="H2683" s="1">
        <v>44483</v>
      </c>
      <c r="I2683" t="s">
        <v>189</v>
      </c>
      <c r="K2683" t="s">
        <v>1929</v>
      </c>
      <c r="L2683" t="s">
        <v>7366</v>
      </c>
      <c r="M2683" t="s">
        <v>964</v>
      </c>
      <c r="Q2683" t="s">
        <v>1827</v>
      </c>
      <c r="R2683" t="s">
        <v>261</v>
      </c>
      <c r="S2683" t="s">
        <v>261</v>
      </c>
      <c r="T2683" t="s">
        <v>261</v>
      </c>
      <c r="U2683" t="s">
        <v>262</v>
      </c>
      <c r="V2683" t="s">
        <v>262</v>
      </c>
      <c r="W2683" t="s">
        <v>261</v>
      </c>
      <c r="X2683" t="s">
        <v>262</v>
      </c>
      <c r="Y2683" t="s">
        <v>261</v>
      </c>
      <c r="Z2683" t="s">
        <v>409</v>
      </c>
      <c r="AA2683" t="s">
        <v>409</v>
      </c>
      <c r="AB2683" t="s">
        <v>409</v>
      </c>
      <c r="AC2683" t="s">
        <v>409</v>
      </c>
      <c r="AD2683" t="s">
        <v>261</v>
      </c>
      <c r="AH2683" t="s">
        <v>262</v>
      </c>
      <c r="AI2683" t="s">
        <v>262</v>
      </c>
      <c r="AJ2683" t="s">
        <v>261</v>
      </c>
      <c r="AK2683" t="s">
        <v>261</v>
      </c>
      <c r="AM2683" t="s">
        <v>262</v>
      </c>
      <c r="AN2683" t="s">
        <v>7367</v>
      </c>
    </row>
    <row r="2684" spans="1:40" x14ac:dyDescent="0.35">
      <c r="A2684">
        <v>6734019</v>
      </c>
      <c r="B2684" t="s">
        <v>7368</v>
      </c>
      <c r="C2684" t="str">
        <f>""</f>
        <v/>
      </c>
      <c r="D2684" t="str">
        <f>"9782759227792"</f>
        <v>9782759227792</v>
      </c>
      <c r="E2684" t="s">
        <v>1928</v>
      </c>
      <c r="F2684" t="s">
        <v>1928</v>
      </c>
      <c r="G2684" s="1">
        <v>43223</v>
      </c>
      <c r="H2684" s="1">
        <v>44483</v>
      </c>
      <c r="I2684" t="s">
        <v>189</v>
      </c>
      <c r="K2684" t="s">
        <v>2571</v>
      </c>
      <c r="L2684" t="s">
        <v>7369</v>
      </c>
      <c r="M2684" t="s">
        <v>964</v>
      </c>
      <c r="Q2684" t="s">
        <v>1827</v>
      </c>
      <c r="R2684" t="s">
        <v>261</v>
      </c>
      <c r="S2684" t="s">
        <v>261</v>
      </c>
      <c r="T2684" t="s">
        <v>261</v>
      </c>
      <c r="U2684" t="s">
        <v>262</v>
      </c>
      <c r="V2684" t="s">
        <v>262</v>
      </c>
      <c r="W2684" t="s">
        <v>261</v>
      </c>
      <c r="X2684" t="s">
        <v>262</v>
      </c>
      <c r="Y2684" t="s">
        <v>261</v>
      </c>
      <c r="Z2684" t="s">
        <v>409</v>
      </c>
      <c r="AA2684" t="s">
        <v>409</v>
      </c>
      <c r="AB2684" t="s">
        <v>409</v>
      </c>
      <c r="AC2684" t="s">
        <v>409</v>
      </c>
      <c r="AD2684" t="s">
        <v>261</v>
      </c>
      <c r="AH2684" t="s">
        <v>262</v>
      </c>
      <c r="AI2684" t="s">
        <v>262</v>
      </c>
      <c r="AJ2684" t="s">
        <v>261</v>
      </c>
      <c r="AK2684" t="s">
        <v>261</v>
      </c>
      <c r="AM2684" t="s">
        <v>262</v>
      </c>
      <c r="AN2684" t="s">
        <v>7370</v>
      </c>
    </row>
    <row r="2685" spans="1:40" x14ac:dyDescent="0.35">
      <c r="A2685">
        <v>6734022</v>
      </c>
      <c r="B2685" t="s">
        <v>7371</v>
      </c>
      <c r="C2685" t="str">
        <f>""</f>
        <v/>
      </c>
      <c r="D2685" t="str">
        <f>"9782759231218"</f>
        <v>9782759231218</v>
      </c>
      <c r="E2685" t="s">
        <v>1928</v>
      </c>
      <c r="F2685" t="s">
        <v>1928</v>
      </c>
      <c r="G2685" s="1">
        <v>44043</v>
      </c>
      <c r="H2685" s="1">
        <v>44483</v>
      </c>
      <c r="I2685" t="s">
        <v>189</v>
      </c>
      <c r="K2685" t="s">
        <v>2571</v>
      </c>
      <c r="L2685" t="s">
        <v>7372</v>
      </c>
    </row>
    <row r="2686" spans="1:40" x14ac:dyDescent="0.35">
      <c r="A2686">
        <v>6734023</v>
      </c>
      <c r="B2686" t="s">
        <v>7373</v>
      </c>
      <c r="C2686" t="str">
        <f>""</f>
        <v/>
      </c>
      <c r="D2686" t="str">
        <f>"9782759225781"</f>
        <v>9782759225781</v>
      </c>
      <c r="E2686" t="s">
        <v>1928</v>
      </c>
      <c r="F2686" t="s">
        <v>1928</v>
      </c>
      <c r="G2686" s="1">
        <v>42971</v>
      </c>
      <c r="H2686" s="1">
        <v>44483</v>
      </c>
      <c r="I2686" t="s">
        <v>189</v>
      </c>
      <c r="K2686" t="s">
        <v>2062</v>
      </c>
      <c r="L2686" t="s">
        <v>7374</v>
      </c>
    </row>
    <row r="2687" spans="1:40" x14ac:dyDescent="0.35">
      <c r="A2687">
        <v>6734026</v>
      </c>
      <c r="B2687" t="s">
        <v>7375</v>
      </c>
      <c r="C2687" t="str">
        <f>""</f>
        <v/>
      </c>
      <c r="D2687" t="str">
        <f>"9782759224821"</f>
        <v>9782759224821</v>
      </c>
      <c r="E2687" t="s">
        <v>1928</v>
      </c>
      <c r="F2687" t="s">
        <v>1928</v>
      </c>
      <c r="G2687" s="1">
        <v>43132</v>
      </c>
      <c r="H2687" s="1">
        <v>44483</v>
      </c>
      <c r="I2687" t="s">
        <v>189</v>
      </c>
      <c r="K2687" t="s">
        <v>7376</v>
      </c>
      <c r="L2687" t="s">
        <v>7377</v>
      </c>
      <c r="M2687" t="s">
        <v>964</v>
      </c>
      <c r="Q2687" t="s">
        <v>1827</v>
      </c>
      <c r="R2687" t="s">
        <v>261</v>
      </c>
      <c r="S2687" t="s">
        <v>261</v>
      </c>
      <c r="T2687" t="s">
        <v>261</v>
      </c>
      <c r="U2687" t="s">
        <v>262</v>
      </c>
      <c r="V2687" t="s">
        <v>262</v>
      </c>
      <c r="W2687" t="s">
        <v>261</v>
      </c>
      <c r="X2687" t="s">
        <v>262</v>
      </c>
      <c r="Y2687" t="s">
        <v>261</v>
      </c>
      <c r="Z2687" t="s">
        <v>409</v>
      </c>
      <c r="AA2687" t="s">
        <v>409</v>
      </c>
      <c r="AB2687" t="s">
        <v>409</v>
      </c>
      <c r="AC2687" t="s">
        <v>409</v>
      </c>
      <c r="AD2687" t="s">
        <v>261</v>
      </c>
      <c r="AH2687" t="s">
        <v>262</v>
      </c>
      <c r="AI2687" t="s">
        <v>262</v>
      </c>
      <c r="AJ2687" t="s">
        <v>261</v>
      </c>
      <c r="AK2687" t="s">
        <v>261</v>
      </c>
      <c r="AM2687" t="s">
        <v>262</v>
      </c>
      <c r="AN2687" t="s">
        <v>7378</v>
      </c>
    </row>
    <row r="2688" spans="1:40" x14ac:dyDescent="0.35">
      <c r="A2688">
        <v>6734029</v>
      </c>
      <c r="B2688" t="s">
        <v>7379</v>
      </c>
      <c r="C2688" t="str">
        <f>""</f>
        <v/>
      </c>
      <c r="D2688" t="str">
        <f>"9782759229222"</f>
        <v>9782759229222</v>
      </c>
      <c r="E2688" t="s">
        <v>1928</v>
      </c>
      <c r="F2688" t="s">
        <v>1928</v>
      </c>
      <c r="G2688" s="1">
        <v>43451</v>
      </c>
      <c r="H2688" s="1">
        <v>44483</v>
      </c>
      <c r="I2688" t="s">
        <v>189</v>
      </c>
      <c r="K2688" t="s">
        <v>1929</v>
      </c>
      <c r="L2688" t="s">
        <v>7380</v>
      </c>
    </row>
    <row r="2689" spans="1:40" x14ac:dyDescent="0.35">
      <c r="A2689">
        <v>6734034</v>
      </c>
      <c r="B2689" t="s">
        <v>7381</v>
      </c>
      <c r="C2689" t="str">
        <f>""</f>
        <v/>
      </c>
      <c r="D2689" t="str">
        <f>"9782759230846"</f>
        <v>9782759230846</v>
      </c>
      <c r="E2689" t="s">
        <v>1928</v>
      </c>
      <c r="F2689" t="s">
        <v>1928</v>
      </c>
      <c r="G2689" s="1">
        <v>43769</v>
      </c>
      <c r="H2689" s="1">
        <v>44483</v>
      </c>
      <c r="I2689" t="s">
        <v>189</v>
      </c>
      <c r="K2689" t="s">
        <v>2571</v>
      </c>
      <c r="L2689" t="s">
        <v>7382</v>
      </c>
    </row>
    <row r="2690" spans="1:40" x14ac:dyDescent="0.35">
      <c r="A2690">
        <v>6734037</v>
      </c>
      <c r="B2690" t="s">
        <v>7383</v>
      </c>
      <c r="C2690" t="str">
        <f>""</f>
        <v/>
      </c>
      <c r="D2690" t="str">
        <f>"9782759220038"</f>
        <v>9782759220038</v>
      </c>
      <c r="E2690" t="s">
        <v>1928</v>
      </c>
      <c r="F2690" t="s">
        <v>1928</v>
      </c>
      <c r="G2690" s="1">
        <v>41562</v>
      </c>
      <c r="H2690" s="1">
        <v>44483</v>
      </c>
      <c r="I2690" t="s">
        <v>189</v>
      </c>
      <c r="K2690" t="s">
        <v>1948</v>
      </c>
      <c r="L2690" t="s">
        <v>7384</v>
      </c>
      <c r="Q2690" t="s">
        <v>1827</v>
      </c>
      <c r="R2690" t="s">
        <v>261</v>
      </c>
      <c r="S2690" t="s">
        <v>261</v>
      </c>
      <c r="T2690" t="s">
        <v>261</v>
      </c>
      <c r="U2690" t="s">
        <v>262</v>
      </c>
      <c r="V2690" t="s">
        <v>262</v>
      </c>
      <c r="W2690" t="s">
        <v>261</v>
      </c>
      <c r="X2690" t="s">
        <v>262</v>
      </c>
      <c r="Y2690" t="s">
        <v>261</v>
      </c>
      <c r="Z2690" t="s">
        <v>409</v>
      </c>
      <c r="AA2690" t="s">
        <v>409</v>
      </c>
      <c r="AB2690" t="s">
        <v>409</v>
      </c>
      <c r="AC2690" t="s">
        <v>409</v>
      </c>
      <c r="AD2690" t="s">
        <v>261</v>
      </c>
      <c r="AH2690" t="s">
        <v>262</v>
      </c>
      <c r="AI2690" t="s">
        <v>262</v>
      </c>
      <c r="AJ2690" t="s">
        <v>261</v>
      </c>
      <c r="AK2690" t="s">
        <v>261</v>
      </c>
      <c r="AM2690" t="s">
        <v>262</v>
      </c>
      <c r="AN2690" t="s">
        <v>7385</v>
      </c>
    </row>
    <row r="2691" spans="1:40" x14ac:dyDescent="0.35">
      <c r="A2691">
        <v>6734043</v>
      </c>
      <c r="B2691" t="s">
        <v>7386</v>
      </c>
      <c r="C2691" t="str">
        <f>"9782759231324"</f>
        <v>9782759231324</v>
      </c>
      <c r="D2691" t="str">
        <f>"9782759231331"</f>
        <v>9782759231331</v>
      </c>
      <c r="E2691" t="s">
        <v>1928</v>
      </c>
      <c r="F2691" t="s">
        <v>1928</v>
      </c>
      <c r="G2691" s="1">
        <v>44013</v>
      </c>
      <c r="H2691" s="1">
        <v>44483</v>
      </c>
      <c r="I2691" t="s">
        <v>189</v>
      </c>
      <c r="K2691" t="s">
        <v>2571</v>
      </c>
      <c r="L2691" t="s">
        <v>7387</v>
      </c>
    </row>
    <row r="2692" spans="1:40" x14ac:dyDescent="0.35">
      <c r="A2692">
        <v>6734044</v>
      </c>
      <c r="B2692" t="s">
        <v>7388</v>
      </c>
      <c r="C2692" t="str">
        <f>""</f>
        <v/>
      </c>
      <c r="D2692" t="str">
        <f>"9782759227723"</f>
        <v>9782759227723</v>
      </c>
      <c r="E2692" t="s">
        <v>1928</v>
      </c>
      <c r="F2692" t="s">
        <v>1928</v>
      </c>
      <c r="G2692" s="1">
        <v>43193</v>
      </c>
      <c r="H2692" s="1">
        <v>44483</v>
      </c>
      <c r="I2692" t="s">
        <v>189</v>
      </c>
      <c r="J2692">
        <v>1</v>
      </c>
      <c r="K2692" t="s">
        <v>2571</v>
      </c>
      <c r="L2692" t="s">
        <v>92</v>
      </c>
    </row>
    <row r="2693" spans="1:40" x14ac:dyDescent="0.35">
      <c r="A2693">
        <v>6734046</v>
      </c>
      <c r="B2693" t="s">
        <v>7389</v>
      </c>
      <c r="C2693" t="str">
        <f>""</f>
        <v/>
      </c>
      <c r="D2693" t="str">
        <f>"9782759224944"</f>
        <v>9782759224944</v>
      </c>
      <c r="E2693" t="s">
        <v>1928</v>
      </c>
      <c r="F2693" t="s">
        <v>1928</v>
      </c>
      <c r="G2693" s="1">
        <v>37495</v>
      </c>
      <c r="H2693" s="1">
        <v>44483</v>
      </c>
      <c r="I2693" t="s">
        <v>189</v>
      </c>
      <c r="L2693" t="s">
        <v>7350</v>
      </c>
    </row>
    <row r="2694" spans="1:40" x14ac:dyDescent="0.35">
      <c r="A2694">
        <v>6734047</v>
      </c>
      <c r="B2694" t="s">
        <v>7390</v>
      </c>
      <c r="C2694" t="str">
        <f>""</f>
        <v/>
      </c>
      <c r="D2694" t="str">
        <f>"9782759227051"</f>
        <v>9782759227051</v>
      </c>
      <c r="E2694" t="s">
        <v>1928</v>
      </c>
      <c r="F2694" t="s">
        <v>1928</v>
      </c>
      <c r="G2694" s="1">
        <v>43647</v>
      </c>
      <c r="H2694" s="1">
        <v>44483</v>
      </c>
      <c r="I2694" t="s">
        <v>189</v>
      </c>
      <c r="K2694" t="s">
        <v>2571</v>
      </c>
      <c r="L2694" t="s">
        <v>7391</v>
      </c>
    </row>
    <row r="2695" spans="1:40" x14ac:dyDescent="0.35">
      <c r="A2695">
        <v>6734048</v>
      </c>
      <c r="B2695" t="s">
        <v>7392</v>
      </c>
      <c r="C2695" t="str">
        <f>""</f>
        <v/>
      </c>
      <c r="D2695" t="str">
        <f>"9782759229833"</f>
        <v>9782759229833</v>
      </c>
      <c r="E2695" t="s">
        <v>1928</v>
      </c>
      <c r="F2695" t="s">
        <v>1928</v>
      </c>
      <c r="G2695" s="1">
        <v>43817</v>
      </c>
      <c r="H2695" s="1">
        <v>44483</v>
      </c>
      <c r="I2695" t="s">
        <v>189</v>
      </c>
      <c r="K2695" t="s">
        <v>2029</v>
      </c>
      <c r="L2695" t="s">
        <v>46</v>
      </c>
      <c r="M2695" t="s">
        <v>329</v>
      </c>
    </row>
    <row r="2696" spans="1:40" x14ac:dyDescent="0.35">
      <c r="A2696">
        <v>6734054</v>
      </c>
      <c r="B2696" t="s">
        <v>7393</v>
      </c>
      <c r="C2696" t="str">
        <f>""</f>
        <v/>
      </c>
      <c r="D2696" t="str">
        <f>"9782759228355"</f>
        <v>9782759228355</v>
      </c>
      <c r="E2696" t="s">
        <v>1928</v>
      </c>
      <c r="F2696" t="s">
        <v>1928</v>
      </c>
      <c r="G2696" s="1">
        <v>43203</v>
      </c>
      <c r="H2696" s="1">
        <v>44483</v>
      </c>
      <c r="I2696" t="s">
        <v>189</v>
      </c>
      <c r="K2696" t="s">
        <v>2571</v>
      </c>
      <c r="L2696" t="s">
        <v>42</v>
      </c>
    </row>
    <row r="2697" spans="1:40" x14ac:dyDescent="0.35">
      <c r="A2697">
        <v>6734057</v>
      </c>
      <c r="B2697" t="s">
        <v>7394</v>
      </c>
      <c r="C2697" t="str">
        <f>""</f>
        <v/>
      </c>
      <c r="D2697" t="str">
        <f>"9782759232802"</f>
        <v>9782759232802</v>
      </c>
      <c r="E2697" t="s">
        <v>1928</v>
      </c>
      <c r="F2697" t="s">
        <v>1928</v>
      </c>
      <c r="G2697" s="1">
        <v>44168</v>
      </c>
      <c r="H2697" s="1">
        <v>44483</v>
      </c>
      <c r="I2697" t="s">
        <v>189</v>
      </c>
      <c r="K2697" t="s">
        <v>2571</v>
      </c>
      <c r="L2697" t="s">
        <v>7372</v>
      </c>
    </row>
    <row r="2698" spans="1:40" x14ac:dyDescent="0.35">
      <c r="A2698">
        <v>6734059</v>
      </c>
      <c r="B2698" t="s">
        <v>7395</v>
      </c>
      <c r="C2698" t="str">
        <f>""</f>
        <v/>
      </c>
      <c r="D2698" t="str">
        <f>"9782759212736"</f>
        <v>9782759212736</v>
      </c>
      <c r="E2698" t="s">
        <v>1928</v>
      </c>
      <c r="F2698" t="s">
        <v>1928</v>
      </c>
      <c r="G2698" s="1">
        <v>39310</v>
      </c>
      <c r="H2698" s="1">
        <v>44483</v>
      </c>
      <c r="I2698" t="s">
        <v>189</v>
      </c>
      <c r="K2698" t="s">
        <v>1948</v>
      </c>
      <c r="L2698" t="s">
        <v>7396</v>
      </c>
    </row>
    <row r="2699" spans="1:40" x14ac:dyDescent="0.35">
      <c r="A2699">
        <v>6734065</v>
      </c>
      <c r="B2699" t="s">
        <v>7397</v>
      </c>
      <c r="C2699" t="str">
        <f>""</f>
        <v/>
      </c>
      <c r="D2699" t="str">
        <f>"9782759232758"</f>
        <v>9782759232758</v>
      </c>
      <c r="E2699" t="s">
        <v>1928</v>
      </c>
      <c r="F2699" t="s">
        <v>1928</v>
      </c>
      <c r="G2699" s="1">
        <v>44464</v>
      </c>
      <c r="H2699" s="1">
        <v>44483</v>
      </c>
      <c r="I2699" t="s">
        <v>189</v>
      </c>
      <c r="K2699" t="s">
        <v>1932</v>
      </c>
      <c r="L2699" t="s">
        <v>7398</v>
      </c>
    </row>
    <row r="2700" spans="1:40" x14ac:dyDescent="0.35">
      <c r="A2700">
        <v>6734066</v>
      </c>
      <c r="B2700" t="s">
        <v>7399</v>
      </c>
      <c r="C2700" t="str">
        <f>""</f>
        <v/>
      </c>
      <c r="D2700" t="str">
        <f>"9782759230945"</f>
        <v>9782759230945</v>
      </c>
      <c r="E2700" t="s">
        <v>1928</v>
      </c>
      <c r="F2700" t="s">
        <v>1928</v>
      </c>
      <c r="G2700" s="1">
        <v>43860</v>
      </c>
      <c r="H2700" s="1">
        <v>44483</v>
      </c>
      <c r="I2700" t="s">
        <v>189</v>
      </c>
      <c r="K2700" t="s">
        <v>7323</v>
      </c>
      <c r="L2700" t="s">
        <v>7400</v>
      </c>
      <c r="M2700" t="s">
        <v>199</v>
      </c>
      <c r="Q2700" t="s">
        <v>1827</v>
      </c>
      <c r="R2700" t="s">
        <v>261</v>
      </c>
      <c r="S2700" t="s">
        <v>261</v>
      </c>
      <c r="T2700" t="s">
        <v>261</v>
      </c>
      <c r="U2700" t="s">
        <v>262</v>
      </c>
      <c r="V2700" t="s">
        <v>262</v>
      </c>
      <c r="W2700" t="s">
        <v>261</v>
      </c>
      <c r="X2700" t="s">
        <v>262</v>
      </c>
      <c r="Y2700" t="s">
        <v>261</v>
      </c>
      <c r="Z2700" t="s">
        <v>409</v>
      </c>
      <c r="AA2700" t="s">
        <v>409</v>
      </c>
      <c r="AB2700" t="s">
        <v>409</v>
      </c>
      <c r="AC2700" t="s">
        <v>409</v>
      </c>
      <c r="AD2700" t="s">
        <v>261</v>
      </c>
      <c r="AH2700" t="s">
        <v>262</v>
      </c>
      <c r="AI2700" t="s">
        <v>262</v>
      </c>
      <c r="AJ2700" t="s">
        <v>261</v>
      </c>
      <c r="AK2700" t="s">
        <v>261</v>
      </c>
      <c r="AM2700" t="s">
        <v>262</v>
      </c>
      <c r="AN2700" t="s">
        <v>7401</v>
      </c>
    </row>
    <row r="2701" spans="1:40" x14ac:dyDescent="0.35">
      <c r="A2701">
        <v>6734070</v>
      </c>
      <c r="B2701" t="s">
        <v>7402</v>
      </c>
      <c r="C2701" t="str">
        <f>""</f>
        <v/>
      </c>
      <c r="D2701" t="str">
        <f>"9782759228959"</f>
        <v>9782759228959</v>
      </c>
      <c r="E2701" t="s">
        <v>1928</v>
      </c>
      <c r="F2701" t="s">
        <v>1928</v>
      </c>
      <c r="G2701" s="1">
        <v>43755</v>
      </c>
      <c r="H2701" s="1">
        <v>44483</v>
      </c>
      <c r="I2701" t="s">
        <v>189</v>
      </c>
      <c r="K2701" t="s">
        <v>1936</v>
      </c>
      <c r="L2701" t="s">
        <v>7403</v>
      </c>
    </row>
    <row r="2702" spans="1:40" x14ac:dyDescent="0.35">
      <c r="A2702">
        <v>6734072</v>
      </c>
      <c r="B2702" t="s">
        <v>7404</v>
      </c>
      <c r="C2702" t="str">
        <f>""</f>
        <v/>
      </c>
      <c r="D2702" t="str">
        <f>"9782759231560"</f>
        <v>9782759231560</v>
      </c>
      <c r="E2702" t="s">
        <v>1928</v>
      </c>
      <c r="F2702" t="s">
        <v>1928</v>
      </c>
      <c r="G2702" s="1">
        <v>43804</v>
      </c>
      <c r="H2702" s="1">
        <v>44483</v>
      </c>
      <c r="I2702" t="s">
        <v>189</v>
      </c>
      <c r="K2702" t="s">
        <v>2571</v>
      </c>
      <c r="L2702" t="s">
        <v>3503</v>
      </c>
    </row>
    <row r="2703" spans="1:40" x14ac:dyDescent="0.35">
      <c r="A2703">
        <v>6734073</v>
      </c>
      <c r="B2703" t="s">
        <v>7405</v>
      </c>
      <c r="C2703" t="str">
        <f>""</f>
        <v/>
      </c>
      <c r="D2703" t="str">
        <f>"9782759231683"</f>
        <v>9782759231683</v>
      </c>
      <c r="E2703" t="s">
        <v>1928</v>
      </c>
      <c r="F2703" t="s">
        <v>1928</v>
      </c>
      <c r="G2703" s="1">
        <v>43983</v>
      </c>
      <c r="H2703" s="1">
        <v>44483</v>
      </c>
      <c r="I2703" t="s">
        <v>189</v>
      </c>
      <c r="J2703">
        <v>1</v>
      </c>
      <c r="K2703" t="s">
        <v>1948</v>
      </c>
      <c r="L2703" t="s">
        <v>7406</v>
      </c>
    </row>
    <row r="2704" spans="1:40" x14ac:dyDescent="0.35">
      <c r="A2704">
        <v>6734076</v>
      </c>
      <c r="B2704" t="s">
        <v>7407</v>
      </c>
      <c r="C2704" t="str">
        <f>""</f>
        <v/>
      </c>
      <c r="D2704" t="str">
        <f>"9782759232994"</f>
        <v>9782759232994</v>
      </c>
      <c r="E2704" t="s">
        <v>1928</v>
      </c>
      <c r="F2704" t="s">
        <v>1928</v>
      </c>
      <c r="G2704" s="1">
        <v>38513</v>
      </c>
      <c r="H2704" s="1">
        <v>44483</v>
      </c>
      <c r="I2704" t="s">
        <v>189</v>
      </c>
      <c r="K2704" t="s">
        <v>1948</v>
      </c>
      <c r="L2704" t="s">
        <v>1928</v>
      </c>
      <c r="M2704" t="s">
        <v>3610</v>
      </c>
      <c r="Q2704" t="s">
        <v>260</v>
      </c>
      <c r="R2704" t="s">
        <v>261</v>
      </c>
      <c r="S2704" t="s">
        <v>261</v>
      </c>
      <c r="T2704" t="s">
        <v>261</v>
      </c>
      <c r="U2704" t="s">
        <v>262</v>
      </c>
      <c r="V2704" t="s">
        <v>262</v>
      </c>
      <c r="W2704" t="s">
        <v>261</v>
      </c>
      <c r="X2704" t="s">
        <v>262</v>
      </c>
      <c r="Y2704" t="s">
        <v>261</v>
      </c>
      <c r="Z2704" t="s">
        <v>409</v>
      </c>
      <c r="AA2704" t="s">
        <v>409</v>
      </c>
      <c r="AB2704" t="s">
        <v>409</v>
      </c>
      <c r="AC2704" t="s">
        <v>409</v>
      </c>
      <c r="AD2704" t="s">
        <v>261</v>
      </c>
      <c r="AH2704" t="s">
        <v>262</v>
      </c>
      <c r="AI2704" t="s">
        <v>262</v>
      </c>
      <c r="AJ2704" t="s">
        <v>261</v>
      </c>
      <c r="AK2704" t="s">
        <v>261</v>
      </c>
      <c r="AM2704" t="s">
        <v>262</v>
      </c>
      <c r="AN2704" t="s">
        <v>7408</v>
      </c>
    </row>
    <row r="2705" spans="1:40" x14ac:dyDescent="0.35">
      <c r="A2705">
        <v>6734079</v>
      </c>
      <c r="B2705" t="s">
        <v>7409</v>
      </c>
      <c r="C2705" t="str">
        <f>""</f>
        <v/>
      </c>
      <c r="D2705" t="str">
        <f>"9782759232710"</f>
        <v>9782759232710</v>
      </c>
      <c r="E2705" t="s">
        <v>1928</v>
      </c>
      <c r="F2705" t="s">
        <v>1928</v>
      </c>
      <c r="G2705" s="1">
        <v>44238</v>
      </c>
      <c r="H2705" s="1">
        <v>44483</v>
      </c>
      <c r="I2705" t="s">
        <v>189</v>
      </c>
      <c r="K2705" t="s">
        <v>2575</v>
      </c>
      <c r="L2705" t="s">
        <v>7410</v>
      </c>
    </row>
    <row r="2706" spans="1:40" x14ac:dyDescent="0.35">
      <c r="A2706">
        <v>6734081</v>
      </c>
      <c r="B2706" t="s">
        <v>7411</v>
      </c>
      <c r="C2706" t="str">
        <f>""</f>
        <v/>
      </c>
      <c r="D2706" t="str">
        <f>"9782759233229"</f>
        <v>9782759233229</v>
      </c>
      <c r="E2706" t="s">
        <v>1928</v>
      </c>
      <c r="F2706" t="s">
        <v>1928</v>
      </c>
      <c r="G2706" s="1">
        <v>25900</v>
      </c>
      <c r="H2706" s="1">
        <v>44483</v>
      </c>
      <c r="I2706" t="s">
        <v>189</v>
      </c>
      <c r="K2706" t="s">
        <v>7412</v>
      </c>
      <c r="L2706" t="s">
        <v>7413</v>
      </c>
    </row>
    <row r="2707" spans="1:40" x14ac:dyDescent="0.35">
      <c r="A2707">
        <v>6734087</v>
      </c>
      <c r="B2707" t="s">
        <v>7414</v>
      </c>
      <c r="C2707" t="str">
        <f>""</f>
        <v/>
      </c>
      <c r="D2707" t="str">
        <f>"9782759223459"</f>
        <v>9782759223459</v>
      </c>
      <c r="E2707" t="s">
        <v>1928</v>
      </c>
      <c r="F2707" t="s">
        <v>1928</v>
      </c>
      <c r="G2707" s="1">
        <v>42150</v>
      </c>
      <c r="H2707" s="1">
        <v>44483</v>
      </c>
      <c r="I2707" t="s">
        <v>189</v>
      </c>
      <c r="K2707" t="s">
        <v>7347</v>
      </c>
      <c r="L2707" t="s">
        <v>7415</v>
      </c>
    </row>
    <row r="2708" spans="1:40" x14ac:dyDescent="0.35">
      <c r="A2708">
        <v>6734088</v>
      </c>
      <c r="B2708" t="s">
        <v>7416</v>
      </c>
      <c r="C2708" t="str">
        <f>""</f>
        <v/>
      </c>
      <c r="D2708" t="str">
        <f>"9782759232543"</f>
        <v>9782759232543</v>
      </c>
      <c r="E2708" t="s">
        <v>1928</v>
      </c>
      <c r="F2708" t="s">
        <v>1928</v>
      </c>
      <c r="G2708" s="1">
        <v>43978</v>
      </c>
      <c r="H2708" s="1">
        <v>44483</v>
      </c>
      <c r="I2708" t="s">
        <v>189</v>
      </c>
      <c r="K2708" t="s">
        <v>2571</v>
      </c>
      <c r="L2708" t="s">
        <v>7382</v>
      </c>
    </row>
    <row r="2709" spans="1:40" x14ac:dyDescent="0.35">
      <c r="A2709">
        <v>6734099</v>
      </c>
      <c r="B2709" t="s">
        <v>7417</v>
      </c>
      <c r="C2709" t="str">
        <f>""</f>
        <v/>
      </c>
      <c r="D2709" t="str">
        <f>"9782759229604"</f>
        <v>9782759229604</v>
      </c>
      <c r="E2709" t="s">
        <v>1928</v>
      </c>
      <c r="F2709" t="s">
        <v>1928</v>
      </c>
      <c r="G2709" s="1">
        <v>43423</v>
      </c>
      <c r="H2709" s="1">
        <v>44483</v>
      </c>
      <c r="I2709" t="s">
        <v>189</v>
      </c>
      <c r="K2709" t="s">
        <v>2029</v>
      </c>
      <c r="L2709" t="s">
        <v>2564</v>
      </c>
    </row>
    <row r="2710" spans="1:40" x14ac:dyDescent="0.35">
      <c r="A2710">
        <v>6734100</v>
      </c>
      <c r="B2710" t="s">
        <v>7418</v>
      </c>
      <c r="C2710" t="str">
        <f>""</f>
        <v/>
      </c>
      <c r="D2710" t="str">
        <f>"9782759208838"</f>
        <v>9782759208838</v>
      </c>
      <c r="E2710" t="s">
        <v>1928</v>
      </c>
      <c r="F2710" t="s">
        <v>1928</v>
      </c>
      <c r="G2710" s="1">
        <v>36161</v>
      </c>
      <c r="H2710" s="1">
        <v>44483</v>
      </c>
      <c r="I2710" t="s">
        <v>189</v>
      </c>
      <c r="K2710" t="s">
        <v>1948</v>
      </c>
      <c r="L2710" t="s">
        <v>7419</v>
      </c>
      <c r="M2710" t="s">
        <v>964</v>
      </c>
      <c r="Q2710" t="s">
        <v>1827</v>
      </c>
      <c r="R2710" t="s">
        <v>261</v>
      </c>
      <c r="S2710" t="s">
        <v>261</v>
      </c>
      <c r="T2710" t="s">
        <v>261</v>
      </c>
      <c r="U2710" t="s">
        <v>262</v>
      </c>
      <c r="V2710" t="s">
        <v>262</v>
      </c>
      <c r="W2710" t="s">
        <v>261</v>
      </c>
      <c r="X2710" t="s">
        <v>262</v>
      </c>
      <c r="Y2710" t="s">
        <v>261</v>
      </c>
      <c r="Z2710" t="s">
        <v>409</v>
      </c>
      <c r="AA2710" t="s">
        <v>409</v>
      </c>
      <c r="AB2710" t="s">
        <v>409</v>
      </c>
      <c r="AC2710" t="s">
        <v>409</v>
      </c>
      <c r="AD2710" t="s">
        <v>261</v>
      </c>
      <c r="AH2710" t="s">
        <v>262</v>
      </c>
      <c r="AI2710" t="s">
        <v>262</v>
      </c>
      <c r="AJ2710" t="s">
        <v>261</v>
      </c>
      <c r="AK2710" t="s">
        <v>261</v>
      </c>
      <c r="AM2710" t="s">
        <v>262</v>
      </c>
      <c r="AN2710" t="s">
        <v>7420</v>
      </c>
    </row>
    <row r="2711" spans="1:40" x14ac:dyDescent="0.35">
      <c r="A2711">
        <v>6734220</v>
      </c>
      <c r="B2711" t="s">
        <v>7421</v>
      </c>
      <c r="C2711" t="str">
        <f>""</f>
        <v/>
      </c>
      <c r="D2711" t="str">
        <f>"9782759231775"</f>
        <v>9782759231775</v>
      </c>
      <c r="E2711" t="s">
        <v>1928</v>
      </c>
      <c r="F2711" t="s">
        <v>1928</v>
      </c>
      <c r="G2711" s="1">
        <v>44490</v>
      </c>
      <c r="H2711" s="1">
        <v>44676</v>
      </c>
      <c r="I2711" t="s">
        <v>189</v>
      </c>
      <c r="J2711">
        <v>1</v>
      </c>
      <c r="K2711" t="s">
        <v>1948</v>
      </c>
      <c r="L2711" t="s">
        <v>2957</v>
      </c>
      <c r="M2711" t="s">
        <v>239</v>
      </c>
    </row>
    <row r="2712" spans="1:40" x14ac:dyDescent="0.35">
      <c r="A2712">
        <v>6734292</v>
      </c>
      <c r="B2712" t="s">
        <v>7422</v>
      </c>
      <c r="C2712" t="str">
        <f>"9788394426293"</f>
        <v>9788394426293</v>
      </c>
      <c r="D2712" t="str">
        <f>"9788394914912"</f>
        <v>9788394914912</v>
      </c>
      <c r="E2712" t="s">
        <v>1592</v>
      </c>
      <c r="F2712" t="s">
        <v>1592</v>
      </c>
      <c r="G2712" s="1">
        <v>43312</v>
      </c>
      <c r="H2712" s="1">
        <v>44465</v>
      </c>
      <c r="I2712" t="s">
        <v>189</v>
      </c>
      <c r="J2712">
        <v>1</v>
      </c>
      <c r="K2712" t="s">
        <v>6046</v>
      </c>
      <c r="L2712" t="s">
        <v>7423</v>
      </c>
    </row>
    <row r="2713" spans="1:40" x14ac:dyDescent="0.35">
      <c r="A2713">
        <v>6734438</v>
      </c>
      <c r="B2713" t="s">
        <v>7424</v>
      </c>
      <c r="C2713" t="str">
        <f>"9783030822071"</f>
        <v>9783030822071</v>
      </c>
      <c r="D2713" t="str">
        <f>"9783030822088"</f>
        <v>9783030822088</v>
      </c>
      <c r="E2713" t="s">
        <v>2289</v>
      </c>
      <c r="F2713" t="s">
        <v>2290</v>
      </c>
      <c r="G2713" s="1">
        <v>44466</v>
      </c>
      <c r="H2713" s="1">
        <v>44676</v>
      </c>
      <c r="I2713" t="s">
        <v>189</v>
      </c>
      <c r="K2713" t="s">
        <v>5996</v>
      </c>
      <c r="L2713" t="s">
        <v>7425</v>
      </c>
    </row>
    <row r="2714" spans="1:40" x14ac:dyDescent="0.35">
      <c r="A2714">
        <v>6734874</v>
      </c>
      <c r="B2714" t="s">
        <v>7426</v>
      </c>
      <c r="C2714" t="str">
        <f>"9781789622324"</f>
        <v>9781789622324</v>
      </c>
      <c r="D2714" t="str">
        <f>"9781789622577"</f>
        <v>9781789622577</v>
      </c>
      <c r="E2714" t="s">
        <v>3696</v>
      </c>
      <c r="F2714" t="s">
        <v>3696</v>
      </c>
      <c r="G2714" s="1">
        <v>44135</v>
      </c>
      <c r="H2714" s="1">
        <v>44545</v>
      </c>
      <c r="I2714" t="s">
        <v>189</v>
      </c>
      <c r="J2714">
        <v>1</v>
      </c>
      <c r="K2714" t="s">
        <v>7427</v>
      </c>
      <c r="L2714" t="s">
        <v>7428</v>
      </c>
      <c r="M2714" t="s">
        <v>249</v>
      </c>
      <c r="O2714" s="2">
        <v>380144094275</v>
      </c>
      <c r="Q2714" t="s">
        <v>260</v>
      </c>
      <c r="R2714" t="s">
        <v>261</v>
      </c>
      <c r="S2714" t="s">
        <v>261</v>
      </c>
      <c r="T2714" t="s">
        <v>261</v>
      </c>
      <c r="U2714" t="s">
        <v>261</v>
      </c>
      <c r="V2714" t="s">
        <v>262</v>
      </c>
      <c r="W2714" t="s">
        <v>261</v>
      </c>
      <c r="X2714" t="s">
        <v>261</v>
      </c>
      <c r="Y2714" t="s">
        <v>261</v>
      </c>
      <c r="AC2714" t="s">
        <v>409</v>
      </c>
      <c r="AD2714" t="s">
        <v>261</v>
      </c>
      <c r="AH2714" t="s">
        <v>262</v>
      </c>
      <c r="AI2714" t="s">
        <v>262</v>
      </c>
      <c r="AJ2714" t="s">
        <v>261</v>
      </c>
      <c r="AK2714" t="s">
        <v>261</v>
      </c>
      <c r="AM2714" t="s">
        <v>262</v>
      </c>
      <c r="AN2714" t="s">
        <v>7429</v>
      </c>
    </row>
    <row r="2715" spans="1:40" x14ac:dyDescent="0.35">
      <c r="A2715">
        <v>6734877</v>
      </c>
      <c r="B2715" t="s">
        <v>7430</v>
      </c>
      <c r="C2715" t="str">
        <f>"9781789621082"</f>
        <v>9781789621082</v>
      </c>
      <c r="D2715" t="str">
        <f>"9781789627404"</f>
        <v>9781789627404</v>
      </c>
      <c r="E2715" t="s">
        <v>3696</v>
      </c>
      <c r="F2715" t="s">
        <v>3696</v>
      </c>
      <c r="G2715" s="1">
        <v>44047</v>
      </c>
      <c r="H2715" s="1">
        <v>44545</v>
      </c>
      <c r="I2715" t="s">
        <v>189</v>
      </c>
      <c r="J2715">
        <v>1</v>
      </c>
      <c r="L2715" t="s">
        <v>7431</v>
      </c>
      <c r="M2715" t="s">
        <v>329</v>
      </c>
      <c r="O2715" s="2">
        <v>3635850942753</v>
      </c>
      <c r="Q2715" t="s">
        <v>260</v>
      </c>
      <c r="R2715" t="s">
        <v>261</v>
      </c>
      <c r="S2715" t="s">
        <v>261</v>
      </c>
      <c r="T2715" t="s">
        <v>261</v>
      </c>
      <c r="U2715" t="s">
        <v>261</v>
      </c>
      <c r="V2715" t="s">
        <v>262</v>
      </c>
      <c r="W2715" t="s">
        <v>261</v>
      </c>
      <c r="X2715" t="s">
        <v>261</v>
      </c>
      <c r="Y2715" t="s">
        <v>261</v>
      </c>
      <c r="AC2715" t="s">
        <v>409</v>
      </c>
      <c r="AD2715" t="s">
        <v>261</v>
      </c>
      <c r="AH2715" t="s">
        <v>262</v>
      </c>
      <c r="AI2715" t="s">
        <v>262</v>
      </c>
      <c r="AJ2715" t="s">
        <v>261</v>
      </c>
      <c r="AK2715" t="s">
        <v>261</v>
      </c>
      <c r="AM2715" t="s">
        <v>262</v>
      </c>
      <c r="AN2715" t="s">
        <v>7432</v>
      </c>
    </row>
    <row r="2716" spans="1:40" x14ac:dyDescent="0.35">
      <c r="A2716">
        <v>6734878</v>
      </c>
      <c r="B2716" t="s">
        <v>7433</v>
      </c>
      <c r="C2716" t="str">
        <f>"9781800859517"</f>
        <v>9781800859517</v>
      </c>
      <c r="D2716" t="str">
        <f>"9781800858626"</f>
        <v>9781800858626</v>
      </c>
      <c r="E2716" t="s">
        <v>3696</v>
      </c>
      <c r="F2716" t="s">
        <v>3696</v>
      </c>
      <c r="G2716" s="1">
        <v>44315</v>
      </c>
      <c r="H2716" s="1">
        <v>44545</v>
      </c>
      <c r="I2716" t="s">
        <v>189</v>
      </c>
      <c r="J2716">
        <v>1</v>
      </c>
      <c r="L2716" t="s">
        <v>7434</v>
      </c>
    </row>
    <row r="2717" spans="1:40" x14ac:dyDescent="0.35">
      <c r="A2717">
        <v>6734879</v>
      </c>
      <c r="B2717" t="s">
        <v>7435</v>
      </c>
      <c r="C2717" t="str">
        <f>"9781789622249"</f>
        <v>9781789622249</v>
      </c>
      <c r="D2717" t="str">
        <f>"9781789622584"</f>
        <v>9781789622584</v>
      </c>
      <c r="E2717" t="s">
        <v>3696</v>
      </c>
      <c r="F2717" t="s">
        <v>3696</v>
      </c>
      <c r="G2717" s="1">
        <v>44077</v>
      </c>
      <c r="H2717" s="1">
        <v>44545</v>
      </c>
      <c r="I2717" t="s">
        <v>189</v>
      </c>
      <c r="J2717">
        <v>1</v>
      </c>
      <c r="K2717" t="s">
        <v>7427</v>
      </c>
      <c r="L2717" t="s">
        <v>7436</v>
      </c>
      <c r="M2717" t="s">
        <v>239</v>
      </c>
      <c r="O2717" s="2">
        <v>976335</v>
      </c>
      <c r="Q2717" t="s">
        <v>260</v>
      </c>
      <c r="R2717" t="s">
        <v>261</v>
      </c>
      <c r="S2717" t="s">
        <v>261</v>
      </c>
      <c r="T2717" t="s">
        <v>261</v>
      </c>
      <c r="U2717" t="s">
        <v>261</v>
      </c>
      <c r="V2717" t="s">
        <v>262</v>
      </c>
      <c r="W2717" t="s">
        <v>261</v>
      </c>
      <c r="X2717" t="s">
        <v>261</v>
      </c>
      <c r="Y2717" t="s">
        <v>261</v>
      </c>
      <c r="AC2717" t="s">
        <v>409</v>
      </c>
      <c r="AD2717" t="s">
        <v>261</v>
      </c>
      <c r="AH2717" t="s">
        <v>262</v>
      </c>
      <c r="AI2717" t="s">
        <v>262</v>
      </c>
      <c r="AJ2717" t="s">
        <v>261</v>
      </c>
      <c r="AK2717" t="s">
        <v>261</v>
      </c>
      <c r="AM2717" t="s">
        <v>262</v>
      </c>
      <c r="AN2717" t="s">
        <v>7437</v>
      </c>
    </row>
    <row r="2718" spans="1:40" x14ac:dyDescent="0.35">
      <c r="A2718">
        <v>6735989</v>
      </c>
      <c r="B2718" t="s">
        <v>7438</v>
      </c>
      <c r="C2718" t="str">
        <f>"9783030757960"</f>
        <v>9783030757960</v>
      </c>
      <c r="D2718" t="str">
        <f>"9783030757977"</f>
        <v>9783030757977</v>
      </c>
      <c r="E2718" t="s">
        <v>2289</v>
      </c>
      <c r="F2718" t="s">
        <v>2663</v>
      </c>
      <c r="G2718" s="1">
        <v>44467</v>
      </c>
      <c r="H2718" s="1">
        <v>44676</v>
      </c>
      <c r="I2718" t="s">
        <v>189</v>
      </c>
      <c r="L2718" t="s">
        <v>7439</v>
      </c>
    </row>
    <row r="2719" spans="1:40" x14ac:dyDescent="0.35">
      <c r="A2719">
        <v>6736371</v>
      </c>
      <c r="B2719" t="s">
        <v>7440</v>
      </c>
      <c r="C2719" t="str">
        <f>"9783030778378"</f>
        <v>9783030778378</v>
      </c>
      <c r="D2719" t="str">
        <f>"9783030778385"</f>
        <v>9783030778385</v>
      </c>
      <c r="E2719" t="s">
        <v>2289</v>
      </c>
      <c r="F2719" t="s">
        <v>2290</v>
      </c>
      <c r="G2719" s="1">
        <v>44468</v>
      </c>
      <c r="H2719" s="1">
        <v>44476</v>
      </c>
      <c r="I2719" t="s">
        <v>189</v>
      </c>
      <c r="K2719" t="s">
        <v>6524</v>
      </c>
      <c r="L2719" t="s">
        <v>7441</v>
      </c>
    </row>
    <row r="2720" spans="1:40" x14ac:dyDescent="0.35">
      <c r="A2720">
        <v>6736742</v>
      </c>
      <c r="B2720" t="s">
        <v>7442</v>
      </c>
      <c r="C2720" t="str">
        <f>"9781800642614"</f>
        <v>9781800642614</v>
      </c>
      <c r="D2720" t="str">
        <f>"9781800642621"</f>
        <v>9781800642621</v>
      </c>
      <c r="E2720" t="s">
        <v>1807</v>
      </c>
      <c r="F2720" t="s">
        <v>1807</v>
      </c>
      <c r="G2720" s="1">
        <v>44467</v>
      </c>
      <c r="H2720" s="1">
        <v>44469</v>
      </c>
      <c r="I2720" t="s">
        <v>189</v>
      </c>
      <c r="J2720">
        <v>1</v>
      </c>
      <c r="L2720" t="s">
        <v>7443</v>
      </c>
    </row>
    <row r="2721" spans="1:40" x14ac:dyDescent="0.35">
      <c r="A2721">
        <v>6736833</v>
      </c>
      <c r="B2721" t="s">
        <v>7444</v>
      </c>
      <c r="C2721" t="str">
        <f>"9789811653902"</f>
        <v>9789811653902</v>
      </c>
      <c r="D2721" t="str">
        <f>"9789811653919"</f>
        <v>9789811653919</v>
      </c>
      <c r="E2721" t="s">
        <v>3404</v>
      </c>
      <c r="F2721" t="s">
        <v>2290</v>
      </c>
      <c r="G2721" s="1">
        <v>44468</v>
      </c>
      <c r="H2721" s="1">
        <v>44676</v>
      </c>
      <c r="I2721" t="s">
        <v>189</v>
      </c>
      <c r="K2721" t="s">
        <v>7445</v>
      </c>
      <c r="L2721" t="s">
        <v>7446</v>
      </c>
    </row>
    <row r="2722" spans="1:40" x14ac:dyDescent="0.35">
      <c r="A2722">
        <v>6737898</v>
      </c>
      <c r="B2722" t="s">
        <v>7447</v>
      </c>
      <c r="C2722" t="str">
        <f>"9782759232840"</f>
        <v>9782759232840</v>
      </c>
      <c r="D2722" t="str">
        <f>"9782759232864"</f>
        <v>9782759232864</v>
      </c>
      <c r="E2722" t="s">
        <v>1928</v>
      </c>
      <c r="F2722" t="s">
        <v>1928</v>
      </c>
      <c r="G2722" s="1">
        <v>44470</v>
      </c>
      <c r="H2722" s="1">
        <v>44483</v>
      </c>
      <c r="I2722" t="s">
        <v>189</v>
      </c>
      <c r="K2722" t="s">
        <v>7347</v>
      </c>
      <c r="L2722" t="s">
        <v>2004</v>
      </c>
    </row>
    <row r="2723" spans="1:40" x14ac:dyDescent="0.35">
      <c r="A2723">
        <v>6737997</v>
      </c>
      <c r="B2723" t="s">
        <v>7448</v>
      </c>
      <c r="C2723" t="str">
        <f>"9789811640667"</f>
        <v>9789811640667</v>
      </c>
      <c r="D2723" t="str">
        <f>"9789811640674"</f>
        <v>9789811640674</v>
      </c>
      <c r="E2723" t="s">
        <v>3404</v>
      </c>
      <c r="F2723" t="s">
        <v>2290</v>
      </c>
      <c r="G2723" s="1">
        <v>44469</v>
      </c>
      <c r="H2723" s="1">
        <v>44676</v>
      </c>
      <c r="I2723" t="s">
        <v>189</v>
      </c>
      <c r="L2723" t="s">
        <v>7449</v>
      </c>
    </row>
    <row r="2724" spans="1:40" x14ac:dyDescent="0.35">
      <c r="A2724">
        <v>6738886</v>
      </c>
      <c r="B2724" t="s">
        <v>7450</v>
      </c>
      <c r="C2724" t="str">
        <f>"9783030788841"</f>
        <v>9783030788841</v>
      </c>
      <c r="D2724" t="str">
        <f>"9783030788858"</f>
        <v>9783030788858</v>
      </c>
      <c r="E2724" t="s">
        <v>2289</v>
      </c>
      <c r="F2724" t="s">
        <v>2663</v>
      </c>
      <c r="G2724" s="1">
        <v>44470</v>
      </c>
      <c r="H2724" s="1">
        <v>44676</v>
      </c>
      <c r="I2724" t="s">
        <v>189</v>
      </c>
      <c r="K2724" t="s">
        <v>5573</v>
      </c>
      <c r="L2724" t="s">
        <v>6187</v>
      </c>
    </row>
    <row r="2725" spans="1:40" x14ac:dyDescent="0.35">
      <c r="A2725">
        <v>6738887</v>
      </c>
      <c r="B2725" t="s">
        <v>7451</v>
      </c>
      <c r="C2725" t="str">
        <f>"9783030768362"</f>
        <v>9783030768362</v>
      </c>
      <c r="D2725" t="str">
        <f>"9783030768379"</f>
        <v>9783030768379</v>
      </c>
      <c r="E2725" t="s">
        <v>2289</v>
      </c>
      <c r="F2725" t="s">
        <v>2290</v>
      </c>
      <c r="G2725" s="1">
        <v>44470</v>
      </c>
      <c r="H2725" s="1">
        <v>44676</v>
      </c>
      <c r="I2725" t="s">
        <v>189</v>
      </c>
      <c r="K2725" t="s">
        <v>7452</v>
      </c>
      <c r="L2725" t="s">
        <v>7453</v>
      </c>
    </row>
    <row r="2726" spans="1:40" x14ac:dyDescent="0.35">
      <c r="A2726">
        <v>6739189</v>
      </c>
      <c r="B2726" t="s">
        <v>7454</v>
      </c>
      <c r="C2726" t="str">
        <f>"9783030839437"</f>
        <v>9783030839437</v>
      </c>
      <c r="D2726" t="str">
        <f>"9783030839444"</f>
        <v>9783030839444</v>
      </c>
      <c r="E2726" t="s">
        <v>2289</v>
      </c>
      <c r="F2726" t="s">
        <v>2290</v>
      </c>
      <c r="G2726" s="1">
        <v>44471</v>
      </c>
      <c r="H2726" s="1">
        <v>44676</v>
      </c>
      <c r="I2726" t="s">
        <v>189</v>
      </c>
      <c r="K2726" t="s">
        <v>4447</v>
      </c>
      <c r="L2726" t="s">
        <v>7455</v>
      </c>
      <c r="M2726" t="s">
        <v>582</v>
      </c>
      <c r="N2726" t="s">
        <v>5298</v>
      </c>
      <c r="Q2726" t="s">
        <v>260</v>
      </c>
      <c r="R2726" t="s">
        <v>261</v>
      </c>
      <c r="S2726" t="s">
        <v>261</v>
      </c>
      <c r="T2726" t="s">
        <v>261</v>
      </c>
      <c r="U2726" t="s">
        <v>262</v>
      </c>
      <c r="V2726" t="s">
        <v>262</v>
      </c>
      <c r="W2726" t="s">
        <v>261</v>
      </c>
      <c r="X2726" t="s">
        <v>262</v>
      </c>
      <c r="Y2726" t="s">
        <v>261</v>
      </c>
      <c r="Z2726" t="s">
        <v>409</v>
      </c>
      <c r="AA2726" t="s">
        <v>409</v>
      </c>
      <c r="AB2726" t="s">
        <v>409</v>
      </c>
      <c r="AC2726" t="s">
        <v>409</v>
      </c>
      <c r="AD2726" t="s">
        <v>261</v>
      </c>
      <c r="AH2726" t="s">
        <v>262</v>
      </c>
      <c r="AI2726" t="s">
        <v>262</v>
      </c>
      <c r="AJ2726" t="s">
        <v>261</v>
      </c>
      <c r="AK2726" t="s">
        <v>261</v>
      </c>
      <c r="AM2726" t="s">
        <v>262</v>
      </c>
      <c r="AN2726" t="s">
        <v>7456</v>
      </c>
    </row>
    <row r="2727" spans="1:40" x14ac:dyDescent="0.35">
      <c r="A2727">
        <v>6739190</v>
      </c>
      <c r="B2727" t="s">
        <v>7457</v>
      </c>
      <c r="C2727" t="str">
        <f>"9783030802332"</f>
        <v>9783030802332</v>
      </c>
      <c r="D2727" t="str">
        <f>"9783030802349"</f>
        <v>9783030802349</v>
      </c>
      <c r="E2727" t="s">
        <v>2289</v>
      </c>
      <c r="F2727" t="s">
        <v>2290</v>
      </c>
      <c r="G2727" s="1">
        <v>44471</v>
      </c>
      <c r="H2727" s="1">
        <v>44676</v>
      </c>
      <c r="I2727" t="s">
        <v>189</v>
      </c>
      <c r="K2727" t="s">
        <v>6105</v>
      </c>
      <c r="L2727" t="s">
        <v>7458</v>
      </c>
    </row>
    <row r="2728" spans="1:40" x14ac:dyDescent="0.35">
      <c r="A2728">
        <v>6739191</v>
      </c>
      <c r="B2728" t="s">
        <v>7459</v>
      </c>
      <c r="C2728" t="str">
        <f>"9783030744427"</f>
        <v>9783030744427</v>
      </c>
      <c r="D2728" t="str">
        <f>"9783030744434"</f>
        <v>9783030744434</v>
      </c>
      <c r="E2728" t="s">
        <v>2289</v>
      </c>
      <c r="F2728" t="s">
        <v>2663</v>
      </c>
      <c r="G2728" s="1">
        <v>44474</v>
      </c>
      <c r="H2728" s="1">
        <v>44676</v>
      </c>
      <c r="I2728" t="s">
        <v>189</v>
      </c>
      <c r="K2728" t="s">
        <v>4945</v>
      </c>
      <c r="L2728" t="s">
        <v>7460</v>
      </c>
    </row>
    <row r="2729" spans="1:40" x14ac:dyDescent="0.35">
      <c r="A2729">
        <v>6739213</v>
      </c>
      <c r="B2729" t="s">
        <v>7461</v>
      </c>
      <c r="C2729" t="str">
        <f>""</f>
        <v/>
      </c>
      <c r="D2729" t="str">
        <f>"9789179296391"</f>
        <v>9789179296391</v>
      </c>
      <c r="E2729" t="s">
        <v>3642</v>
      </c>
      <c r="F2729" t="s">
        <v>3642</v>
      </c>
      <c r="G2729" s="1">
        <v>44466</v>
      </c>
      <c r="H2729" s="1">
        <v>44480</v>
      </c>
      <c r="I2729" t="s">
        <v>189</v>
      </c>
      <c r="J2729">
        <v>1</v>
      </c>
      <c r="L2729" t="s">
        <v>7462</v>
      </c>
      <c r="Q2729" t="s">
        <v>260</v>
      </c>
      <c r="R2729" t="s">
        <v>261</v>
      </c>
      <c r="S2729" t="s">
        <v>261</v>
      </c>
      <c r="T2729" t="s">
        <v>261</v>
      </c>
      <c r="U2729" t="s">
        <v>261</v>
      </c>
      <c r="V2729" t="s">
        <v>262</v>
      </c>
      <c r="W2729" t="s">
        <v>261</v>
      </c>
      <c r="X2729" t="s">
        <v>261</v>
      </c>
      <c r="Y2729" t="s">
        <v>261</v>
      </c>
      <c r="AD2729" t="s">
        <v>261</v>
      </c>
      <c r="AH2729" t="s">
        <v>262</v>
      </c>
      <c r="AI2729" t="s">
        <v>261</v>
      </c>
      <c r="AJ2729" t="s">
        <v>261</v>
      </c>
      <c r="AK2729" t="s">
        <v>261</v>
      </c>
      <c r="AM2729" t="s">
        <v>262</v>
      </c>
      <c r="AN2729" t="s">
        <v>7463</v>
      </c>
    </row>
    <row r="2730" spans="1:40" x14ac:dyDescent="0.35">
      <c r="A2730">
        <v>6739214</v>
      </c>
      <c r="B2730" t="s">
        <v>7464</v>
      </c>
      <c r="C2730" t="str">
        <f>""</f>
        <v/>
      </c>
      <c r="D2730" t="str">
        <f>"9789179290399"</f>
        <v>9789179290399</v>
      </c>
      <c r="E2730" t="s">
        <v>3642</v>
      </c>
      <c r="F2730" t="s">
        <v>3642</v>
      </c>
      <c r="G2730" s="1">
        <v>44460</v>
      </c>
      <c r="H2730" s="1">
        <v>44480</v>
      </c>
      <c r="I2730" t="s">
        <v>189</v>
      </c>
      <c r="J2730">
        <v>1</v>
      </c>
      <c r="L2730" t="s">
        <v>7465</v>
      </c>
      <c r="Q2730" t="s">
        <v>260</v>
      </c>
      <c r="R2730" t="s">
        <v>261</v>
      </c>
      <c r="S2730" t="s">
        <v>261</v>
      </c>
      <c r="T2730" t="s">
        <v>261</v>
      </c>
      <c r="U2730" t="s">
        <v>261</v>
      </c>
      <c r="V2730" t="s">
        <v>262</v>
      </c>
      <c r="W2730" t="s">
        <v>261</v>
      </c>
      <c r="X2730" t="s">
        <v>261</v>
      </c>
      <c r="Y2730" t="s">
        <v>261</v>
      </c>
      <c r="AD2730" t="s">
        <v>261</v>
      </c>
      <c r="AH2730" t="s">
        <v>262</v>
      </c>
      <c r="AI2730" t="s">
        <v>261</v>
      </c>
      <c r="AJ2730" t="s">
        <v>261</v>
      </c>
      <c r="AK2730" t="s">
        <v>261</v>
      </c>
      <c r="AM2730" t="s">
        <v>262</v>
      </c>
      <c r="AN2730" t="s">
        <v>7466</v>
      </c>
    </row>
    <row r="2731" spans="1:40" x14ac:dyDescent="0.35">
      <c r="A2731">
        <v>6739215</v>
      </c>
      <c r="B2731" t="s">
        <v>7467</v>
      </c>
      <c r="C2731" t="str">
        <f>""</f>
        <v/>
      </c>
      <c r="D2731" t="str">
        <f>"9789179290085"</f>
        <v>9789179290085</v>
      </c>
      <c r="E2731" t="s">
        <v>3642</v>
      </c>
      <c r="F2731" t="s">
        <v>3642</v>
      </c>
      <c r="G2731" s="1">
        <v>44438</v>
      </c>
      <c r="H2731" s="1">
        <v>44473</v>
      </c>
      <c r="I2731" t="s">
        <v>189</v>
      </c>
      <c r="J2731">
        <v>1</v>
      </c>
      <c r="L2731" t="s">
        <v>7468</v>
      </c>
      <c r="Q2731" t="s">
        <v>260</v>
      </c>
      <c r="R2731" t="s">
        <v>261</v>
      </c>
      <c r="S2731" t="s">
        <v>261</v>
      </c>
      <c r="T2731" t="s">
        <v>261</v>
      </c>
      <c r="U2731" t="s">
        <v>261</v>
      </c>
      <c r="V2731" t="s">
        <v>262</v>
      </c>
      <c r="W2731" t="s">
        <v>261</v>
      </c>
      <c r="X2731" t="s">
        <v>261</v>
      </c>
      <c r="Y2731" t="s">
        <v>261</v>
      </c>
      <c r="AD2731" t="s">
        <v>261</v>
      </c>
      <c r="AH2731" t="s">
        <v>262</v>
      </c>
      <c r="AI2731" t="s">
        <v>261</v>
      </c>
      <c r="AJ2731" t="s">
        <v>261</v>
      </c>
      <c r="AK2731" t="s">
        <v>261</v>
      </c>
      <c r="AM2731" t="s">
        <v>262</v>
      </c>
      <c r="AN2731" t="s">
        <v>7469</v>
      </c>
    </row>
    <row r="2732" spans="1:40" x14ac:dyDescent="0.35">
      <c r="A2732">
        <v>6739216</v>
      </c>
      <c r="B2732" t="s">
        <v>7470</v>
      </c>
      <c r="C2732" t="str">
        <f>""</f>
        <v/>
      </c>
      <c r="D2732" t="str">
        <f>"9789179296551"</f>
        <v>9789179296551</v>
      </c>
      <c r="E2732" t="s">
        <v>3642</v>
      </c>
      <c r="F2732" t="s">
        <v>3642</v>
      </c>
      <c r="G2732" s="1">
        <v>44459</v>
      </c>
      <c r="H2732" s="1">
        <v>44473</v>
      </c>
      <c r="I2732" t="s">
        <v>189</v>
      </c>
      <c r="J2732">
        <v>1</v>
      </c>
      <c r="L2732" t="s">
        <v>7471</v>
      </c>
      <c r="Q2732" t="s">
        <v>260</v>
      </c>
      <c r="R2732" t="s">
        <v>261</v>
      </c>
      <c r="S2732" t="s">
        <v>261</v>
      </c>
      <c r="T2732" t="s">
        <v>261</v>
      </c>
      <c r="U2732" t="s">
        <v>261</v>
      </c>
      <c r="V2732" t="s">
        <v>262</v>
      </c>
      <c r="W2732" t="s">
        <v>261</v>
      </c>
      <c r="X2732" t="s">
        <v>261</v>
      </c>
      <c r="Y2732" t="s">
        <v>261</v>
      </c>
      <c r="AD2732" t="s">
        <v>261</v>
      </c>
      <c r="AH2732" t="s">
        <v>262</v>
      </c>
      <c r="AI2732" t="s">
        <v>261</v>
      </c>
      <c r="AJ2732" t="s">
        <v>261</v>
      </c>
      <c r="AK2732" t="s">
        <v>261</v>
      </c>
      <c r="AM2732" t="s">
        <v>262</v>
      </c>
      <c r="AN2732" t="s">
        <v>7472</v>
      </c>
    </row>
    <row r="2733" spans="1:40" x14ac:dyDescent="0.35">
      <c r="A2733">
        <v>6739217</v>
      </c>
      <c r="B2733" t="s">
        <v>7473</v>
      </c>
      <c r="C2733" t="str">
        <f>""</f>
        <v/>
      </c>
      <c r="D2733" t="str">
        <f>"9789179290078"</f>
        <v>9789179290078</v>
      </c>
      <c r="E2733" t="s">
        <v>3642</v>
      </c>
      <c r="F2733" t="s">
        <v>3642</v>
      </c>
      <c r="G2733" s="1">
        <v>44461</v>
      </c>
      <c r="H2733" s="1">
        <v>44473</v>
      </c>
      <c r="I2733" t="s">
        <v>189</v>
      </c>
      <c r="J2733">
        <v>1</v>
      </c>
      <c r="L2733" t="s">
        <v>7474</v>
      </c>
      <c r="Q2733" t="s">
        <v>260</v>
      </c>
      <c r="R2733" t="s">
        <v>261</v>
      </c>
      <c r="S2733" t="s">
        <v>261</v>
      </c>
      <c r="T2733" t="s">
        <v>261</v>
      </c>
      <c r="U2733" t="s">
        <v>261</v>
      </c>
      <c r="V2733" t="s">
        <v>262</v>
      </c>
      <c r="W2733" t="s">
        <v>261</v>
      </c>
      <c r="X2733" t="s">
        <v>261</v>
      </c>
      <c r="Y2733" t="s">
        <v>261</v>
      </c>
      <c r="AD2733" t="s">
        <v>261</v>
      </c>
      <c r="AH2733" t="s">
        <v>262</v>
      </c>
      <c r="AI2733" t="s">
        <v>261</v>
      </c>
      <c r="AJ2733" t="s">
        <v>261</v>
      </c>
      <c r="AK2733" t="s">
        <v>261</v>
      </c>
      <c r="AM2733" t="s">
        <v>262</v>
      </c>
      <c r="AN2733" t="s">
        <v>7475</v>
      </c>
    </row>
    <row r="2734" spans="1:40" x14ac:dyDescent="0.35">
      <c r="A2734">
        <v>6739219</v>
      </c>
      <c r="B2734" t="s">
        <v>7476</v>
      </c>
      <c r="C2734" t="str">
        <f>""</f>
        <v/>
      </c>
      <c r="D2734" t="str">
        <f>"9789179290054"</f>
        <v>9789179290054</v>
      </c>
      <c r="E2734" t="s">
        <v>3642</v>
      </c>
      <c r="F2734" t="s">
        <v>3642</v>
      </c>
      <c r="G2734" s="1">
        <v>44469</v>
      </c>
      <c r="H2734" s="1">
        <v>44473</v>
      </c>
      <c r="I2734" t="s">
        <v>189</v>
      </c>
      <c r="J2734">
        <v>1</v>
      </c>
      <c r="L2734" t="s">
        <v>7477</v>
      </c>
      <c r="Q2734" t="s">
        <v>260</v>
      </c>
      <c r="R2734" t="s">
        <v>261</v>
      </c>
      <c r="S2734" t="s">
        <v>261</v>
      </c>
      <c r="T2734" t="s">
        <v>261</v>
      </c>
      <c r="U2734" t="s">
        <v>261</v>
      </c>
      <c r="V2734" t="s">
        <v>262</v>
      </c>
      <c r="W2734" t="s">
        <v>261</v>
      </c>
      <c r="X2734" t="s">
        <v>261</v>
      </c>
      <c r="Y2734" t="s">
        <v>261</v>
      </c>
      <c r="AD2734" t="s">
        <v>261</v>
      </c>
      <c r="AH2734" t="s">
        <v>262</v>
      </c>
      <c r="AI2734" t="s">
        <v>261</v>
      </c>
      <c r="AJ2734" t="s">
        <v>261</v>
      </c>
      <c r="AK2734" t="s">
        <v>261</v>
      </c>
      <c r="AM2734" t="s">
        <v>262</v>
      </c>
      <c r="AN2734" t="s">
        <v>7478</v>
      </c>
    </row>
    <row r="2735" spans="1:40" x14ac:dyDescent="0.35">
      <c r="A2735">
        <v>6741290</v>
      </c>
      <c r="B2735" t="s">
        <v>7479</v>
      </c>
      <c r="C2735" t="str">
        <f>"9783658339807"</f>
        <v>9783658339807</v>
      </c>
      <c r="D2735" t="str">
        <f>"9783658339814"</f>
        <v>9783658339814</v>
      </c>
      <c r="E2735" t="s">
        <v>3972</v>
      </c>
      <c r="F2735" t="s">
        <v>4048</v>
      </c>
      <c r="G2735" s="1">
        <v>44453</v>
      </c>
      <c r="H2735" s="1">
        <v>44676</v>
      </c>
      <c r="I2735" t="s">
        <v>189</v>
      </c>
      <c r="K2735" t="s">
        <v>6089</v>
      </c>
      <c r="L2735" t="s">
        <v>7480</v>
      </c>
      <c r="M2735" t="s">
        <v>1318</v>
      </c>
      <c r="N2735" t="s">
        <v>6091</v>
      </c>
      <c r="Q2735" t="s">
        <v>408</v>
      </c>
      <c r="R2735" t="s">
        <v>261</v>
      </c>
      <c r="S2735" t="s">
        <v>261</v>
      </c>
      <c r="T2735" t="s">
        <v>261</v>
      </c>
      <c r="U2735" t="s">
        <v>261</v>
      </c>
      <c r="V2735" t="s">
        <v>262</v>
      </c>
      <c r="W2735" t="s">
        <v>261</v>
      </c>
      <c r="X2735" t="s">
        <v>261</v>
      </c>
      <c r="Y2735" t="s">
        <v>261</v>
      </c>
      <c r="Z2735" t="s">
        <v>409</v>
      </c>
      <c r="AA2735" t="s">
        <v>409</v>
      </c>
      <c r="AB2735" t="s">
        <v>409</v>
      </c>
      <c r="AC2735" t="s">
        <v>409</v>
      </c>
      <c r="AD2735" t="s">
        <v>261</v>
      </c>
      <c r="AH2735" t="s">
        <v>262</v>
      </c>
      <c r="AI2735" t="s">
        <v>262</v>
      </c>
      <c r="AJ2735" t="s">
        <v>261</v>
      </c>
      <c r="AK2735" t="s">
        <v>261</v>
      </c>
      <c r="AM2735" t="s">
        <v>262</v>
      </c>
      <c r="AN2735" t="s">
        <v>7481</v>
      </c>
    </row>
    <row r="2736" spans="1:40" x14ac:dyDescent="0.35">
      <c r="A2736">
        <v>6743494</v>
      </c>
      <c r="B2736" t="s">
        <v>7482</v>
      </c>
      <c r="C2736" t="str">
        <f>"9780939512065"</f>
        <v>9780939512065</v>
      </c>
      <c r="D2736" t="str">
        <f>"9780472901982"</f>
        <v>9780472901982</v>
      </c>
      <c r="E2736" t="s">
        <v>6163</v>
      </c>
      <c r="F2736" t="s">
        <v>6163</v>
      </c>
      <c r="G2736" s="1">
        <v>29952</v>
      </c>
      <c r="H2736" s="1">
        <v>44491</v>
      </c>
      <c r="I2736" t="s">
        <v>189</v>
      </c>
      <c r="K2736" t="s">
        <v>6164</v>
      </c>
      <c r="L2736" t="s">
        <v>7483</v>
      </c>
      <c r="M2736" t="s">
        <v>210</v>
      </c>
      <c r="N2736" t="s">
        <v>7484</v>
      </c>
      <c r="Q2736" t="s">
        <v>260</v>
      </c>
      <c r="R2736" t="s">
        <v>261</v>
      </c>
      <c r="S2736" t="s">
        <v>261</v>
      </c>
      <c r="T2736" t="s">
        <v>261</v>
      </c>
      <c r="U2736" t="s">
        <v>261</v>
      </c>
      <c r="V2736" t="s">
        <v>262</v>
      </c>
      <c r="W2736" t="s">
        <v>261</v>
      </c>
      <c r="X2736" t="s">
        <v>261</v>
      </c>
      <c r="Y2736" t="s">
        <v>261</v>
      </c>
      <c r="AB2736" t="s">
        <v>409</v>
      </c>
      <c r="AD2736" t="s">
        <v>261</v>
      </c>
      <c r="AH2736" t="s">
        <v>262</v>
      </c>
      <c r="AI2736" t="s">
        <v>262</v>
      </c>
      <c r="AJ2736" t="s">
        <v>261</v>
      </c>
      <c r="AK2736" t="s">
        <v>261</v>
      </c>
      <c r="AM2736" t="s">
        <v>262</v>
      </c>
      <c r="AN2736" t="s">
        <v>7485</v>
      </c>
    </row>
    <row r="2737" spans="1:40" x14ac:dyDescent="0.35">
      <c r="A2737">
        <v>6743511</v>
      </c>
      <c r="B2737" t="s">
        <v>7486</v>
      </c>
      <c r="C2737" t="str">
        <f>"9780939512287"</f>
        <v>9780939512287</v>
      </c>
      <c r="D2737" t="str">
        <f>"9780472902057"</f>
        <v>9780472902057</v>
      </c>
      <c r="E2737" t="s">
        <v>6163</v>
      </c>
      <c r="F2737" t="s">
        <v>6163</v>
      </c>
      <c r="G2737" s="1">
        <v>30682</v>
      </c>
      <c r="H2737" s="1">
        <v>44491</v>
      </c>
      <c r="I2737" t="s">
        <v>189</v>
      </c>
      <c r="L2737" t="s">
        <v>6165</v>
      </c>
    </row>
    <row r="2738" spans="1:40" x14ac:dyDescent="0.35">
      <c r="A2738">
        <v>6743520</v>
      </c>
      <c r="B2738" t="s">
        <v>7487</v>
      </c>
      <c r="C2738" t="str">
        <f>"9783030788926"</f>
        <v>9783030788926</v>
      </c>
      <c r="D2738" t="str">
        <f>"9783030788933"</f>
        <v>9783030788933</v>
      </c>
      <c r="E2738" t="s">
        <v>2289</v>
      </c>
      <c r="F2738" t="s">
        <v>2290</v>
      </c>
      <c r="G2738" s="1">
        <v>44474</v>
      </c>
      <c r="H2738" s="1">
        <v>44676</v>
      </c>
      <c r="I2738" t="s">
        <v>189</v>
      </c>
      <c r="L2738" t="s">
        <v>5792</v>
      </c>
    </row>
    <row r="2739" spans="1:40" x14ac:dyDescent="0.35">
      <c r="A2739">
        <v>6743521</v>
      </c>
      <c r="B2739" t="s">
        <v>7488</v>
      </c>
      <c r="C2739" t="str">
        <f>"9783030797386"</f>
        <v>9783030797386</v>
      </c>
      <c r="D2739" t="str">
        <f>"9783030797393"</f>
        <v>9783030797393</v>
      </c>
      <c r="E2739" t="s">
        <v>2289</v>
      </c>
      <c r="F2739" t="s">
        <v>2663</v>
      </c>
      <c r="G2739" s="1">
        <v>44474</v>
      </c>
      <c r="H2739" s="1">
        <v>44676</v>
      </c>
      <c r="I2739" t="s">
        <v>189</v>
      </c>
      <c r="L2739" t="s">
        <v>7489</v>
      </c>
    </row>
    <row r="2740" spans="1:40" x14ac:dyDescent="0.35">
      <c r="A2740">
        <v>6743522</v>
      </c>
      <c r="B2740" t="s">
        <v>7490</v>
      </c>
      <c r="C2740" t="str">
        <f>"9783030821586"</f>
        <v>9783030821586</v>
      </c>
      <c r="D2740" t="str">
        <f>"9783030821593"</f>
        <v>9783030821593</v>
      </c>
      <c r="E2740" t="s">
        <v>2289</v>
      </c>
      <c r="F2740" t="s">
        <v>2290</v>
      </c>
      <c r="G2740" s="1">
        <v>44474</v>
      </c>
      <c r="H2740" s="1">
        <v>44676</v>
      </c>
      <c r="I2740" t="s">
        <v>189</v>
      </c>
      <c r="K2740" t="s">
        <v>7491</v>
      </c>
      <c r="L2740" t="s">
        <v>4530</v>
      </c>
    </row>
    <row r="2741" spans="1:40" x14ac:dyDescent="0.35">
      <c r="A2741">
        <v>6743523</v>
      </c>
      <c r="B2741" t="s">
        <v>7492</v>
      </c>
      <c r="C2741" t="str">
        <f>"9783658314651"</f>
        <v>9783658314651</v>
      </c>
      <c r="D2741" t="str">
        <f>"9783658314668"</f>
        <v>9783658314668</v>
      </c>
      <c r="E2741" t="s">
        <v>3972</v>
      </c>
      <c r="F2741" t="s">
        <v>3998</v>
      </c>
      <c r="G2741" s="1">
        <v>44474</v>
      </c>
      <c r="H2741" s="1">
        <v>44676</v>
      </c>
      <c r="I2741" t="s">
        <v>189</v>
      </c>
      <c r="L2741" t="s">
        <v>7493</v>
      </c>
    </row>
    <row r="2742" spans="1:40" x14ac:dyDescent="0.35">
      <c r="A2742">
        <v>6745245</v>
      </c>
      <c r="B2742" t="s">
        <v>7494</v>
      </c>
      <c r="C2742" t="str">
        <f>""</f>
        <v/>
      </c>
      <c r="D2742" t="str">
        <f>"9782759233083"</f>
        <v>9782759233083</v>
      </c>
      <c r="E2742" t="s">
        <v>1928</v>
      </c>
      <c r="F2742" t="s">
        <v>1928</v>
      </c>
      <c r="G2742" s="1">
        <v>44476</v>
      </c>
      <c r="H2742" s="1">
        <v>44491</v>
      </c>
      <c r="I2742" t="s">
        <v>189</v>
      </c>
      <c r="K2742" t="s">
        <v>2571</v>
      </c>
      <c r="L2742" t="s">
        <v>7495</v>
      </c>
    </row>
    <row r="2743" spans="1:40" x14ac:dyDescent="0.35">
      <c r="A2743">
        <v>6745788</v>
      </c>
      <c r="B2743" t="s">
        <v>7496</v>
      </c>
      <c r="C2743" t="str">
        <f>"9789811640780"</f>
        <v>9789811640780</v>
      </c>
      <c r="D2743" t="str">
        <f>"9789811640797"</f>
        <v>9789811640797</v>
      </c>
      <c r="E2743" t="s">
        <v>3404</v>
      </c>
      <c r="F2743" t="s">
        <v>2290</v>
      </c>
      <c r="G2743" s="1">
        <v>44475</v>
      </c>
      <c r="H2743" s="1">
        <v>44676</v>
      </c>
      <c r="I2743" t="s">
        <v>189</v>
      </c>
      <c r="K2743" t="s">
        <v>7497</v>
      </c>
      <c r="L2743" t="s">
        <v>7498</v>
      </c>
      <c r="M2743" t="s">
        <v>239</v>
      </c>
      <c r="N2743" t="s">
        <v>7499</v>
      </c>
      <c r="Q2743" t="s">
        <v>260</v>
      </c>
      <c r="R2743" t="s">
        <v>261</v>
      </c>
      <c r="S2743" t="s">
        <v>261</v>
      </c>
      <c r="T2743" t="s">
        <v>261</v>
      </c>
      <c r="U2743" t="s">
        <v>261</v>
      </c>
      <c r="V2743" t="s">
        <v>262</v>
      </c>
      <c r="W2743" t="s">
        <v>261</v>
      </c>
      <c r="X2743" t="s">
        <v>261</v>
      </c>
      <c r="Y2743" t="s">
        <v>261</v>
      </c>
      <c r="Z2743" t="s">
        <v>409</v>
      </c>
      <c r="AA2743" t="s">
        <v>409</v>
      </c>
      <c r="AB2743" t="s">
        <v>409</v>
      </c>
      <c r="AC2743" t="s">
        <v>409</v>
      </c>
      <c r="AD2743" t="s">
        <v>261</v>
      </c>
      <c r="AH2743" t="s">
        <v>262</v>
      </c>
      <c r="AI2743" t="s">
        <v>262</v>
      </c>
      <c r="AJ2743" t="s">
        <v>261</v>
      </c>
      <c r="AK2743" t="s">
        <v>261</v>
      </c>
      <c r="AM2743" t="s">
        <v>262</v>
      </c>
      <c r="AN2743" t="s">
        <v>7500</v>
      </c>
    </row>
    <row r="2744" spans="1:40" x14ac:dyDescent="0.35">
      <c r="A2744">
        <v>6747568</v>
      </c>
      <c r="B2744" t="s">
        <v>7501</v>
      </c>
      <c r="C2744" t="str">
        <f>"9783662641392"</f>
        <v>9783662641392</v>
      </c>
      <c r="D2744" t="str">
        <f>"9783662641408"</f>
        <v>9783662641408</v>
      </c>
      <c r="E2744" t="s">
        <v>4047</v>
      </c>
      <c r="F2744" t="s">
        <v>4084</v>
      </c>
      <c r="G2744" s="1">
        <v>44477</v>
      </c>
      <c r="H2744" s="1">
        <v>44676</v>
      </c>
      <c r="I2744" t="s">
        <v>189</v>
      </c>
      <c r="L2744" t="s">
        <v>6206</v>
      </c>
    </row>
    <row r="2745" spans="1:40" x14ac:dyDescent="0.35">
      <c r="A2745">
        <v>6747838</v>
      </c>
      <c r="B2745" t="s">
        <v>7502</v>
      </c>
      <c r="C2745" t="str">
        <f>"9783030742393"</f>
        <v>9783030742393</v>
      </c>
      <c r="D2745" t="str">
        <f>"9783030742409"</f>
        <v>9783030742409</v>
      </c>
      <c r="E2745" t="s">
        <v>2289</v>
      </c>
      <c r="F2745" t="s">
        <v>2290</v>
      </c>
      <c r="G2745" s="1">
        <v>44478</v>
      </c>
      <c r="H2745" s="1">
        <v>44676</v>
      </c>
      <c r="I2745" t="s">
        <v>189</v>
      </c>
      <c r="K2745" t="s">
        <v>7503</v>
      </c>
      <c r="L2745" t="s">
        <v>7504</v>
      </c>
      <c r="M2745" t="s">
        <v>316</v>
      </c>
      <c r="N2745" t="s">
        <v>7505</v>
      </c>
      <c r="Q2745" t="s">
        <v>260</v>
      </c>
      <c r="R2745" t="s">
        <v>261</v>
      </c>
      <c r="S2745" t="s">
        <v>261</v>
      </c>
      <c r="T2745" t="s">
        <v>261</v>
      </c>
      <c r="U2745" t="s">
        <v>261</v>
      </c>
      <c r="V2745" t="s">
        <v>262</v>
      </c>
      <c r="W2745" t="s">
        <v>261</v>
      </c>
      <c r="X2745" t="s">
        <v>261</v>
      </c>
      <c r="Y2745" t="s">
        <v>261</v>
      </c>
      <c r="Z2745" t="s">
        <v>409</v>
      </c>
      <c r="AA2745" t="s">
        <v>409</v>
      </c>
      <c r="AB2745" t="s">
        <v>409</v>
      </c>
      <c r="AC2745" t="s">
        <v>409</v>
      </c>
      <c r="AD2745" t="s">
        <v>261</v>
      </c>
      <c r="AH2745" t="s">
        <v>262</v>
      </c>
      <c r="AI2745" t="s">
        <v>262</v>
      </c>
      <c r="AJ2745" t="s">
        <v>261</v>
      </c>
      <c r="AK2745" t="s">
        <v>261</v>
      </c>
      <c r="AM2745" t="s">
        <v>262</v>
      </c>
      <c r="AN2745" t="s">
        <v>7506</v>
      </c>
    </row>
    <row r="2746" spans="1:40" x14ac:dyDescent="0.35">
      <c r="A2746">
        <v>6747846</v>
      </c>
      <c r="B2746" t="s">
        <v>7507</v>
      </c>
      <c r="C2746" t="str">
        <f>""</f>
        <v/>
      </c>
      <c r="D2746" t="str">
        <f>"9789179296216"</f>
        <v>9789179296216</v>
      </c>
      <c r="E2746" t="s">
        <v>3642</v>
      </c>
      <c r="F2746" t="s">
        <v>3642</v>
      </c>
      <c r="G2746" s="1">
        <v>44460</v>
      </c>
      <c r="H2746" s="1">
        <v>44480</v>
      </c>
      <c r="I2746" t="s">
        <v>189</v>
      </c>
      <c r="J2746">
        <v>1</v>
      </c>
      <c r="L2746" t="s">
        <v>7508</v>
      </c>
      <c r="Q2746" t="s">
        <v>260</v>
      </c>
      <c r="R2746" t="s">
        <v>261</v>
      </c>
      <c r="S2746" t="s">
        <v>261</v>
      </c>
      <c r="T2746" t="s">
        <v>261</v>
      </c>
      <c r="U2746" t="s">
        <v>261</v>
      </c>
      <c r="V2746" t="s">
        <v>262</v>
      </c>
      <c r="W2746" t="s">
        <v>261</v>
      </c>
      <c r="X2746" t="s">
        <v>261</v>
      </c>
      <c r="Y2746" t="s">
        <v>261</v>
      </c>
      <c r="AD2746" t="s">
        <v>261</v>
      </c>
      <c r="AH2746" t="s">
        <v>262</v>
      </c>
      <c r="AI2746" t="s">
        <v>261</v>
      </c>
      <c r="AJ2746" t="s">
        <v>261</v>
      </c>
      <c r="AK2746" t="s">
        <v>261</v>
      </c>
      <c r="AM2746" t="s">
        <v>262</v>
      </c>
      <c r="AN2746" t="s">
        <v>7509</v>
      </c>
    </row>
    <row r="2747" spans="1:40" x14ac:dyDescent="0.35">
      <c r="A2747">
        <v>6747976</v>
      </c>
      <c r="B2747" t="s">
        <v>7510</v>
      </c>
      <c r="C2747" t="str">
        <f>"9783030786267"</f>
        <v>9783030786267</v>
      </c>
      <c r="D2747" t="str">
        <f>"9783030786274"</f>
        <v>9783030786274</v>
      </c>
      <c r="E2747" t="s">
        <v>2289</v>
      </c>
      <c r="F2747" t="s">
        <v>2290</v>
      </c>
      <c r="G2747" s="1">
        <v>44479</v>
      </c>
      <c r="H2747" s="1">
        <v>44676</v>
      </c>
      <c r="I2747" t="s">
        <v>189</v>
      </c>
      <c r="K2747" t="s">
        <v>7511</v>
      </c>
      <c r="L2747" t="s">
        <v>7512</v>
      </c>
      <c r="M2747" t="s">
        <v>964</v>
      </c>
      <c r="N2747" t="s">
        <v>5279</v>
      </c>
      <c r="Q2747" t="s">
        <v>260</v>
      </c>
      <c r="R2747" t="s">
        <v>261</v>
      </c>
      <c r="S2747" t="s">
        <v>261</v>
      </c>
      <c r="T2747" t="s">
        <v>261</v>
      </c>
      <c r="U2747" t="s">
        <v>262</v>
      </c>
      <c r="V2747" t="s">
        <v>262</v>
      </c>
      <c r="W2747" t="s">
        <v>261</v>
      </c>
      <c r="X2747" t="s">
        <v>262</v>
      </c>
      <c r="Y2747" t="s">
        <v>261</v>
      </c>
      <c r="Z2747" t="s">
        <v>409</v>
      </c>
      <c r="AA2747" t="s">
        <v>409</v>
      </c>
      <c r="AB2747" t="s">
        <v>409</v>
      </c>
      <c r="AC2747" t="s">
        <v>409</v>
      </c>
      <c r="AD2747" t="s">
        <v>261</v>
      </c>
      <c r="AH2747" t="s">
        <v>262</v>
      </c>
      <c r="AI2747" t="s">
        <v>262</v>
      </c>
      <c r="AJ2747" t="s">
        <v>261</v>
      </c>
      <c r="AK2747" t="s">
        <v>261</v>
      </c>
      <c r="AM2747" t="s">
        <v>262</v>
      </c>
      <c r="AN2747" t="s">
        <v>7513</v>
      </c>
    </row>
    <row r="2748" spans="1:40" x14ac:dyDescent="0.35">
      <c r="A2748">
        <v>6748746</v>
      </c>
      <c r="B2748" t="s">
        <v>7514</v>
      </c>
      <c r="C2748" t="str">
        <f>"9789811647246"</f>
        <v>9789811647246</v>
      </c>
      <c r="D2748" t="str">
        <f>"9789811647253"</f>
        <v>9789811647253</v>
      </c>
      <c r="E2748" t="s">
        <v>3404</v>
      </c>
      <c r="F2748" t="s">
        <v>2290</v>
      </c>
      <c r="G2748" s="1">
        <v>44480</v>
      </c>
      <c r="H2748" s="1">
        <v>44676</v>
      </c>
      <c r="I2748" t="s">
        <v>189</v>
      </c>
      <c r="L2748" t="s">
        <v>7515</v>
      </c>
      <c r="M2748" t="s">
        <v>210</v>
      </c>
      <c r="N2748" t="s">
        <v>5170</v>
      </c>
      <c r="Q2748" t="s">
        <v>260</v>
      </c>
      <c r="R2748" t="s">
        <v>261</v>
      </c>
      <c r="S2748" t="s">
        <v>261</v>
      </c>
      <c r="T2748" t="s">
        <v>261</v>
      </c>
      <c r="U2748" t="s">
        <v>262</v>
      </c>
      <c r="V2748" t="s">
        <v>262</v>
      </c>
      <c r="W2748" t="s">
        <v>261</v>
      </c>
      <c r="X2748" t="s">
        <v>262</v>
      </c>
      <c r="Y2748" t="s">
        <v>261</v>
      </c>
      <c r="Z2748" t="s">
        <v>409</v>
      </c>
      <c r="AA2748" t="s">
        <v>409</v>
      </c>
      <c r="AB2748" t="s">
        <v>409</v>
      </c>
      <c r="AC2748" t="s">
        <v>409</v>
      </c>
      <c r="AD2748" t="s">
        <v>261</v>
      </c>
      <c r="AH2748" t="s">
        <v>262</v>
      </c>
      <c r="AI2748" t="s">
        <v>262</v>
      </c>
      <c r="AJ2748" t="s">
        <v>261</v>
      </c>
      <c r="AK2748" t="s">
        <v>261</v>
      </c>
      <c r="AM2748" t="s">
        <v>262</v>
      </c>
      <c r="AN2748" t="s">
        <v>7516</v>
      </c>
    </row>
    <row r="2749" spans="1:40" x14ac:dyDescent="0.35">
      <c r="A2749">
        <v>6749215</v>
      </c>
      <c r="B2749" t="s">
        <v>7517</v>
      </c>
      <c r="C2749" t="str">
        <f>"9789811629037"</f>
        <v>9789811629037</v>
      </c>
      <c r="D2749" t="str">
        <f>"9789811629044"</f>
        <v>9789811629044</v>
      </c>
      <c r="E2749" t="s">
        <v>3404</v>
      </c>
      <c r="F2749" t="s">
        <v>2290</v>
      </c>
      <c r="G2749" s="1">
        <v>44481</v>
      </c>
      <c r="H2749" s="1">
        <v>44676</v>
      </c>
      <c r="I2749" t="s">
        <v>189</v>
      </c>
      <c r="K2749" t="s">
        <v>7518</v>
      </c>
      <c r="L2749" t="s">
        <v>7519</v>
      </c>
    </row>
    <row r="2750" spans="1:40" x14ac:dyDescent="0.35">
      <c r="A2750">
        <v>6749216</v>
      </c>
      <c r="B2750" t="s">
        <v>7520</v>
      </c>
      <c r="C2750" t="str">
        <f>"9783662629864"</f>
        <v>9783662629864</v>
      </c>
      <c r="D2750" t="str">
        <f>"9783662629871"</f>
        <v>9783662629871</v>
      </c>
      <c r="E2750" t="s">
        <v>4047</v>
      </c>
      <c r="F2750" t="s">
        <v>2290</v>
      </c>
      <c r="G2750" s="1">
        <v>44481</v>
      </c>
      <c r="H2750" s="1">
        <v>44676</v>
      </c>
      <c r="I2750" t="s">
        <v>189</v>
      </c>
      <c r="L2750" t="s">
        <v>7521</v>
      </c>
    </row>
    <row r="2751" spans="1:40" x14ac:dyDescent="0.35">
      <c r="A2751">
        <v>6749217</v>
      </c>
      <c r="B2751" t="s">
        <v>7522</v>
      </c>
      <c r="C2751" t="str">
        <f>"9783662632031"</f>
        <v>9783662632031</v>
      </c>
      <c r="D2751" t="str">
        <f>"9783662632048"</f>
        <v>9783662632048</v>
      </c>
      <c r="E2751" t="s">
        <v>5118</v>
      </c>
      <c r="F2751" t="s">
        <v>5118</v>
      </c>
      <c r="G2751" s="1">
        <v>44481</v>
      </c>
      <c r="H2751" s="1">
        <v>44676</v>
      </c>
      <c r="I2751" t="s">
        <v>189</v>
      </c>
      <c r="K2751" t="s">
        <v>7523</v>
      </c>
      <c r="L2751" t="s">
        <v>7524</v>
      </c>
      <c r="M2751" t="s">
        <v>219</v>
      </c>
      <c r="N2751" t="s">
        <v>7525</v>
      </c>
      <c r="Q2751" t="s">
        <v>408</v>
      </c>
      <c r="R2751" t="s">
        <v>261</v>
      </c>
      <c r="S2751" t="s">
        <v>261</v>
      </c>
      <c r="T2751" t="s">
        <v>261</v>
      </c>
      <c r="U2751" t="s">
        <v>261</v>
      </c>
      <c r="V2751" t="s">
        <v>262</v>
      </c>
      <c r="W2751" t="s">
        <v>261</v>
      </c>
      <c r="X2751" t="s">
        <v>261</v>
      </c>
      <c r="Y2751" t="s">
        <v>261</v>
      </c>
      <c r="Z2751" t="s">
        <v>409</v>
      </c>
      <c r="AA2751" t="s">
        <v>409</v>
      </c>
      <c r="AB2751" t="s">
        <v>409</v>
      </c>
      <c r="AC2751" t="s">
        <v>409</v>
      </c>
      <c r="AD2751" t="s">
        <v>261</v>
      </c>
      <c r="AH2751" t="s">
        <v>262</v>
      </c>
      <c r="AI2751" t="s">
        <v>262</v>
      </c>
      <c r="AJ2751" t="s">
        <v>261</v>
      </c>
      <c r="AK2751" t="s">
        <v>261</v>
      </c>
      <c r="AM2751" t="s">
        <v>262</v>
      </c>
      <c r="AN2751" t="s">
        <v>7526</v>
      </c>
    </row>
    <row r="2752" spans="1:40" x14ac:dyDescent="0.35">
      <c r="A2752">
        <v>6749218</v>
      </c>
      <c r="B2752" t="s">
        <v>7527</v>
      </c>
      <c r="C2752" t="str">
        <f>"9783030782009"</f>
        <v>9783030782009</v>
      </c>
      <c r="D2752" t="str">
        <f>"9783030782016"</f>
        <v>9783030782016</v>
      </c>
      <c r="E2752" t="s">
        <v>2289</v>
      </c>
      <c r="F2752" t="s">
        <v>2663</v>
      </c>
      <c r="G2752" s="1">
        <v>44482</v>
      </c>
      <c r="H2752" s="1">
        <v>44676</v>
      </c>
      <c r="I2752" t="s">
        <v>189</v>
      </c>
      <c r="K2752" t="s">
        <v>7528</v>
      </c>
      <c r="L2752" t="s">
        <v>7529</v>
      </c>
    </row>
    <row r="2753" spans="1:40" x14ac:dyDescent="0.35">
      <c r="A2753">
        <v>6749219</v>
      </c>
      <c r="B2753" t="s">
        <v>7530</v>
      </c>
      <c r="C2753" t="str">
        <f>"9783030783532"</f>
        <v>9783030783532</v>
      </c>
      <c r="D2753" t="str">
        <f>"9783030783549"</f>
        <v>9783030783549</v>
      </c>
      <c r="E2753" t="s">
        <v>2289</v>
      </c>
      <c r="F2753" t="s">
        <v>2290</v>
      </c>
      <c r="G2753" s="1">
        <v>44481</v>
      </c>
      <c r="H2753" s="1">
        <v>44676</v>
      </c>
      <c r="I2753" t="s">
        <v>189</v>
      </c>
      <c r="K2753" t="s">
        <v>4657</v>
      </c>
      <c r="L2753" t="s">
        <v>6480</v>
      </c>
    </row>
    <row r="2754" spans="1:40" x14ac:dyDescent="0.35">
      <c r="A2754">
        <v>6749466</v>
      </c>
      <c r="B2754" t="s">
        <v>7531</v>
      </c>
      <c r="C2754" t="str">
        <f>"9783837652864"</f>
        <v>9783837652864</v>
      </c>
      <c r="D2754" t="str">
        <f>"9783839452868"</f>
        <v>9783839452868</v>
      </c>
      <c r="E2754" t="s">
        <v>7532</v>
      </c>
      <c r="F2754" t="s">
        <v>7533</v>
      </c>
      <c r="G2754" s="1">
        <v>43952</v>
      </c>
      <c r="H2754" s="1">
        <v>44567</v>
      </c>
      <c r="I2754" t="s">
        <v>189</v>
      </c>
      <c r="J2754">
        <v>1</v>
      </c>
      <c r="K2754" t="s">
        <v>7534</v>
      </c>
      <c r="L2754" t="s">
        <v>7535</v>
      </c>
      <c r="M2754" t="s">
        <v>219</v>
      </c>
      <c r="Q2754" t="s">
        <v>408</v>
      </c>
      <c r="R2754" t="s">
        <v>261</v>
      </c>
      <c r="S2754" t="s">
        <v>261</v>
      </c>
      <c r="T2754" t="s">
        <v>261</v>
      </c>
      <c r="U2754" t="s">
        <v>262</v>
      </c>
      <c r="V2754" t="s">
        <v>262</v>
      </c>
      <c r="W2754" t="s">
        <v>261</v>
      </c>
      <c r="X2754" t="s">
        <v>262</v>
      </c>
      <c r="Y2754" t="s">
        <v>261</v>
      </c>
      <c r="Z2754" t="s">
        <v>409</v>
      </c>
      <c r="AA2754" t="s">
        <v>409</v>
      </c>
      <c r="AB2754" t="s">
        <v>409</v>
      </c>
      <c r="AC2754" t="s">
        <v>409</v>
      </c>
      <c r="AD2754" t="s">
        <v>261</v>
      </c>
      <c r="AH2754" t="s">
        <v>262</v>
      </c>
      <c r="AI2754" t="s">
        <v>262</v>
      </c>
      <c r="AJ2754" t="s">
        <v>261</v>
      </c>
      <c r="AK2754" t="s">
        <v>261</v>
      </c>
      <c r="AM2754" t="s">
        <v>262</v>
      </c>
      <c r="AN2754" t="s">
        <v>7536</v>
      </c>
    </row>
    <row r="2755" spans="1:40" x14ac:dyDescent="0.35">
      <c r="A2755">
        <v>6749647</v>
      </c>
      <c r="B2755" t="s">
        <v>7537</v>
      </c>
      <c r="C2755" t="str">
        <f>"9783837656213"</f>
        <v>9783837656213</v>
      </c>
      <c r="D2755" t="str">
        <f>"9783839456217"</f>
        <v>9783839456217</v>
      </c>
      <c r="E2755" t="s">
        <v>7532</v>
      </c>
      <c r="F2755" t="s">
        <v>7533</v>
      </c>
      <c r="G2755" s="1">
        <v>44348</v>
      </c>
      <c r="H2755" s="1">
        <v>44567</v>
      </c>
      <c r="I2755" t="s">
        <v>189</v>
      </c>
      <c r="J2755">
        <v>1</v>
      </c>
      <c r="K2755" t="s">
        <v>7538</v>
      </c>
      <c r="L2755" t="s">
        <v>7539</v>
      </c>
      <c r="M2755" t="s">
        <v>329</v>
      </c>
      <c r="Q2755" t="s">
        <v>408</v>
      </c>
      <c r="R2755" t="s">
        <v>261</v>
      </c>
      <c r="S2755" t="s">
        <v>261</v>
      </c>
      <c r="T2755" t="s">
        <v>261</v>
      </c>
      <c r="U2755" t="s">
        <v>262</v>
      </c>
      <c r="V2755" t="s">
        <v>262</v>
      </c>
      <c r="W2755" t="s">
        <v>261</v>
      </c>
      <c r="X2755" t="s">
        <v>262</v>
      </c>
      <c r="Y2755" t="s">
        <v>261</v>
      </c>
      <c r="Z2755" t="s">
        <v>409</v>
      </c>
      <c r="AA2755" t="s">
        <v>409</v>
      </c>
      <c r="AB2755" t="s">
        <v>409</v>
      </c>
      <c r="AC2755" t="s">
        <v>409</v>
      </c>
      <c r="AD2755" t="s">
        <v>261</v>
      </c>
      <c r="AH2755" t="s">
        <v>262</v>
      </c>
      <c r="AI2755" t="s">
        <v>262</v>
      </c>
      <c r="AJ2755" t="s">
        <v>261</v>
      </c>
      <c r="AK2755" t="s">
        <v>261</v>
      </c>
      <c r="AM2755" t="s">
        <v>262</v>
      </c>
      <c r="AN2755" t="s">
        <v>7540</v>
      </c>
    </row>
    <row r="2756" spans="1:40" x14ac:dyDescent="0.35">
      <c r="A2756">
        <v>6749729</v>
      </c>
      <c r="B2756" t="s">
        <v>7541</v>
      </c>
      <c r="C2756" t="str">
        <f>"9783837642278"</f>
        <v>9783837642278</v>
      </c>
      <c r="D2756" t="str">
        <f>"9783839442272"</f>
        <v>9783839442272</v>
      </c>
      <c r="E2756" t="s">
        <v>7532</v>
      </c>
      <c r="F2756" t="s">
        <v>7533</v>
      </c>
      <c r="G2756" s="1">
        <v>43282</v>
      </c>
      <c r="H2756" s="1">
        <v>44567</v>
      </c>
      <c r="I2756" t="s">
        <v>189</v>
      </c>
      <c r="J2756">
        <v>1</v>
      </c>
      <c r="K2756" t="s">
        <v>7538</v>
      </c>
      <c r="L2756" t="s">
        <v>7542</v>
      </c>
      <c r="M2756" t="s">
        <v>389</v>
      </c>
      <c r="Q2756" t="s">
        <v>408</v>
      </c>
      <c r="R2756" t="s">
        <v>261</v>
      </c>
      <c r="S2756" t="s">
        <v>261</v>
      </c>
      <c r="T2756" t="s">
        <v>261</v>
      </c>
      <c r="U2756" t="s">
        <v>262</v>
      </c>
      <c r="V2756" t="s">
        <v>262</v>
      </c>
      <c r="W2756" t="s">
        <v>261</v>
      </c>
      <c r="X2756" t="s">
        <v>262</v>
      </c>
      <c r="Y2756" t="s">
        <v>261</v>
      </c>
      <c r="Z2756" t="s">
        <v>409</v>
      </c>
      <c r="AA2756" t="s">
        <v>409</v>
      </c>
      <c r="AB2756" t="s">
        <v>409</v>
      </c>
      <c r="AC2756" t="s">
        <v>409</v>
      </c>
      <c r="AD2756" t="s">
        <v>261</v>
      </c>
      <c r="AH2756" t="s">
        <v>262</v>
      </c>
      <c r="AI2756" t="s">
        <v>262</v>
      </c>
      <c r="AJ2756" t="s">
        <v>261</v>
      </c>
      <c r="AK2756" t="s">
        <v>261</v>
      </c>
      <c r="AM2756" t="s">
        <v>262</v>
      </c>
      <c r="AN2756" t="s">
        <v>7543</v>
      </c>
    </row>
    <row r="2757" spans="1:40" x14ac:dyDescent="0.35">
      <c r="A2757">
        <v>6749811</v>
      </c>
      <c r="B2757" t="s">
        <v>7544</v>
      </c>
      <c r="C2757" t="str">
        <f>"9783837643848"</f>
        <v>9783837643848</v>
      </c>
      <c r="D2757" t="str">
        <f>"9783839443842"</f>
        <v>9783839443842</v>
      </c>
      <c r="E2757" t="s">
        <v>7532</v>
      </c>
      <c r="F2757" t="s">
        <v>7533</v>
      </c>
      <c r="G2757" s="1">
        <v>43374</v>
      </c>
      <c r="H2757" s="1">
        <v>44567</v>
      </c>
      <c r="I2757" t="s">
        <v>189</v>
      </c>
      <c r="J2757">
        <v>1</v>
      </c>
      <c r="K2757" t="s">
        <v>7545</v>
      </c>
      <c r="L2757" t="s">
        <v>7546</v>
      </c>
    </row>
    <row r="2758" spans="1:40" x14ac:dyDescent="0.35">
      <c r="A2758">
        <v>6749889</v>
      </c>
      <c r="B2758" t="s">
        <v>7547</v>
      </c>
      <c r="C2758" t="str">
        <f>"9783837651508"</f>
        <v>9783837651508</v>
      </c>
      <c r="D2758" t="str">
        <f>"9783839451502"</f>
        <v>9783839451502</v>
      </c>
      <c r="E2758" t="s">
        <v>7532</v>
      </c>
      <c r="F2758" t="s">
        <v>7533</v>
      </c>
      <c r="G2758" s="1">
        <v>43891</v>
      </c>
      <c r="H2758" s="1">
        <v>44567</v>
      </c>
      <c r="I2758" t="s">
        <v>189</v>
      </c>
      <c r="J2758">
        <v>1</v>
      </c>
      <c r="K2758" t="s">
        <v>7545</v>
      </c>
      <c r="L2758" t="s">
        <v>7548</v>
      </c>
    </row>
    <row r="2759" spans="1:40" x14ac:dyDescent="0.35">
      <c r="A2759">
        <v>6749923</v>
      </c>
      <c r="B2759" t="s">
        <v>7549</v>
      </c>
      <c r="C2759" t="str">
        <f>"9783837640922"</f>
        <v>9783837640922</v>
      </c>
      <c r="D2759" t="str">
        <f>"9783839440926"</f>
        <v>9783839440926</v>
      </c>
      <c r="E2759" t="s">
        <v>7532</v>
      </c>
      <c r="F2759" t="s">
        <v>7533</v>
      </c>
      <c r="G2759" s="1">
        <v>43070</v>
      </c>
      <c r="H2759" s="1">
        <v>44567</v>
      </c>
      <c r="I2759" t="s">
        <v>189</v>
      </c>
      <c r="J2759">
        <v>1</v>
      </c>
      <c r="K2759" t="s">
        <v>7545</v>
      </c>
      <c r="L2759" t="s">
        <v>7550</v>
      </c>
      <c r="M2759" t="s">
        <v>329</v>
      </c>
      <c r="Q2759" t="s">
        <v>408</v>
      </c>
      <c r="R2759" t="s">
        <v>261</v>
      </c>
      <c r="S2759" t="s">
        <v>261</v>
      </c>
      <c r="T2759" t="s">
        <v>261</v>
      </c>
      <c r="U2759" t="s">
        <v>262</v>
      </c>
      <c r="V2759" t="s">
        <v>262</v>
      </c>
      <c r="W2759" t="s">
        <v>261</v>
      </c>
      <c r="X2759" t="s">
        <v>262</v>
      </c>
      <c r="Y2759" t="s">
        <v>261</v>
      </c>
      <c r="Z2759" t="s">
        <v>409</v>
      </c>
      <c r="AA2759" t="s">
        <v>409</v>
      </c>
      <c r="AB2759" t="s">
        <v>409</v>
      </c>
      <c r="AC2759" t="s">
        <v>409</v>
      </c>
      <c r="AD2759" t="s">
        <v>261</v>
      </c>
      <c r="AH2759" t="s">
        <v>262</v>
      </c>
      <c r="AI2759" t="s">
        <v>262</v>
      </c>
      <c r="AJ2759" t="s">
        <v>261</v>
      </c>
      <c r="AK2759" t="s">
        <v>261</v>
      </c>
      <c r="AM2759" t="s">
        <v>262</v>
      </c>
      <c r="AN2759" t="s">
        <v>7551</v>
      </c>
    </row>
    <row r="2760" spans="1:40" x14ac:dyDescent="0.35">
      <c r="A2760">
        <v>6750107</v>
      </c>
      <c r="B2760" t="s">
        <v>7552</v>
      </c>
      <c r="C2760" t="str">
        <f>"9783732858378"</f>
        <v>9783732858378</v>
      </c>
      <c r="D2760" t="str">
        <f>"9783839458372"</f>
        <v>9783839458372</v>
      </c>
      <c r="E2760" t="s">
        <v>7532</v>
      </c>
      <c r="F2760" t="s">
        <v>7533</v>
      </c>
      <c r="G2760" s="1">
        <v>44348</v>
      </c>
      <c r="H2760" s="1">
        <v>44567</v>
      </c>
      <c r="I2760" t="s">
        <v>189</v>
      </c>
      <c r="J2760">
        <v>1</v>
      </c>
      <c r="K2760" t="s">
        <v>7553</v>
      </c>
      <c r="L2760" t="s">
        <v>7554</v>
      </c>
      <c r="M2760" t="s">
        <v>210</v>
      </c>
      <c r="Q2760" t="s">
        <v>408</v>
      </c>
      <c r="R2760" t="s">
        <v>261</v>
      </c>
      <c r="S2760" t="s">
        <v>261</v>
      </c>
      <c r="T2760" t="s">
        <v>261</v>
      </c>
      <c r="U2760" t="s">
        <v>262</v>
      </c>
      <c r="V2760" t="s">
        <v>262</v>
      </c>
      <c r="W2760" t="s">
        <v>261</v>
      </c>
      <c r="X2760" t="s">
        <v>262</v>
      </c>
      <c r="Y2760" t="s">
        <v>261</v>
      </c>
      <c r="Z2760" t="s">
        <v>409</v>
      </c>
      <c r="AA2760" t="s">
        <v>409</v>
      </c>
      <c r="AB2760" t="s">
        <v>409</v>
      </c>
      <c r="AC2760" t="s">
        <v>409</v>
      </c>
      <c r="AD2760" t="s">
        <v>261</v>
      </c>
      <c r="AH2760" t="s">
        <v>262</v>
      </c>
      <c r="AI2760" t="s">
        <v>262</v>
      </c>
      <c r="AJ2760" t="s">
        <v>261</v>
      </c>
      <c r="AK2760" t="s">
        <v>261</v>
      </c>
      <c r="AM2760" t="s">
        <v>262</v>
      </c>
      <c r="AN2760" t="s">
        <v>7555</v>
      </c>
    </row>
    <row r="2761" spans="1:40" x14ac:dyDescent="0.35">
      <c r="A2761">
        <v>6750294</v>
      </c>
      <c r="B2761" t="s">
        <v>7556</v>
      </c>
      <c r="C2761" t="str">
        <f>"9783732857531"</f>
        <v>9783732857531</v>
      </c>
      <c r="D2761" t="str">
        <f>"9783839457535"</f>
        <v>9783839457535</v>
      </c>
      <c r="E2761" t="s">
        <v>7532</v>
      </c>
      <c r="F2761" t="s">
        <v>7533</v>
      </c>
      <c r="G2761" s="1">
        <v>44348</v>
      </c>
      <c r="H2761" s="1">
        <v>44567</v>
      </c>
      <c r="I2761" t="s">
        <v>189</v>
      </c>
      <c r="J2761">
        <v>1</v>
      </c>
      <c r="K2761" t="s">
        <v>7545</v>
      </c>
      <c r="L2761" t="s">
        <v>7557</v>
      </c>
    </row>
    <row r="2762" spans="1:40" x14ac:dyDescent="0.35">
      <c r="A2762">
        <v>6750315</v>
      </c>
      <c r="B2762" t="s">
        <v>7558</v>
      </c>
      <c r="C2762" t="str">
        <f>"9783837653458"</f>
        <v>9783837653458</v>
      </c>
      <c r="D2762" t="str">
        <f>"9783839453452"</f>
        <v>9783839453452</v>
      </c>
      <c r="E2762" t="s">
        <v>7532</v>
      </c>
      <c r="F2762" t="s">
        <v>7533</v>
      </c>
      <c r="G2762" s="1">
        <v>44317</v>
      </c>
      <c r="H2762" s="1">
        <v>44567</v>
      </c>
      <c r="I2762" t="s">
        <v>189</v>
      </c>
      <c r="J2762">
        <v>1</v>
      </c>
      <c r="K2762" t="s">
        <v>7559</v>
      </c>
      <c r="L2762" t="s">
        <v>7560</v>
      </c>
    </row>
    <row r="2763" spans="1:40" x14ac:dyDescent="0.35">
      <c r="A2763">
        <v>6750333</v>
      </c>
      <c r="B2763" t="s">
        <v>7561</v>
      </c>
      <c r="C2763" t="str">
        <f>""</f>
        <v/>
      </c>
      <c r="D2763" t="str">
        <f>"9783839444917"</f>
        <v>9783839444917</v>
      </c>
      <c r="E2763" t="s">
        <v>6766</v>
      </c>
      <c r="F2763" t="s">
        <v>6766</v>
      </c>
      <c r="G2763" s="1">
        <v>44130</v>
      </c>
      <c r="H2763" s="1">
        <v>44567</v>
      </c>
      <c r="I2763" t="s">
        <v>189</v>
      </c>
      <c r="K2763" t="s">
        <v>7562</v>
      </c>
      <c r="L2763" t="s">
        <v>7563</v>
      </c>
    </row>
    <row r="2764" spans="1:40" x14ac:dyDescent="0.35">
      <c r="A2764">
        <v>6750416</v>
      </c>
      <c r="B2764" t="s">
        <v>7564</v>
      </c>
      <c r="C2764" t="str">
        <f>"9783837653557"</f>
        <v>9783837653557</v>
      </c>
      <c r="D2764" t="str">
        <f>"9783839453551"</f>
        <v>9783839453551</v>
      </c>
      <c r="E2764" t="s">
        <v>7532</v>
      </c>
      <c r="F2764" t="s">
        <v>7533</v>
      </c>
      <c r="G2764" s="1">
        <v>44075</v>
      </c>
      <c r="H2764" s="1">
        <v>44567</v>
      </c>
      <c r="I2764" t="s">
        <v>189</v>
      </c>
      <c r="J2764">
        <v>1</v>
      </c>
      <c r="K2764" t="s">
        <v>7565</v>
      </c>
      <c r="L2764" t="s">
        <v>7566</v>
      </c>
      <c r="M2764" t="s">
        <v>389</v>
      </c>
      <c r="Q2764" t="s">
        <v>408</v>
      </c>
      <c r="R2764" t="s">
        <v>261</v>
      </c>
      <c r="S2764" t="s">
        <v>261</v>
      </c>
      <c r="T2764" t="s">
        <v>261</v>
      </c>
      <c r="U2764" t="s">
        <v>262</v>
      </c>
      <c r="V2764" t="s">
        <v>262</v>
      </c>
      <c r="W2764" t="s">
        <v>261</v>
      </c>
      <c r="X2764" t="s">
        <v>262</v>
      </c>
      <c r="Y2764" t="s">
        <v>261</v>
      </c>
      <c r="Z2764" t="s">
        <v>409</v>
      </c>
      <c r="AA2764" t="s">
        <v>409</v>
      </c>
      <c r="AB2764" t="s">
        <v>409</v>
      </c>
      <c r="AC2764" t="s">
        <v>409</v>
      </c>
      <c r="AD2764" t="s">
        <v>261</v>
      </c>
      <c r="AH2764" t="s">
        <v>262</v>
      </c>
      <c r="AI2764" t="s">
        <v>262</v>
      </c>
      <c r="AJ2764" t="s">
        <v>261</v>
      </c>
      <c r="AK2764" t="s">
        <v>261</v>
      </c>
      <c r="AM2764" t="s">
        <v>262</v>
      </c>
      <c r="AN2764" t="s">
        <v>7567</v>
      </c>
    </row>
    <row r="2765" spans="1:40" x14ac:dyDescent="0.35">
      <c r="A2765">
        <v>6750483</v>
      </c>
      <c r="B2765" t="s">
        <v>7568</v>
      </c>
      <c r="C2765" t="str">
        <f>"9783837655742"</f>
        <v>9783837655742</v>
      </c>
      <c r="D2765" t="str">
        <f>"9783839455746"</f>
        <v>9783839455746</v>
      </c>
      <c r="E2765" t="s">
        <v>7532</v>
      </c>
      <c r="F2765" t="s">
        <v>7533</v>
      </c>
      <c r="G2765" s="1">
        <v>44075</v>
      </c>
      <c r="H2765" s="1">
        <v>44567</v>
      </c>
      <c r="I2765" t="s">
        <v>189</v>
      </c>
      <c r="J2765">
        <v>2</v>
      </c>
      <c r="K2765" t="s">
        <v>7569</v>
      </c>
      <c r="L2765" t="s">
        <v>6768</v>
      </c>
    </row>
    <row r="2766" spans="1:40" x14ac:dyDescent="0.35">
      <c r="A2766">
        <v>6750588</v>
      </c>
      <c r="B2766" t="s">
        <v>7570</v>
      </c>
      <c r="C2766" t="str">
        <f>"9783837647532"</f>
        <v>9783837647532</v>
      </c>
      <c r="D2766" t="str">
        <f>"9783839447536"</f>
        <v>9783839447536</v>
      </c>
      <c r="E2766" t="s">
        <v>7532</v>
      </c>
      <c r="F2766" t="s">
        <v>7533</v>
      </c>
      <c r="G2766" s="1">
        <v>43891</v>
      </c>
      <c r="H2766" s="1">
        <v>44567</v>
      </c>
      <c r="I2766" t="s">
        <v>189</v>
      </c>
      <c r="J2766">
        <v>1</v>
      </c>
      <c r="K2766" t="s">
        <v>7553</v>
      </c>
      <c r="L2766" t="s">
        <v>7571</v>
      </c>
      <c r="M2766" t="s">
        <v>210</v>
      </c>
      <c r="N2766" t="s">
        <v>7572</v>
      </c>
      <c r="Q2766" t="s">
        <v>260</v>
      </c>
      <c r="R2766" t="s">
        <v>261</v>
      </c>
      <c r="S2766" t="s">
        <v>261</v>
      </c>
      <c r="T2766" t="s">
        <v>261</v>
      </c>
      <c r="U2766" t="s">
        <v>262</v>
      </c>
      <c r="V2766" t="s">
        <v>262</v>
      </c>
      <c r="W2766" t="s">
        <v>261</v>
      </c>
      <c r="X2766" t="s">
        <v>262</v>
      </c>
      <c r="Y2766" t="s">
        <v>261</v>
      </c>
      <c r="Z2766" t="s">
        <v>409</v>
      </c>
      <c r="AA2766" t="s">
        <v>409</v>
      </c>
      <c r="AB2766" t="s">
        <v>409</v>
      </c>
      <c r="AC2766" t="s">
        <v>409</v>
      </c>
      <c r="AD2766" t="s">
        <v>261</v>
      </c>
      <c r="AH2766" t="s">
        <v>262</v>
      </c>
      <c r="AI2766" t="s">
        <v>262</v>
      </c>
      <c r="AJ2766" t="s">
        <v>261</v>
      </c>
      <c r="AK2766" t="s">
        <v>261</v>
      </c>
      <c r="AM2766" t="s">
        <v>262</v>
      </c>
      <c r="AN2766" t="s">
        <v>7573</v>
      </c>
    </row>
    <row r="2767" spans="1:40" x14ac:dyDescent="0.35">
      <c r="A2767">
        <v>6750638</v>
      </c>
      <c r="B2767" t="s">
        <v>7574</v>
      </c>
      <c r="C2767" t="str">
        <f>"9783837639131"</f>
        <v>9783837639131</v>
      </c>
      <c r="D2767" t="str">
        <f>"9783839439135"</f>
        <v>9783839439135</v>
      </c>
      <c r="E2767" t="s">
        <v>7532</v>
      </c>
      <c r="F2767" t="s">
        <v>7533</v>
      </c>
      <c r="G2767" s="1">
        <v>43344</v>
      </c>
      <c r="H2767" s="1">
        <v>44567</v>
      </c>
      <c r="I2767" t="s">
        <v>189</v>
      </c>
      <c r="J2767">
        <v>1</v>
      </c>
      <c r="K2767" t="s">
        <v>7559</v>
      </c>
      <c r="L2767" t="s">
        <v>7575</v>
      </c>
    </row>
    <row r="2768" spans="1:40" x14ac:dyDescent="0.35">
      <c r="A2768">
        <v>6750643</v>
      </c>
      <c r="B2768" t="s">
        <v>7576</v>
      </c>
      <c r="C2768" t="str">
        <f>"9783837655919"</f>
        <v>9783837655919</v>
      </c>
      <c r="D2768" t="str">
        <f>"9783839455913"</f>
        <v>9783839455913</v>
      </c>
      <c r="E2768" t="s">
        <v>7532</v>
      </c>
      <c r="F2768" t="s">
        <v>7533</v>
      </c>
      <c r="G2768" s="1">
        <v>44348</v>
      </c>
      <c r="H2768" s="1">
        <v>44567</v>
      </c>
      <c r="I2768" t="s">
        <v>189</v>
      </c>
      <c r="J2768">
        <v>1</v>
      </c>
      <c r="K2768" t="s">
        <v>7577</v>
      </c>
      <c r="L2768" t="s">
        <v>94</v>
      </c>
    </row>
    <row r="2769" spans="1:40" x14ac:dyDescent="0.35">
      <c r="A2769">
        <v>6750671</v>
      </c>
      <c r="B2769" t="s">
        <v>7578</v>
      </c>
      <c r="C2769" t="str">
        <f>"9783732856169"</f>
        <v>9783732856169</v>
      </c>
      <c r="D2769" t="str">
        <f>"9783839456163"</f>
        <v>9783839456163</v>
      </c>
      <c r="E2769" t="s">
        <v>7532</v>
      </c>
      <c r="F2769" t="s">
        <v>7533</v>
      </c>
      <c r="G2769" s="1">
        <v>44166</v>
      </c>
      <c r="H2769" s="1">
        <v>44567</v>
      </c>
      <c r="I2769" t="s">
        <v>189</v>
      </c>
      <c r="J2769">
        <v>1</v>
      </c>
      <c r="K2769" t="s">
        <v>7579</v>
      </c>
      <c r="L2769" t="s">
        <v>7580</v>
      </c>
      <c r="M2769" t="s">
        <v>329</v>
      </c>
      <c r="Q2769" t="s">
        <v>408</v>
      </c>
      <c r="R2769" t="s">
        <v>261</v>
      </c>
      <c r="S2769" t="s">
        <v>261</v>
      </c>
      <c r="T2769" t="s">
        <v>261</v>
      </c>
      <c r="U2769" t="s">
        <v>262</v>
      </c>
      <c r="V2769" t="s">
        <v>262</v>
      </c>
      <c r="W2769" t="s">
        <v>261</v>
      </c>
      <c r="X2769" t="s">
        <v>262</v>
      </c>
      <c r="Y2769" t="s">
        <v>261</v>
      </c>
      <c r="Z2769" t="s">
        <v>409</v>
      </c>
      <c r="AA2769" t="s">
        <v>409</v>
      </c>
      <c r="AB2769" t="s">
        <v>409</v>
      </c>
      <c r="AC2769" t="s">
        <v>409</v>
      </c>
      <c r="AD2769" t="s">
        <v>261</v>
      </c>
      <c r="AH2769" t="s">
        <v>262</v>
      </c>
      <c r="AI2769" t="s">
        <v>262</v>
      </c>
      <c r="AJ2769" t="s">
        <v>261</v>
      </c>
      <c r="AK2769" t="s">
        <v>261</v>
      </c>
      <c r="AM2769" t="s">
        <v>262</v>
      </c>
      <c r="AN2769" t="s">
        <v>7581</v>
      </c>
    </row>
    <row r="2770" spans="1:40" x14ac:dyDescent="0.35">
      <c r="A2770">
        <v>6750672</v>
      </c>
      <c r="B2770" t="s">
        <v>7582</v>
      </c>
      <c r="C2770" t="str">
        <f>"9783837647198"</f>
        <v>9783837647198</v>
      </c>
      <c r="D2770" t="str">
        <f>"9783839447192"</f>
        <v>9783839447192</v>
      </c>
      <c r="E2770" t="s">
        <v>7532</v>
      </c>
      <c r="F2770" t="s">
        <v>7533</v>
      </c>
      <c r="G2770" s="1">
        <v>43739</v>
      </c>
      <c r="H2770" s="1">
        <v>44567</v>
      </c>
      <c r="I2770" t="s">
        <v>189</v>
      </c>
      <c r="J2770">
        <v>1</v>
      </c>
      <c r="K2770" t="s">
        <v>7583</v>
      </c>
      <c r="L2770" t="s">
        <v>7584</v>
      </c>
      <c r="M2770" t="s">
        <v>329</v>
      </c>
      <c r="Q2770" t="s">
        <v>260</v>
      </c>
      <c r="R2770" t="s">
        <v>261</v>
      </c>
      <c r="S2770" t="s">
        <v>261</v>
      </c>
      <c r="T2770" t="s">
        <v>261</v>
      </c>
      <c r="U2770" t="s">
        <v>262</v>
      </c>
      <c r="V2770" t="s">
        <v>262</v>
      </c>
      <c r="W2770" t="s">
        <v>261</v>
      </c>
      <c r="X2770" t="s">
        <v>262</v>
      </c>
      <c r="Y2770" t="s">
        <v>261</v>
      </c>
      <c r="Z2770" t="s">
        <v>409</v>
      </c>
      <c r="AA2770" t="s">
        <v>409</v>
      </c>
      <c r="AB2770" t="s">
        <v>409</v>
      </c>
      <c r="AC2770" t="s">
        <v>409</v>
      </c>
      <c r="AD2770" t="s">
        <v>261</v>
      </c>
      <c r="AH2770" t="s">
        <v>262</v>
      </c>
      <c r="AI2770" t="s">
        <v>262</v>
      </c>
      <c r="AJ2770" t="s">
        <v>261</v>
      </c>
      <c r="AK2770" t="s">
        <v>261</v>
      </c>
      <c r="AM2770" t="s">
        <v>262</v>
      </c>
      <c r="AN2770" t="s">
        <v>7585</v>
      </c>
    </row>
    <row r="2771" spans="1:40" x14ac:dyDescent="0.35">
      <c r="A2771">
        <v>6750675</v>
      </c>
      <c r="B2771" t="s">
        <v>7586</v>
      </c>
      <c r="C2771" t="str">
        <f>"9783732850235"</f>
        <v>9783732850235</v>
      </c>
      <c r="D2771" t="str">
        <f>"9783839450239"</f>
        <v>9783839450239</v>
      </c>
      <c r="E2771" t="s">
        <v>7532</v>
      </c>
      <c r="F2771" t="s">
        <v>7533</v>
      </c>
      <c r="G2771" s="1">
        <v>44287</v>
      </c>
      <c r="H2771" s="1">
        <v>44567</v>
      </c>
      <c r="I2771" t="s">
        <v>189</v>
      </c>
      <c r="J2771">
        <v>1</v>
      </c>
      <c r="K2771" t="s">
        <v>7587</v>
      </c>
      <c r="L2771" t="s">
        <v>7588</v>
      </c>
    </row>
    <row r="2772" spans="1:40" x14ac:dyDescent="0.35">
      <c r="A2772">
        <v>6750727</v>
      </c>
      <c r="B2772" t="s">
        <v>7589</v>
      </c>
      <c r="C2772" t="str">
        <f>"9783837650662"</f>
        <v>9783837650662</v>
      </c>
      <c r="D2772" t="str">
        <f>"9783839450666"</f>
        <v>9783839450666</v>
      </c>
      <c r="E2772" t="s">
        <v>7532</v>
      </c>
      <c r="F2772" t="s">
        <v>7533</v>
      </c>
      <c r="G2772" s="1">
        <v>44075</v>
      </c>
      <c r="H2772" s="1">
        <v>44567</v>
      </c>
      <c r="I2772" t="s">
        <v>189</v>
      </c>
      <c r="J2772">
        <v>1</v>
      </c>
      <c r="K2772" t="s">
        <v>7590</v>
      </c>
      <c r="L2772" t="s">
        <v>7591</v>
      </c>
    </row>
    <row r="2773" spans="1:40" x14ac:dyDescent="0.35">
      <c r="A2773">
        <v>6750764</v>
      </c>
      <c r="B2773" t="s">
        <v>7592</v>
      </c>
      <c r="C2773" t="str">
        <f>"9783732853717"</f>
        <v>9783732853717</v>
      </c>
      <c r="D2773" t="str">
        <f>"9783839453711"</f>
        <v>9783839453711</v>
      </c>
      <c r="E2773" t="s">
        <v>7532</v>
      </c>
      <c r="F2773" t="s">
        <v>7533</v>
      </c>
      <c r="G2773" s="1">
        <v>44075</v>
      </c>
      <c r="H2773" s="1">
        <v>44567</v>
      </c>
      <c r="I2773" t="s">
        <v>189</v>
      </c>
      <c r="J2773">
        <v>1</v>
      </c>
      <c r="K2773" t="s">
        <v>7593</v>
      </c>
      <c r="L2773" t="s">
        <v>7594</v>
      </c>
      <c r="M2773" t="s">
        <v>323</v>
      </c>
      <c r="N2773" t="s">
        <v>7595</v>
      </c>
      <c r="Q2773" t="s">
        <v>408</v>
      </c>
      <c r="R2773" t="s">
        <v>261</v>
      </c>
      <c r="S2773" t="s">
        <v>261</v>
      </c>
      <c r="T2773" t="s">
        <v>261</v>
      </c>
      <c r="U2773" t="s">
        <v>262</v>
      </c>
      <c r="V2773" t="s">
        <v>262</v>
      </c>
      <c r="W2773" t="s">
        <v>261</v>
      </c>
      <c r="X2773" t="s">
        <v>262</v>
      </c>
      <c r="Y2773" t="s">
        <v>261</v>
      </c>
      <c r="Z2773" t="s">
        <v>409</v>
      </c>
      <c r="AA2773" t="s">
        <v>409</v>
      </c>
      <c r="AB2773" t="s">
        <v>409</v>
      </c>
      <c r="AC2773" t="s">
        <v>409</v>
      </c>
      <c r="AD2773" t="s">
        <v>261</v>
      </c>
      <c r="AH2773" t="s">
        <v>262</v>
      </c>
      <c r="AI2773" t="s">
        <v>262</v>
      </c>
      <c r="AJ2773" t="s">
        <v>261</v>
      </c>
      <c r="AK2773" t="s">
        <v>261</v>
      </c>
      <c r="AM2773" t="s">
        <v>262</v>
      </c>
      <c r="AN2773" t="s">
        <v>7596</v>
      </c>
    </row>
    <row r="2774" spans="1:40" x14ac:dyDescent="0.35">
      <c r="A2774">
        <v>6750765</v>
      </c>
      <c r="B2774" t="s">
        <v>7597</v>
      </c>
      <c r="C2774" t="str">
        <f>"9783837649833"</f>
        <v>9783837649833</v>
      </c>
      <c r="D2774" t="str">
        <f>"9783839449837"</f>
        <v>9783839449837</v>
      </c>
      <c r="E2774" t="s">
        <v>7532</v>
      </c>
      <c r="F2774" t="s">
        <v>7533</v>
      </c>
      <c r="G2774" s="1">
        <v>44075</v>
      </c>
      <c r="H2774" s="1">
        <v>44567</v>
      </c>
      <c r="I2774" t="s">
        <v>189</v>
      </c>
      <c r="J2774">
        <v>1</v>
      </c>
      <c r="K2774" t="s">
        <v>7598</v>
      </c>
      <c r="L2774" t="s">
        <v>7599</v>
      </c>
      <c r="M2774" t="s">
        <v>1578</v>
      </c>
      <c r="Q2774" t="s">
        <v>408</v>
      </c>
      <c r="R2774" t="s">
        <v>261</v>
      </c>
      <c r="S2774" t="s">
        <v>261</v>
      </c>
      <c r="T2774" t="s">
        <v>261</v>
      </c>
      <c r="U2774" t="s">
        <v>262</v>
      </c>
      <c r="V2774" t="s">
        <v>262</v>
      </c>
      <c r="W2774" t="s">
        <v>261</v>
      </c>
      <c r="X2774" t="s">
        <v>262</v>
      </c>
      <c r="Y2774" t="s">
        <v>261</v>
      </c>
      <c r="Z2774" t="s">
        <v>409</v>
      </c>
      <c r="AA2774" t="s">
        <v>409</v>
      </c>
      <c r="AB2774" t="s">
        <v>409</v>
      </c>
      <c r="AC2774" t="s">
        <v>409</v>
      </c>
      <c r="AD2774" t="s">
        <v>261</v>
      </c>
      <c r="AH2774" t="s">
        <v>262</v>
      </c>
      <c r="AI2774" t="s">
        <v>262</v>
      </c>
      <c r="AJ2774" t="s">
        <v>261</v>
      </c>
      <c r="AK2774" t="s">
        <v>261</v>
      </c>
      <c r="AM2774" t="s">
        <v>262</v>
      </c>
      <c r="AN2774" t="s">
        <v>7600</v>
      </c>
    </row>
    <row r="2775" spans="1:40" x14ac:dyDescent="0.35">
      <c r="A2775">
        <v>6750891</v>
      </c>
      <c r="B2775" t="s">
        <v>7601</v>
      </c>
      <c r="C2775" t="str">
        <f>"9783837643039"</f>
        <v>9783837643039</v>
      </c>
      <c r="D2775" t="str">
        <f>"9783839443033"</f>
        <v>9783839443033</v>
      </c>
      <c r="E2775" t="s">
        <v>7532</v>
      </c>
      <c r="F2775" t="s">
        <v>7533</v>
      </c>
      <c r="G2775" s="1">
        <v>43497</v>
      </c>
      <c r="H2775" s="1">
        <v>44567</v>
      </c>
      <c r="I2775" t="s">
        <v>189</v>
      </c>
      <c r="J2775">
        <v>1</v>
      </c>
      <c r="K2775" t="s">
        <v>7545</v>
      </c>
      <c r="L2775" t="s">
        <v>7602</v>
      </c>
      <c r="M2775" t="s">
        <v>329</v>
      </c>
      <c r="Q2775" t="s">
        <v>260</v>
      </c>
      <c r="R2775" t="s">
        <v>261</v>
      </c>
      <c r="S2775" t="s">
        <v>261</v>
      </c>
      <c r="T2775" t="s">
        <v>261</v>
      </c>
      <c r="U2775" t="s">
        <v>262</v>
      </c>
      <c r="V2775" t="s">
        <v>262</v>
      </c>
      <c r="W2775" t="s">
        <v>261</v>
      </c>
      <c r="X2775" t="s">
        <v>262</v>
      </c>
      <c r="Y2775" t="s">
        <v>261</v>
      </c>
      <c r="Z2775" t="s">
        <v>409</v>
      </c>
      <c r="AA2775" t="s">
        <v>409</v>
      </c>
      <c r="AB2775" t="s">
        <v>409</v>
      </c>
      <c r="AC2775" t="s">
        <v>409</v>
      </c>
      <c r="AD2775" t="s">
        <v>261</v>
      </c>
      <c r="AH2775" t="s">
        <v>262</v>
      </c>
      <c r="AI2775" t="s">
        <v>262</v>
      </c>
      <c r="AJ2775" t="s">
        <v>261</v>
      </c>
      <c r="AK2775" t="s">
        <v>261</v>
      </c>
      <c r="AM2775" t="s">
        <v>262</v>
      </c>
      <c r="AN2775" t="s">
        <v>7603</v>
      </c>
    </row>
    <row r="2776" spans="1:40" x14ac:dyDescent="0.35">
      <c r="A2776">
        <v>6751002</v>
      </c>
      <c r="B2776" t="s">
        <v>7604</v>
      </c>
      <c r="C2776" t="str">
        <f>"9783837648812"</f>
        <v>9783837648812</v>
      </c>
      <c r="D2776" t="str">
        <f>"9783839448816"</f>
        <v>9783839448816</v>
      </c>
      <c r="E2776" t="s">
        <v>7532</v>
      </c>
      <c r="F2776" t="s">
        <v>7533</v>
      </c>
      <c r="G2776" s="1">
        <v>43862</v>
      </c>
      <c r="H2776" s="1">
        <v>44567</v>
      </c>
      <c r="I2776" t="s">
        <v>189</v>
      </c>
      <c r="J2776">
        <v>1</v>
      </c>
      <c r="K2776" t="s">
        <v>7587</v>
      </c>
      <c r="L2776" t="s">
        <v>7605</v>
      </c>
    </row>
    <row r="2777" spans="1:40" x14ac:dyDescent="0.35">
      <c r="A2777">
        <v>6751046</v>
      </c>
      <c r="B2777" t="s">
        <v>7606</v>
      </c>
      <c r="C2777" t="str">
        <f>"9783837652437"</f>
        <v>9783837652437</v>
      </c>
      <c r="D2777" t="str">
        <f>"9783839452431"</f>
        <v>9783839452431</v>
      </c>
      <c r="E2777" t="s">
        <v>7532</v>
      </c>
      <c r="F2777" t="s">
        <v>7533</v>
      </c>
      <c r="G2777" s="1">
        <v>44013</v>
      </c>
      <c r="H2777" s="1">
        <v>44567</v>
      </c>
      <c r="I2777" t="s">
        <v>189</v>
      </c>
      <c r="J2777">
        <v>1</v>
      </c>
      <c r="K2777" t="s">
        <v>7607</v>
      </c>
      <c r="L2777" t="s">
        <v>7608</v>
      </c>
      <c r="M2777" t="s">
        <v>249</v>
      </c>
      <c r="Q2777" t="s">
        <v>260</v>
      </c>
      <c r="R2777" t="s">
        <v>261</v>
      </c>
      <c r="S2777" t="s">
        <v>261</v>
      </c>
      <c r="T2777" t="s">
        <v>261</v>
      </c>
      <c r="U2777" t="s">
        <v>262</v>
      </c>
      <c r="V2777" t="s">
        <v>262</v>
      </c>
      <c r="W2777" t="s">
        <v>261</v>
      </c>
      <c r="X2777" t="s">
        <v>262</v>
      </c>
      <c r="Y2777" t="s">
        <v>261</v>
      </c>
      <c r="Z2777" t="s">
        <v>409</v>
      </c>
      <c r="AA2777" t="s">
        <v>409</v>
      </c>
      <c r="AB2777" t="s">
        <v>409</v>
      </c>
      <c r="AC2777" t="s">
        <v>409</v>
      </c>
      <c r="AD2777" t="s">
        <v>261</v>
      </c>
      <c r="AH2777" t="s">
        <v>262</v>
      </c>
      <c r="AI2777" t="s">
        <v>262</v>
      </c>
      <c r="AJ2777" t="s">
        <v>261</v>
      </c>
      <c r="AK2777" t="s">
        <v>261</v>
      </c>
      <c r="AM2777" t="s">
        <v>262</v>
      </c>
      <c r="AN2777" t="s">
        <v>7609</v>
      </c>
    </row>
    <row r="2778" spans="1:40" x14ac:dyDescent="0.35">
      <c r="A2778">
        <v>6751059</v>
      </c>
      <c r="B2778" t="s">
        <v>7610</v>
      </c>
      <c r="C2778" t="str">
        <f>"9783837650228"</f>
        <v>9783837650228</v>
      </c>
      <c r="D2778" t="str">
        <f>"9783839450222"</f>
        <v>9783839450222</v>
      </c>
      <c r="E2778" t="s">
        <v>7532</v>
      </c>
      <c r="F2778" t="s">
        <v>7533</v>
      </c>
      <c r="G2778" s="1">
        <v>43891</v>
      </c>
      <c r="H2778" s="1">
        <v>44567</v>
      </c>
      <c r="I2778" t="s">
        <v>189</v>
      </c>
      <c r="J2778">
        <v>1</v>
      </c>
      <c r="K2778" t="s">
        <v>7611</v>
      </c>
      <c r="L2778" t="s">
        <v>7612</v>
      </c>
      <c r="M2778" t="s">
        <v>329</v>
      </c>
      <c r="Q2778" t="s">
        <v>408</v>
      </c>
      <c r="R2778" t="s">
        <v>261</v>
      </c>
      <c r="S2778" t="s">
        <v>261</v>
      </c>
      <c r="T2778" t="s">
        <v>261</v>
      </c>
      <c r="U2778" t="s">
        <v>262</v>
      </c>
      <c r="V2778" t="s">
        <v>262</v>
      </c>
      <c r="W2778" t="s">
        <v>261</v>
      </c>
      <c r="X2778" t="s">
        <v>262</v>
      </c>
      <c r="Y2778" t="s">
        <v>261</v>
      </c>
      <c r="Z2778" t="s">
        <v>409</v>
      </c>
      <c r="AA2778" t="s">
        <v>409</v>
      </c>
      <c r="AB2778" t="s">
        <v>409</v>
      </c>
      <c r="AC2778" t="s">
        <v>409</v>
      </c>
      <c r="AD2778" t="s">
        <v>261</v>
      </c>
      <c r="AH2778" t="s">
        <v>262</v>
      </c>
      <c r="AI2778" t="s">
        <v>262</v>
      </c>
      <c r="AJ2778" t="s">
        <v>261</v>
      </c>
      <c r="AK2778" t="s">
        <v>261</v>
      </c>
      <c r="AM2778" t="s">
        <v>262</v>
      </c>
      <c r="AN2778" t="s">
        <v>7613</v>
      </c>
    </row>
    <row r="2779" spans="1:40" x14ac:dyDescent="0.35">
      <c r="A2779">
        <v>6751064</v>
      </c>
      <c r="B2779" t="s">
        <v>7614</v>
      </c>
      <c r="C2779" t="str">
        <f>"9783732853212"</f>
        <v>9783732853212</v>
      </c>
      <c r="D2779" t="str">
        <f>"9783839453216"</f>
        <v>9783839453216</v>
      </c>
      <c r="E2779" t="s">
        <v>7532</v>
      </c>
      <c r="F2779" t="s">
        <v>7533</v>
      </c>
      <c r="G2779" s="1">
        <v>43983</v>
      </c>
      <c r="H2779" s="1">
        <v>44567</v>
      </c>
      <c r="I2779" t="s">
        <v>189</v>
      </c>
      <c r="J2779">
        <v>1</v>
      </c>
      <c r="K2779" t="s">
        <v>7593</v>
      </c>
      <c r="L2779" t="s">
        <v>7615</v>
      </c>
      <c r="M2779" t="s">
        <v>210</v>
      </c>
      <c r="N2779" t="s">
        <v>7616</v>
      </c>
      <c r="Q2779" t="s">
        <v>408</v>
      </c>
      <c r="R2779" t="s">
        <v>261</v>
      </c>
      <c r="S2779" t="s">
        <v>261</v>
      </c>
      <c r="T2779" t="s">
        <v>261</v>
      </c>
      <c r="U2779" t="s">
        <v>262</v>
      </c>
      <c r="V2779" t="s">
        <v>262</v>
      </c>
      <c r="W2779" t="s">
        <v>261</v>
      </c>
      <c r="X2779" t="s">
        <v>262</v>
      </c>
      <c r="Y2779" t="s">
        <v>261</v>
      </c>
      <c r="Z2779" t="s">
        <v>409</v>
      </c>
      <c r="AA2779" t="s">
        <v>409</v>
      </c>
      <c r="AB2779" t="s">
        <v>409</v>
      </c>
      <c r="AC2779" t="s">
        <v>409</v>
      </c>
      <c r="AD2779" t="s">
        <v>261</v>
      </c>
      <c r="AH2779" t="s">
        <v>262</v>
      </c>
      <c r="AI2779" t="s">
        <v>262</v>
      </c>
      <c r="AJ2779" t="s">
        <v>261</v>
      </c>
      <c r="AK2779" t="s">
        <v>261</v>
      </c>
      <c r="AM2779" t="s">
        <v>262</v>
      </c>
      <c r="AN2779" t="s">
        <v>7617</v>
      </c>
    </row>
    <row r="2780" spans="1:40" x14ac:dyDescent="0.35">
      <c r="A2780">
        <v>6751170</v>
      </c>
      <c r="B2780" t="s">
        <v>7618</v>
      </c>
      <c r="C2780" t="str">
        <f>"9783837651041"</f>
        <v>9783837651041</v>
      </c>
      <c r="D2780" t="str">
        <f>"9783839451045"</f>
        <v>9783839451045</v>
      </c>
      <c r="E2780" t="s">
        <v>7532</v>
      </c>
      <c r="F2780" t="s">
        <v>7533</v>
      </c>
      <c r="G2780" s="1">
        <v>43952</v>
      </c>
      <c r="H2780" s="1">
        <v>44567</v>
      </c>
      <c r="I2780" t="s">
        <v>189</v>
      </c>
      <c r="J2780">
        <v>1</v>
      </c>
      <c r="K2780" t="s">
        <v>7545</v>
      </c>
      <c r="L2780" t="s">
        <v>7619</v>
      </c>
      <c r="M2780" t="s">
        <v>329</v>
      </c>
      <c r="Q2780" t="s">
        <v>260</v>
      </c>
      <c r="R2780" t="s">
        <v>261</v>
      </c>
      <c r="S2780" t="s">
        <v>261</v>
      </c>
      <c r="T2780" t="s">
        <v>261</v>
      </c>
      <c r="U2780" t="s">
        <v>262</v>
      </c>
      <c r="V2780" t="s">
        <v>262</v>
      </c>
      <c r="W2780" t="s">
        <v>261</v>
      </c>
      <c r="X2780" t="s">
        <v>262</v>
      </c>
      <c r="Y2780" t="s">
        <v>261</v>
      </c>
      <c r="Z2780" t="s">
        <v>409</v>
      </c>
      <c r="AA2780" t="s">
        <v>409</v>
      </c>
      <c r="AB2780" t="s">
        <v>409</v>
      </c>
      <c r="AC2780" t="s">
        <v>409</v>
      </c>
      <c r="AD2780" t="s">
        <v>261</v>
      </c>
      <c r="AH2780" t="s">
        <v>262</v>
      </c>
      <c r="AI2780" t="s">
        <v>262</v>
      </c>
      <c r="AJ2780" t="s">
        <v>261</v>
      </c>
      <c r="AK2780" t="s">
        <v>261</v>
      </c>
      <c r="AM2780" t="s">
        <v>262</v>
      </c>
      <c r="AN2780" t="s">
        <v>7620</v>
      </c>
    </row>
    <row r="2781" spans="1:40" x14ac:dyDescent="0.35">
      <c r="A2781">
        <v>6751200</v>
      </c>
      <c r="B2781" t="s">
        <v>7621</v>
      </c>
      <c r="C2781" t="str">
        <f>"9783837652000"</f>
        <v>9783837652000</v>
      </c>
      <c r="D2781" t="str">
        <f>"9783839452004"</f>
        <v>9783839452004</v>
      </c>
      <c r="E2781" t="s">
        <v>7532</v>
      </c>
      <c r="F2781" t="s">
        <v>7533</v>
      </c>
      <c r="G2781" s="1">
        <v>43952</v>
      </c>
      <c r="H2781" s="1">
        <v>44567</v>
      </c>
      <c r="I2781" t="s">
        <v>189</v>
      </c>
      <c r="J2781">
        <v>1</v>
      </c>
      <c r="K2781" t="s">
        <v>7622</v>
      </c>
      <c r="L2781" t="s">
        <v>7623</v>
      </c>
    </row>
    <row r="2782" spans="1:40" x14ac:dyDescent="0.35">
      <c r="A2782">
        <v>6751224</v>
      </c>
      <c r="B2782" t="s">
        <v>7624</v>
      </c>
      <c r="C2782" t="str">
        <f>"9783837640663"</f>
        <v>9783837640663</v>
      </c>
      <c r="D2782" t="str">
        <f>"9783839440667"</f>
        <v>9783839440667</v>
      </c>
      <c r="E2782" t="s">
        <v>7532</v>
      </c>
      <c r="F2782" t="s">
        <v>7533</v>
      </c>
      <c r="G2782" s="1">
        <v>43191</v>
      </c>
      <c r="H2782" s="1">
        <v>44567</v>
      </c>
      <c r="I2782" t="s">
        <v>189</v>
      </c>
      <c r="J2782">
        <v>1</v>
      </c>
      <c r="K2782" t="s">
        <v>7625</v>
      </c>
      <c r="L2782" t="s">
        <v>7626</v>
      </c>
    </row>
    <row r="2783" spans="1:40" x14ac:dyDescent="0.35">
      <c r="A2783">
        <v>6751348</v>
      </c>
      <c r="B2783" t="s">
        <v>7627</v>
      </c>
      <c r="C2783" t="str">
        <f>"9783837650785"</f>
        <v>9783837650785</v>
      </c>
      <c r="D2783" t="str">
        <f>"9783839450789"</f>
        <v>9783839450789</v>
      </c>
      <c r="E2783" t="s">
        <v>7532</v>
      </c>
      <c r="F2783" t="s">
        <v>7533</v>
      </c>
      <c r="G2783" s="1">
        <v>43831</v>
      </c>
      <c r="H2783" s="1">
        <v>44567</v>
      </c>
      <c r="I2783" t="s">
        <v>189</v>
      </c>
      <c r="J2783">
        <v>1</v>
      </c>
      <c r="K2783" t="s">
        <v>7628</v>
      </c>
      <c r="L2783" t="s">
        <v>7629</v>
      </c>
      <c r="M2783" t="s">
        <v>249</v>
      </c>
      <c r="Q2783" t="s">
        <v>408</v>
      </c>
      <c r="R2783" t="s">
        <v>261</v>
      </c>
      <c r="S2783" t="s">
        <v>261</v>
      </c>
      <c r="T2783" t="s">
        <v>261</v>
      </c>
      <c r="U2783" t="s">
        <v>262</v>
      </c>
      <c r="V2783" t="s">
        <v>262</v>
      </c>
      <c r="W2783" t="s">
        <v>261</v>
      </c>
      <c r="X2783" t="s">
        <v>262</v>
      </c>
      <c r="Y2783" t="s">
        <v>261</v>
      </c>
      <c r="Z2783" t="s">
        <v>409</v>
      </c>
      <c r="AA2783" t="s">
        <v>409</v>
      </c>
      <c r="AB2783" t="s">
        <v>409</v>
      </c>
      <c r="AC2783" t="s">
        <v>409</v>
      </c>
      <c r="AD2783" t="s">
        <v>261</v>
      </c>
      <c r="AH2783" t="s">
        <v>262</v>
      </c>
      <c r="AI2783" t="s">
        <v>262</v>
      </c>
      <c r="AJ2783" t="s">
        <v>261</v>
      </c>
      <c r="AK2783" t="s">
        <v>261</v>
      </c>
      <c r="AM2783" t="s">
        <v>262</v>
      </c>
      <c r="AN2783" t="s">
        <v>7630</v>
      </c>
    </row>
    <row r="2784" spans="1:40" x14ac:dyDescent="0.35">
      <c r="A2784">
        <v>6751396</v>
      </c>
      <c r="B2784" t="s">
        <v>7631</v>
      </c>
      <c r="C2784" t="str">
        <f>"9783837652871"</f>
        <v>9783837652871</v>
      </c>
      <c r="D2784" t="str">
        <f>"9783839452875"</f>
        <v>9783839452875</v>
      </c>
      <c r="E2784" t="s">
        <v>7532</v>
      </c>
      <c r="F2784" t="s">
        <v>7533</v>
      </c>
      <c r="G2784" s="1">
        <v>44256</v>
      </c>
      <c r="H2784" s="1">
        <v>44567</v>
      </c>
      <c r="I2784" t="s">
        <v>189</v>
      </c>
      <c r="J2784">
        <v>1</v>
      </c>
      <c r="L2784" t="s">
        <v>7632</v>
      </c>
    </row>
    <row r="2785" spans="1:40" x14ac:dyDescent="0.35">
      <c r="A2785">
        <v>6751405</v>
      </c>
      <c r="B2785" t="s">
        <v>7633</v>
      </c>
      <c r="C2785" t="str">
        <f>"9783837652031"</f>
        <v>9783837652031</v>
      </c>
      <c r="D2785" t="str">
        <f>"9783839452035"</f>
        <v>9783839452035</v>
      </c>
      <c r="E2785" t="s">
        <v>7532</v>
      </c>
      <c r="F2785" t="s">
        <v>7533</v>
      </c>
      <c r="G2785" s="1">
        <v>44166</v>
      </c>
      <c r="H2785" s="1">
        <v>44567</v>
      </c>
      <c r="I2785" t="s">
        <v>189</v>
      </c>
      <c r="J2785">
        <v>1</v>
      </c>
      <c r="K2785" t="s">
        <v>7634</v>
      </c>
      <c r="L2785" t="s">
        <v>7635</v>
      </c>
      <c r="M2785" t="s">
        <v>329</v>
      </c>
      <c r="Q2785" t="s">
        <v>260</v>
      </c>
      <c r="R2785" t="s">
        <v>261</v>
      </c>
      <c r="S2785" t="s">
        <v>261</v>
      </c>
      <c r="T2785" t="s">
        <v>261</v>
      </c>
      <c r="U2785" t="s">
        <v>262</v>
      </c>
      <c r="V2785" t="s">
        <v>262</v>
      </c>
      <c r="W2785" t="s">
        <v>261</v>
      </c>
      <c r="X2785" t="s">
        <v>262</v>
      </c>
      <c r="Y2785" t="s">
        <v>261</v>
      </c>
      <c r="Z2785" t="s">
        <v>409</v>
      </c>
      <c r="AA2785" t="s">
        <v>409</v>
      </c>
      <c r="AB2785" t="s">
        <v>409</v>
      </c>
      <c r="AC2785" t="s">
        <v>409</v>
      </c>
      <c r="AD2785" t="s">
        <v>261</v>
      </c>
      <c r="AH2785" t="s">
        <v>262</v>
      </c>
      <c r="AI2785" t="s">
        <v>262</v>
      </c>
      <c r="AJ2785" t="s">
        <v>261</v>
      </c>
      <c r="AK2785" t="s">
        <v>261</v>
      </c>
      <c r="AM2785" t="s">
        <v>262</v>
      </c>
      <c r="AN2785" t="s">
        <v>7636</v>
      </c>
    </row>
    <row r="2786" spans="1:40" x14ac:dyDescent="0.35">
      <c r="A2786">
        <v>6751437</v>
      </c>
      <c r="B2786" t="s">
        <v>7637</v>
      </c>
      <c r="C2786" t="str">
        <f>"9783837652451"</f>
        <v>9783837652451</v>
      </c>
      <c r="D2786" t="str">
        <f>"9783839452455"</f>
        <v>9783839452455</v>
      </c>
      <c r="E2786" t="s">
        <v>7532</v>
      </c>
      <c r="F2786" t="s">
        <v>7533</v>
      </c>
      <c r="G2786" s="1">
        <v>43983</v>
      </c>
      <c r="H2786" s="1">
        <v>44567</v>
      </c>
      <c r="I2786" t="s">
        <v>189</v>
      </c>
      <c r="J2786">
        <v>1</v>
      </c>
      <c r="K2786" t="s">
        <v>7638</v>
      </c>
      <c r="L2786" t="s">
        <v>7639</v>
      </c>
      <c r="M2786" t="s">
        <v>199</v>
      </c>
      <c r="Q2786" t="s">
        <v>408</v>
      </c>
      <c r="R2786" t="s">
        <v>261</v>
      </c>
      <c r="S2786" t="s">
        <v>261</v>
      </c>
      <c r="T2786" t="s">
        <v>261</v>
      </c>
      <c r="U2786" t="s">
        <v>262</v>
      </c>
      <c r="V2786" t="s">
        <v>262</v>
      </c>
      <c r="W2786" t="s">
        <v>261</v>
      </c>
      <c r="X2786" t="s">
        <v>262</v>
      </c>
      <c r="Y2786" t="s">
        <v>261</v>
      </c>
      <c r="Z2786" t="s">
        <v>409</v>
      </c>
      <c r="AA2786" t="s">
        <v>409</v>
      </c>
      <c r="AB2786" t="s">
        <v>409</v>
      </c>
      <c r="AC2786" t="s">
        <v>409</v>
      </c>
      <c r="AD2786" t="s">
        <v>261</v>
      </c>
      <c r="AH2786" t="s">
        <v>262</v>
      </c>
      <c r="AI2786" t="s">
        <v>262</v>
      </c>
      <c r="AJ2786" t="s">
        <v>261</v>
      </c>
      <c r="AK2786" t="s">
        <v>261</v>
      </c>
      <c r="AM2786" t="s">
        <v>262</v>
      </c>
      <c r="AN2786" t="s">
        <v>7640</v>
      </c>
    </row>
    <row r="2787" spans="1:40" x14ac:dyDescent="0.35">
      <c r="A2787">
        <v>6751477</v>
      </c>
      <c r="B2787" t="s">
        <v>7641</v>
      </c>
      <c r="C2787" t="str">
        <f>"9783732856619"</f>
        <v>9783732856619</v>
      </c>
      <c r="D2787" t="str">
        <f>"9783839456613"</f>
        <v>9783839456613</v>
      </c>
      <c r="E2787" t="s">
        <v>7532</v>
      </c>
      <c r="F2787" t="s">
        <v>7533</v>
      </c>
      <c r="G2787" s="1">
        <v>44317</v>
      </c>
      <c r="H2787" s="1">
        <v>44567</v>
      </c>
      <c r="I2787" t="s">
        <v>189</v>
      </c>
      <c r="J2787">
        <v>1</v>
      </c>
      <c r="K2787" t="s">
        <v>7553</v>
      </c>
      <c r="L2787" t="s">
        <v>7642</v>
      </c>
      <c r="M2787" t="s">
        <v>210</v>
      </c>
      <c r="Q2787" t="s">
        <v>408</v>
      </c>
      <c r="R2787" t="s">
        <v>261</v>
      </c>
      <c r="S2787" t="s">
        <v>261</v>
      </c>
      <c r="T2787" t="s">
        <v>261</v>
      </c>
      <c r="U2787" t="s">
        <v>262</v>
      </c>
      <c r="V2787" t="s">
        <v>262</v>
      </c>
      <c r="W2787" t="s">
        <v>261</v>
      </c>
      <c r="X2787" t="s">
        <v>262</v>
      </c>
      <c r="Y2787" t="s">
        <v>261</v>
      </c>
      <c r="Z2787" t="s">
        <v>409</v>
      </c>
      <c r="AA2787" t="s">
        <v>409</v>
      </c>
      <c r="AB2787" t="s">
        <v>409</v>
      </c>
      <c r="AC2787" t="s">
        <v>409</v>
      </c>
      <c r="AD2787" t="s">
        <v>261</v>
      </c>
      <c r="AH2787" t="s">
        <v>262</v>
      </c>
      <c r="AI2787" t="s">
        <v>262</v>
      </c>
      <c r="AJ2787" t="s">
        <v>261</v>
      </c>
      <c r="AK2787" t="s">
        <v>261</v>
      </c>
      <c r="AM2787" t="s">
        <v>262</v>
      </c>
      <c r="AN2787" t="s">
        <v>7643</v>
      </c>
    </row>
    <row r="2788" spans="1:40" x14ac:dyDescent="0.35">
      <c r="A2788">
        <v>6751646</v>
      </c>
      <c r="B2788" t="s">
        <v>7644</v>
      </c>
      <c r="C2788" t="str">
        <f>"9783837648959"</f>
        <v>9783837648959</v>
      </c>
      <c r="D2788" t="str">
        <f>"9783839448953"</f>
        <v>9783839448953</v>
      </c>
      <c r="E2788" t="s">
        <v>7532</v>
      </c>
      <c r="F2788" t="s">
        <v>7533</v>
      </c>
      <c r="G2788" s="1">
        <v>43983</v>
      </c>
      <c r="H2788" s="1">
        <v>44567</v>
      </c>
      <c r="I2788" t="s">
        <v>189</v>
      </c>
      <c r="J2788">
        <v>1</v>
      </c>
      <c r="K2788" t="s">
        <v>7645</v>
      </c>
      <c r="L2788" t="s">
        <v>7646</v>
      </c>
      <c r="M2788" t="s">
        <v>329</v>
      </c>
      <c r="Q2788" t="s">
        <v>408</v>
      </c>
      <c r="R2788" t="s">
        <v>261</v>
      </c>
      <c r="S2788" t="s">
        <v>261</v>
      </c>
      <c r="T2788" t="s">
        <v>261</v>
      </c>
      <c r="U2788" t="s">
        <v>262</v>
      </c>
      <c r="V2788" t="s">
        <v>262</v>
      </c>
      <c r="W2788" t="s">
        <v>261</v>
      </c>
      <c r="X2788" t="s">
        <v>262</v>
      </c>
      <c r="Y2788" t="s">
        <v>261</v>
      </c>
      <c r="Z2788" t="s">
        <v>409</v>
      </c>
      <c r="AA2788" t="s">
        <v>409</v>
      </c>
      <c r="AB2788" t="s">
        <v>409</v>
      </c>
      <c r="AC2788" t="s">
        <v>409</v>
      </c>
      <c r="AD2788" t="s">
        <v>261</v>
      </c>
      <c r="AH2788" t="s">
        <v>262</v>
      </c>
      <c r="AI2788" t="s">
        <v>262</v>
      </c>
      <c r="AJ2788" t="s">
        <v>261</v>
      </c>
      <c r="AK2788" t="s">
        <v>261</v>
      </c>
      <c r="AM2788" t="s">
        <v>262</v>
      </c>
      <c r="AN2788" t="s">
        <v>7647</v>
      </c>
    </row>
    <row r="2789" spans="1:40" x14ac:dyDescent="0.35">
      <c r="A2789">
        <v>6751649</v>
      </c>
      <c r="B2789" t="s">
        <v>7648</v>
      </c>
      <c r="C2789" t="str">
        <f>"9783837654370"</f>
        <v>9783837654370</v>
      </c>
      <c r="D2789" t="str">
        <f>"9783839454374"</f>
        <v>9783839454374</v>
      </c>
      <c r="E2789" t="s">
        <v>7532</v>
      </c>
      <c r="F2789" t="s">
        <v>7533</v>
      </c>
      <c r="G2789" s="1">
        <v>44105</v>
      </c>
      <c r="H2789" s="1">
        <v>44567</v>
      </c>
      <c r="I2789" t="s">
        <v>189</v>
      </c>
      <c r="J2789">
        <v>1</v>
      </c>
      <c r="K2789" t="s">
        <v>7545</v>
      </c>
      <c r="L2789" t="s">
        <v>7649</v>
      </c>
      <c r="M2789" t="s">
        <v>329</v>
      </c>
      <c r="Q2789" t="s">
        <v>260</v>
      </c>
      <c r="R2789" t="s">
        <v>261</v>
      </c>
      <c r="S2789" t="s">
        <v>261</v>
      </c>
      <c r="T2789" t="s">
        <v>261</v>
      </c>
      <c r="U2789" t="s">
        <v>262</v>
      </c>
      <c r="V2789" t="s">
        <v>262</v>
      </c>
      <c r="W2789" t="s">
        <v>261</v>
      </c>
      <c r="X2789" t="s">
        <v>262</v>
      </c>
      <c r="Y2789" t="s">
        <v>261</v>
      </c>
      <c r="Z2789" t="s">
        <v>409</v>
      </c>
      <c r="AA2789" t="s">
        <v>409</v>
      </c>
      <c r="AB2789" t="s">
        <v>409</v>
      </c>
      <c r="AC2789" t="s">
        <v>409</v>
      </c>
      <c r="AD2789" t="s">
        <v>261</v>
      </c>
      <c r="AH2789" t="s">
        <v>262</v>
      </c>
      <c r="AI2789" t="s">
        <v>262</v>
      </c>
      <c r="AJ2789" t="s">
        <v>261</v>
      </c>
      <c r="AK2789" t="s">
        <v>261</v>
      </c>
      <c r="AM2789" t="s">
        <v>262</v>
      </c>
      <c r="AN2789" t="s">
        <v>7650</v>
      </c>
    </row>
    <row r="2790" spans="1:40" x14ac:dyDescent="0.35">
      <c r="A2790">
        <v>6751730</v>
      </c>
      <c r="B2790" t="s">
        <v>7651</v>
      </c>
      <c r="C2790" t="str">
        <f>"9783732841196"</f>
        <v>9783732841196</v>
      </c>
      <c r="D2790" t="str">
        <f>"9783839441190"</f>
        <v>9783839441190</v>
      </c>
      <c r="E2790" t="s">
        <v>7532</v>
      </c>
      <c r="F2790" t="s">
        <v>7533</v>
      </c>
      <c r="G2790" s="1">
        <v>43160</v>
      </c>
      <c r="H2790" s="1">
        <v>44567</v>
      </c>
      <c r="I2790" t="s">
        <v>189</v>
      </c>
      <c r="J2790">
        <v>1</v>
      </c>
      <c r="K2790" t="s">
        <v>7652</v>
      </c>
      <c r="L2790" t="s">
        <v>7653</v>
      </c>
    </row>
    <row r="2791" spans="1:40" x14ac:dyDescent="0.35">
      <c r="A2791">
        <v>6751936</v>
      </c>
      <c r="B2791" t="s">
        <v>7654</v>
      </c>
      <c r="C2791" t="str">
        <f>"9783732856053"</f>
        <v>9783732856053</v>
      </c>
      <c r="D2791" t="str">
        <f>"9783839456057"</f>
        <v>9783839456057</v>
      </c>
      <c r="E2791" t="s">
        <v>7532</v>
      </c>
      <c r="F2791" t="s">
        <v>7533</v>
      </c>
      <c r="G2791" s="1">
        <v>44348</v>
      </c>
      <c r="H2791" s="1">
        <v>44567</v>
      </c>
      <c r="I2791" t="s">
        <v>189</v>
      </c>
      <c r="J2791">
        <v>1</v>
      </c>
      <c r="K2791" t="s">
        <v>7655</v>
      </c>
      <c r="L2791" t="s">
        <v>7656</v>
      </c>
      <c r="M2791" t="s">
        <v>329</v>
      </c>
      <c r="Q2791" t="s">
        <v>408</v>
      </c>
      <c r="R2791" t="s">
        <v>261</v>
      </c>
      <c r="S2791" t="s">
        <v>261</v>
      </c>
      <c r="T2791" t="s">
        <v>261</v>
      </c>
      <c r="U2791" t="s">
        <v>262</v>
      </c>
      <c r="V2791" t="s">
        <v>262</v>
      </c>
      <c r="W2791" t="s">
        <v>261</v>
      </c>
      <c r="X2791" t="s">
        <v>262</v>
      </c>
      <c r="Y2791" t="s">
        <v>261</v>
      </c>
      <c r="Z2791" t="s">
        <v>409</v>
      </c>
      <c r="AA2791" t="s">
        <v>409</v>
      </c>
      <c r="AB2791" t="s">
        <v>409</v>
      </c>
      <c r="AC2791" t="s">
        <v>409</v>
      </c>
      <c r="AD2791" t="s">
        <v>261</v>
      </c>
      <c r="AH2791" t="s">
        <v>262</v>
      </c>
      <c r="AI2791" t="s">
        <v>262</v>
      </c>
      <c r="AJ2791" t="s">
        <v>261</v>
      </c>
      <c r="AK2791" t="s">
        <v>261</v>
      </c>
      <c r="AM2791" t="s">
        <v>262</v>
      </c>
      <c r="AN2791" t="s">
        <v>7657</v>
      </c>
    </row>
    <row r="2792" spans="1:40" x14ac:dyDescent="0.35">
      <c r="A2792">
        <v>6752054</v>
      </c>
      <c r="B2792" t="s">
        <v>7658</v>
      </c>
      <c r="C2792" t="str">
        <f>""</f>
        <v/>
      </c>
      <c r="D2792" t="str">
        <f>"9783839402597"</f>
        <v>9783839402597</v>
      </c>
      <c r="E2792" t="s">
        <v>6766</v>
      </c>
      <c r="F2792" t="s">
        <v>6766</v>
      </c>
      <c r="G2792" s="1">
        <v>42272</v>
      </c>
      <c r="H2792" s="1">
        <v>44567</v>
      </c>
      <c r="I2792" t="s">
        <v>189</v>
      </c>
      <c r="K2792" t="s">
        <v>7659</v>
      </c>
      <c r="L2792" t="s">
        <v>7660</v>
      </c>
      <c r="M2792" t="s">
        <v>210</v>
      </c>
      <c r="Q2792" t="s">
        <v>408</v>
      </c>
      <c r="R2792" t="s">
        <v>261</v>
      </c>
      <c r="S2792" t="s">
        <v>261</v>
      </c>
      <c r="T2792" t="s">
        <v>261</v>
      </c>
      <c r="U2792" t="s">
        <v>262</v>
      </c>
      <c r="V2792" t="s">
        <v>262</v>
      </c>
      <c r="W2792" t="s">
        <v>261</v>
      </c>
      <c r="X2792" t="s">
        <v>262</v>
      </c>
      <c r="Y2792" t="s">
        <v>261</v>
      </c>
      <c r="Z2792" t="s">
        <v>409</v>
      </c>
      <c r="AB2792" t="s">
        <v>409</v>
      </c>
      <c r="AC2792" t="s">
        <v>409</v>
      </c>
      <c r="AD2792" t="s">
        <v>261</v>
      </c>
      <c r="AH2792" t="s">
        <v>262</v>
      </c>
      <c r="AI2792" t="s">
        <v>262</v>
      </c>
      <c r="AJ2792" t="s">
        <v>261</v>
      </c>
      <c r="AK2792" t="s">
        <v>261</v>
      </c>
      <c r="AM2792" t="s">
        <v>262</v>
      </c>
      <c r="AN2792" t="s">
        <v>7661</v>
      </c>
    </row>
    <row r="2793" spans="1:40" x14ac:dyDescent="0.35">
      <c r="A2793">
        <v>6752094</v>
      </c>
      <c r="B2793" t="s">
        <v>7662</v>
      </c>
      <c r="C2793" t="str">
        <f>"9783837657364"</f>
        <v>9783837657364</v>
      </c>
      <c r="D2793" t="str">
        <f>"9783839457368"</f>
        <v>9783839457368</v>
      </c>
      <c r="E2793" t="s">
        <v>7532</v>
      </c>
      <c r="F2793" t="s">
        <v>7533</v>
      </c>
      <c r="G2793" s="1">
        <v>44256</v>
      </c>
      <c r="H2793" s="1">
        <v>44567</v>
      </c>
      <c r="I2793" t="s">
        <v>189</v>
      </c>
      <c r="J2793">
        <v>1</v>
      </c>
      <c r="K2793" t="s">
        <v>7663</v>
      </c>
      <c r="L2793" t="s">
        <v>7664</v>
      </c>
    </row>
    <row r="2794" spans="1:40" x14ac:dyDescent="0.35">
      <c r="A2794">
        <v>6752153</v>
      </c>
      <c r="B2794" t="s">
        <v>7665</v>
      </c>
      <c r="C2794" t="str">
        <f>"9783837649857"</f>
        <v>9783837649857</v>
      </c>
      <c r="D2794" t="str">
        <f>"9783839449851"</f>
        <v>9783839449851</v>
      </c>
      <c r="E2794" t="s">
        <v>7532</v>
      </c>
      <c r="F2794" t="s">
        <v>7533</v>
      </c>
      <c r="G2794" s="1">
        <v>43862</v>
      </c>
      <c r="H2794" s="1">
        <v>44567</v>
      </c>
      <c r="I2794" t="s">
        <v>189</v>
      </c>
      <c r="J2794">
        <v>1</v>
      </c>
      <c r="K2794" t="s">
        <v>7565</v>
      </c>
      <c r="L2794" t="s">
        <v>7666</v>
      </c>
    </row>
    <row r="2795" spans="1:40" x14ac:dyDescent="0.35">
      <c r="A2795">
        <v>6752162</v>
      </c>
      <c r="B2795" t="s">
        <v>7667</v>
      </c>
      <c r="C2795" t="str">
        <f>"9783837647426"</f>
        <v>9783837647426</v>
      </c>
      <c r="D2795" t="str">
        <f>"9783839447420"</f>
        <v>9783839447420</v>
      </c>
      <c r="E2795" t="s">
        <v>7532</v>
      </c>
      <c r="F2795" t="s">
        <v>7533</v>
      </c>
      <c r="G2795" s="1">
        <v>44105</v>
      </c>
      <c r="H2795" s="1">
        <v>44567</v>
      </c>
      <c r="I2795" t="s">
        <v>189</v>
      </c>
      <c r="J2795">
        <v>1</v>
      </c>
      <c r="K2795" t="s">
        <v>7538</v>
      </c>
      <c r="L2795" t="s">
        <v>7542</v>
      </c>
    </row>
    <row r="2796" spans="1:40" x14ac:dyDescent="0.35">
      <c r="A2796">
        <v>6752170</v>
      </c>
      <c r="B2796" t="s">
        <v>7668</v>
      </c>
      <c r="C2796" t="str">
        <f>"9783837651218"</f>
        <v>9783837651218</v>
      </c>
      <c r="D2796" t="str">
        <f>"9783839451212"</f>
        <v>9783839451212</v>
      </c>
      <c r="E2796" t="s">
        <v>7532</v>
      </c>
      <c r="F2796" t="s">
        <v>7533</v>
      </c>
      <c r="G2796" s="1">
        <v>43952</v>
      </c>
      <c r="H2796" s="1">
        <v>44567</v>
      </c>
      <c r="I2796" t="s">
        <v>189</v>
      </c>
      <c r="J2796">
        <v>1</v>
      </c>
      <c r="K2796" t="s">
        <v>7663</v>
      </c>
      <c r="L2796" t="s">
        <v>7669</v>
      </c>
      <c r="M2796" t="s">
        <v>578</v>
      </c>
      <c r="Q2796" t="s">
        <v>408</v>
      </c>
      <c r="R2796" t="s">
        <v>261</v>
      </c>
      <c r="S2796" t="s">
        <v>261</v>
      </c>
      <c r="T2796" t="s">
        <v>261</v>
      </c>
      <c r="U2796" t="s">
        <v>262</v>
      </c>
      <c r="V2796" t="s">
        <v>262</v>
      </c>
      <c r="W2796" t="s">
        <v>261</v>
      </c>
      <c r="X2796" t="s">
        <v>262</v>
      </c>
      <c r="Y2796" t="s">
        <v>261</v>
      </c>
      <c r="Z2796" t="s">
        <v>409</v>
      </c>
      <c r="AA2796" t="s">
        <v>409</v>
      </c>
      <c r="AB2796" t="s">
        <v>409</v>
      </c>
      <c r="AC2796" t="s">
        <v>409</v>
      </c>
      <c r="AD2796" t="s">
        <v>261</v>
      </c>
      <c r="AH2796" t="s">
        <v>262</v>
      </c>
      <c r="AI2796" t="s">
        <v>262</v>
      </c>
      <c r="AJ2796" t="s">
        <v>261</v>
      </c>
      <c r="AK2796" t="s">
        <v>261</v>
      </c>
      <c r="AM2796" t="s">
        <v>262</v>
      </c>
      <c r="AN2796" t="s">
        <v>7670</v>
      </c>
    </row>
    <row r="2797" spans="1:40" x14ac:dyDescent="0.35">
      <c r="A2797">
        <v>6752238</v>
      </c>
      <c r="B2797" t="s">
        <v>7671</v>
      </c>
      <c r="C2797" t="str">
        <f>"9783837655933"</f>
        <v>9783837655933</v>
      </c>
      <c r="D2797" t="str">
        <f>"9783839455937"</f>
        <v>9783839455937</v>
      </c>
      <c r="E2797" t="s">
        <v>7532</v>
      </c>
      <c r="F2797" t="s">
        <v>7533</v>
      </c>
      <c r="G2797" s="1">
        <v>44317</v>
      </c>
      <c r="H2797" s="1">
        <v>44567</v>
      </c>
      <c r="I2797" t="s">
        <v>189</v>
      </c>
      <c r="J2797">
        <v>1</v>
      </c>
      <c r="K2797" t="s">
        <v>7534</v>
      </c>
      <c r="L2797" t="s">
        <v>7672</v>
      </c>
      <c r="M2797" t="s">
        <v>219</v>
      </c>
      <c r="Q2797" t="s">
        <v>408</v>
      </c>
      <c r="R2797" t="s">
        <v>261</v>
      </c>
      <c r="S2797" t="s">
        <v>261</v>
      </c>
      <c r="T2797" t="s">
        <v>261</v>
      </c>
      <c r="U2797" t="s">
        <v>262</v>
      </c>
      <c r="V2797" t="s">
        <v>262</v>
      </c>
      <c r="W2797" t="s">
        <v>261</v>
      </c>
      <c r="X2797" t="s">
        <v>262</v>
      </c>
      <c r="Y2797" t="s">
        <v>261</v>
      </c>
      <c r="Z2797" t="s">
        <v>409</v>
      </c>
      <c r="AA2797" t="s">
        <v>409</v>
      </c>
      <c r="AB2797" t="s">
        <v>409</v>
      </c>
      <c r="AC2797" t="s">
        <v>409</v>
      </c>
      <c r="AD2797" t="s">
        <v>261</v>
      </c>
      <c r="AH2797" t="s">
        <v>262</v>
      </c>
      <c r="AI2797" t="s">
        <v>262</v>
      </c>
      <c r="AJ2797" t="s">
        <v>261</v>
      </c>
      <c r="AK2797" t="s">
        <v>261</v>
      </c>
      <c r="AM2797" t="s">
        <v>262</v>
      </c>
      <c r="AN2797" t="s">
        <v>7673</v>
      </c>
    </row>
    <row r="2798" spans="1:40" x14ac:dyDescent="0.35">
      <c r="A2798">
        <v>6752262</v>
      </c>
      <c r="B2798" t="s">
        <v>7674</v>
      </c>
      <c r="C2798" t="str">
        <f>"9783732852475"</f>
        <v>9783732852475</v>
      </c>
      <c r="D2798" t="str">
        <f>"9783839452479"</f>
        <v>9783839452479</v>
      </c>
      <c r="E2798" t="s">
        <v>7532</v>
      </c>
      <c r="F2798" t="s">
        <v>7533</v>
      </c>
      <c r="G2798" s="1">
        <v>43983</v>
      </c>
      <c r="H2798" s="1">
        <v>44567</v>
      </c>
      <c r="I2798" t="s">
        <v>189</v>
      </c>
      <c r="J2798">
        <v>1</v>
      </c>
      <c r="K2798" t="s">
        <v>7553</v>
      </c>
      <c r="L2798" t="s">
        <v>7675</v>
      </c>
      <c r="M2798" t="s">
        <v>210</v>
      </c>
      <c r="Q2798" t="s">
        <v>408</v>
      </c>
      <c r="R2798" t="s">
        <v>261</v>
      </c>
      <c r="S2798" t="s">
        <v>261</v>
      </c>
      <c r="T2798" t="s">
        <v>261</v>
      </c>
      <c r="U2798" t="s">
        <v>262</v>
      </c>
      <c r="V2798" t="s">
        <v>262</v>
      </c>
      <c r="W2798" t="s">
        <v>261</v>
      </c>
      <c r="X2798" t="s">
        <v>262</v>
      </c>
      <c r="Y2798" t="s">
        <v>261</v>
      </c>
      <c r="Z2798" t="s">
        <v>409</v>
      </c>
      <c r="AA2798" t="s">
        <v>409</v>
      </c>
      <c r="AB2798" t="s">
        <v>409</v>
      </c>
      <c r="AC2798" t="s">
        <v>409</v>
      </c>
      <c r="AD2798" t="s">
        <v>261</v>
      </c>
      <c r="AH2798" t="s">
        <v>262</v>
      </c>
      <c r="AI2798" t="s">
        <v>262</v>
      </c>
      <c r="AJ2798" t="s">
        <v>261</v>
      </c>
      <c r="AK2798" t="s">
        <v>261</v>
      </c>
      <c r="AM2798" t="s">
        <v>262</v>
      </c>
      <c r="AN2798" t="s">
        <v>7676</v>
      </c>
    </row>
    <row r="2799" spans="1:40" x14ac:dyDescent="0.35">
      <c r="A2799">
        <v>6752356</v>
      </c>
      <c r="B2799" t="s">
        <v>7677</v>
      </c>
      <c r="C2799" t="str">
        <f>"9783837640304"</f>
        <v>9783837640304</v>
      </c>
      <c r="D2799" t="str">
        <f>"9783839440308"</f>
        <v>9783839440308</v>
      </c>
      <c r="E2799" t="s">
        <v>7532</v>
      </c>
      <c r="F2799" t="s">
        <v>7533</v>
      </c>
      <c r="G2799" s="1">
        <v>43070</v>
      </c>
      <c r="H2799" s="1">
        <v>44567</v>
      </c>
      <c r="I2799" t="s">
        <v>189</v>
      </c>
      <c r="J2799">
        <v>1</v>
      </c>
      <c r="K2799" t="s">
        <v>7678</v>
      </c>
      <c r="L2799" t="s">
        <v>7679</v>
      </c>
    </row>
    <row r="2800" spans="1:40" x14ac:dyDescent="0.35">
      <c r="A2800">
        <v>6752392</v>
      </c>
      <c r="B2800" t="s">
        <v>7680</v>
      </c>
      <c r="C2800" t="str">
        <f>"9783837654486"</f>
        <v>9783837654486</v>
      </c>
      <c r="D2800" t="str">
        <f>"9783839454480"</f>
        <v>9783839454480</v>
      </c>
      <c r="E2800" t="s">
        <v>7532</v>
      </c>
      <c r="F2800" t="s">
        <v>7533</v>
      </c>
      <c r="G2800" s="1">
        <v>44317</v>
      </c>
      <c r="H2800" s="1">
        <v>44567</v>
      </c>
      <c r="I2800" t="s">
        <v>189</v>
      </c>
      <c r="J2800">
        <v>1</v>
      </c>
      <c r="K2800" t="s">
        <v>7534</v>
      </c>
      <c r="L2800" t="s">
        <v>7681</v>
      </c>
      <c r="M2800" t="s">
        <v>219</v>
      </c>
      <c r="Q2800" t="s">
        <v>408</v>
      </c>
      <c r="R2800" t="s">
        <v>261</v>
      </c>
      <c r="S2800" t="s">
        <v>261</v>
      </c>
      <c r="T2800" t="s">
        <v>261</v>
      </c>
      <c r="U2800" t="s">
        <v>262</v>
      </c>
      <c r="V2800" t="s">
        <v>262</v>
      </c>
      <c r="W2800" t="s">
        <v>261</v>
      </c>
      <c r="X2800" t="s">
        <v>262</v>
      </c>
      <c r="Y2800" t="s">
        <v>261</v>
      </c>
      <c r="Z2800" t="s">
        <v>409</v>
      </c>
      <c r="AA2800" t="s">
        <v>409</v>
      </c>
      <c r="AB2800" t="s">
        <v>409</v>
      </c>
      <c r="AC2800" t="s">
        <v>409</v>
      </c>
      <c r="AD2800" t="s">
        <v>261</v>
      </c>
      <c r="AH2800" t="s">
        <v>262</v>
      </c>
      <c r="AI2800" t="s">
        <v>262</v>
      </c>
      <c r="AJ2800" t="s">
        <v>261</v>
      </c>
      <c r="AK2800" t="s">
        <v>261</v>
      </c>
      <c r="AM2800" t="s">
        <v>262</v>
      </c>
      <c r="AN2800" t="s">
        <v>7682</v>
      </c>
    </row>
    <row r="2801" spans="1:40" x14ac:dyDescent="0.35">
      <c r="A2801">
        <v>6752410</v>
      </c>
      <c r="B2801" t="s">
        <v>7683</v>
      </c>
      <c r="C2801" t="str">
        <f>"9783837651454"</f>
        <v>9783837651454</v>
      </c>
      <c r="D2801" t="str">
        <f>"9783839451458"</f>
        <v>9783839451458</v>
      </c>
      <c r="E2801" t="s">
        <v>7532</v>
      </c>
      <c r="F2801" t="s">
        <v>7533</v>
      </c>
      <c r="G2801" s="1">
        <v>44197</v>
      </c>
      <c r="H2801" s="1">
        <v>44567</v>
      </c>
      <c r="I2801" t="s">
        <v>189</v>
      </c>
      <c r="J2801">
        <v>1</v>
      </c>
      <c r="K2801" t="s">
        <v>7607</v>
      </c>
      <c r="L2801" t="s">
        <v>7684</v>
      </c>
    </row>
    <row r="2802" spans="1:40" x14ac:dyDescent="0.35">
      <c r="A2802">
        <v>6752460</v>
      </c>
      <c r="B2802" t="s">
        <v>7685</v>
      </c>
      <c r="C2802" t="str">
        <f>"9783732850167"</f>
        <v>9783732850167</v>
      </c>
      <c r="D2802" t="str">
        <f>"9783839450161"</f>
        <v>9783839450161</v>
      </c>
      <c r="E2802" t="s">
        <v>7532</v>
      </c>
      <c r="F2802" t="s">
        <v>7533</v>
      </c>
      <c r="G2802" s="1">
        <v>43891</v>
      </c>
      <c r="H2802" s="1">
        <v>44567</v>
      </c>
      <c r="I2802" t="s">
        <v>189</v>
      </c>
      <c r="J2802">
        <v>1</v>
      </c>
      <c r="K2802" t="s">
        <v>7553</v>
      </c>
      <c r="L2802" t="s">
        <v>7686</v>
      </c>
    </row>
    <row r="2803" spans="1:40" x14ac:dyDescent="0.35">
      <c r="A2803">
        <v>6752643</v>
      </c>
      <c r="B2803" t="s">
        <v>7687</v>
      </c>
      <c r="C2803" t="str">
        <f>"9783837642230"</f>
        <v>9783837642230</v>
      </c>
      <c r="D2803" t="str">
        <f>"9783839442234"</f>
        <v>9783839442234</v>
      </c>
      <c r="E2803" t="s">
        <v>7532</v>
      </c>
      <c r="F2803" t="s">
        <v>7533</v>
      </c>
      <c r="G2803" s="1">
        <v>43221</v>
      </c>
      <c r="H2803" s="1">
        <v>44567</v>
      </c>
      <c r="I2803" t="s">
        <v>189</v>
      </c>
      <c r="J2803">
        <v>1</v>
      </c>
      <c r="K2803" t="s">
        <v>7553</v>
      </c>
      <c r="L2803" t="s">
        <v>7688</v>
      </c>
      <c r="M2803" t="s">
        <v>210</v>
      </c>
      <c r="Q2803" t="s">
        <v>408</v>
      </c>
      <c r="R2803" t="s">
        <v>261</v>
      </c>
      <c r="S2803" t="s">
        <v>261</v>
      </c>
      <c r="T2803" t="s">
        <v>261</v>
      </c>
      <c r="U2803" t="s">
        <v>262</v>
      </c>
      <c r="V2803" t="s">
        <v>262</v>
      </c>
      <c r="W2803" t="s">
        <v>261</v>
      </c>
      <c r="X2803" t="s">
        <v>262</v>
      </c>
      <c r="Y2803" t="s">
        <v>261</v>
      </c>
      <c r="Z2803" t="s">
        <v>409</v>
      </c>
      <c r="AA2803" t="s">
        <v>409</v>
      </c>
      <c r="AB2803" t="s">
        <v>409</v>
      </c>
      <c r="AC2803" t="s">
        <v>409</v>
      </c>
      <c r="AD2803" t="s">
        <v>261</v>
      </c>
      <c r="AH2803" t="s">
        <v>262</v>
      </c>
      <c r="AI2803" t="s">
        <v>262</v>
      </c>
      <c r="AJ2803" t="s">
        <v>261</v>
      </c>
      <c r="AK2803" t="s">
        <v>261</v>
      </c>
      <c r="AM2803" t="s">
        <v>262</v>
      </c>
      <c r="AN2803" t="s">
        <v>7689</v>
      </c>
    </row>
    <row r="2804" spans="1:40" x14ac:dyDescent="0.35">
      <c r="A2804">
        <v>6752683</v>
      </c>
      <c r="B2804" t="s">
        <v>7690</v>
      </c>
      <c r="C2804" t="str">
        <f>"9783837655025"</f>
        <v>9783837655025</v>
      </c>
      <c r="D2804" t="str">
        <f>"9783839455029"</f>
        <v>9783839455029</v>
      </c>
      <c r="E2804" t="s">
        <v>7532</v>
      </c>
      <c r="F2804" t="s">
        <v>7533</v>
      </c>
      <c r="G2804" s="1">
        <v>44166</v>
      </c>
      <c r="H2804" s="1">
        <v>44567</v>
      </c>
      <c r="I2804" t="s">
        <v>189</v>
      </c>
      <c r="J2804">
        <v>1</v>
      </c>
      <c r="K2804" t="s">
        <v>7691</v>
      </c>
      <c r="L2804" t="s">
        <v>7692</v>
      </c>
      <c r="M2804" t="s">
        <v>1578</v>
      </c>
      <c r="Q2804" t="s">
        <v>260</v>
      </c>
      <c r="R2804" t="s">
        <v>261</v>
      </c>
      <c r="S2804" t="s">
        <v>261</v>
      </c>
      <c r="T2804" t="s">
        <v>261</v>
      </c>
      <c r="U2804" t="s">
        <v>262</v>
      </c>
      <c r="V2804" t="s">
        <v>262</v>
      </c>
      <c r="W2804" t="s">
        <v>261</v>
      </c>
      <c r="X2804" t="s">
        <v>262</v>
      </c>
      <c r="Y2804" t="s">
        <v>261</v>
      </c>
      <c r="Z2804" t="s">
        <v>409</v>
      </c>
      <c r="AA2804" t="s">
        <v>409</v>
      </c>
      <c r="AB2804" t="s">
        <v>409</v>
      </c>
      <c r="AC2804" t="s">
        <v>409</v>
      </c>
      <c r="AD2804" t="s">
        <v>261</v>
      </c>
      <c r="AH2804" t="s">
        <v>262</v>
      </c>
      <c r="AI2804" t="s">
        <v>262</v>
      </c>
      <c r="AJ2804" t="s">
        <v>261</v>
      </c>
      <c r="AK2804" t="s">
        <v>261</v>
      </c>
      <c r="AM2804" t="s">
        <v>262</v>
      </c>
      <c r="AN2804" t="s">
        <v>7693</v>
      </c>
    </row>
    <row r="2805" spans="1:40" x14ac:dyDescent="0.35">
      <c r="A2805">
        <v>6752765</v>
      </c>
      <c r="B2805" t="s">
        <v>7694</v>
      </c>
      <c r="C2805" t="str">
        <f>"9783732853182"</f>
        <v>9783732853182</v>
      </c>
      <c r="D2805" t="str">
        <f>"9783839453186"</f>
        <v>9783839453186</v>
      </c>
      <c r="E2805" t="s">
        <v>7532</v>
      </c>
      <c r="F2805" t="s">
        <v>7533</v>
      </c>
      <c r="G2805" s="1">
        <v>44013</v>
      </c>
      <c r="H2805" s="1">
        <v>44567</v>
      </c>
      <c r="I2805" t="s">
        <v>189</v>
      </c>
      <c r="J2805">
        <v>1</v>
      </c>
      <c r="K2805" t="s">
        <v>7545</v>
      </c>
      <c r="L2805" t="s">
        <v>7695</v>
      </c>
      <c r="M2805" t="s">
        <v>323</v>
      </c>
      <c r="N2805" t="s">
        <v>7696</v>
      </c>
      <c r="Q2805" t="s">
        <v>408</v>
      </c>
      <c r="R2805" t="s">
        <v>261</v>
      </c>
      <c r="S2805" t="s">
        <v>261</v>
      </c>
      <c r="T2805" t="s">
        <v>261</v>
      </c>
      <c r="U2805" t="s">
        <v>262</v>
      </c>
      <c r="V2805" t="s">
        <v>262</v>
      </c>
      <c r="W2805" t="s">
        <v>261</v>
      </c>
      <c r="X2805" t="s">
        <v>262</v>
      </c>
      <c r="Y2805" t="s">
        <v>261</v>
      </c>
      <c r="Z2805" t="s">
        <v>409</v>
      </c>
      <c r="AA2805" t="s">
        <v>409</v>
      </c>
      <c r="AB2805" t="s">
        <v>409</v>
      </c>
      <c r="AC2805" t="s">
        <v>409</v>
      </c>
      <c r="AD2805" t="s">
        <v>261</v>
      </c>
      <c r="AH2805" t="s">
        <v>262</v>
      </c>
      <c r="AI2805" t="s">
        <v>262</v>
      </c>
      <c r="AJ2805" t="s">
        <v>261</v>
      </c>
      <c r="AK2805" t="s">
        <v>261</v>
      </c>
      <c r="AM2805" t="s">
        <v>262</v>
      </c>
      <c r="AN2805" t="s">
        <v>7697</v>
      </c>
    </row>
    <row r="2806" spans="1:40" x14ac:dyDescent="0.35">
      <c r="A2806">
        <v>6752817</v>
      </c>
      <c r="B2806" t="s">
        <v>7698</v>
      </c>
      <c r="C2806" t="str">
        <f>"9783837656923"</f>
        <v>9783837656923</v>
      </c>
      <c r="D2806" t="str">
        <f>"9783839456927"</f>
        <v>9783839456927</v>
      </c>
      <c r="E2806" t="s">
        <v>7532</v>
      </c>
      <c r="F2806" t="s">
        <v>7533</v>
      </c>
      <c r="G2806" s="1">
        <v>44256</v>
      </c>
      <c r="H2806" s="1">
        <v>44567</v>
      </c>
      <c r="I2806" t="s">
        <v>189</v>
      </c>
      <c r="J2806">
        <v>1</v>
      </c>
      <c r="K2806" t="s">
        <v>7699</v>
      </c>
      <c r="L2806" t="s">
        <v>7700</v>
      </c>
      <c r="M2806" t="s">
        <v>329</v>
      </c>
      <c r="Q2806" t="s">
        <v>408</v>
      </c>
      <c r="R2806" t="s">
        <v>261</v>
      </c>
      <c r="S2806" t="s">
        <v>261</v>
      </c>
      <c r="T2806" t="s">
        <v>261</v>
      </c>
      <c r="U2806" t="s">
        <v>262</v>
      </c>
      <c r="V2806" t="s">
        <v>262</v>
      </c>
      <c r="W2806" t="s">
        <v>261</v>
      </c>
      <c r="X2806" t="s">
        <v>262</v>
      </c>
      <c r="Y2806" t="s">
        <v>261</v>
      </c>
      <c r="Z2806" t="s">
        <v>409</v>
      </c>
      <c r="AA2806" t="s">
        <v>409</v>
      </c>
      <c r="AB2806" t="s">
        <v>409</v>
      </c>
      <c r="AC2806" t="s">
        <v>409</v>
      </c>
      <c r="AD2806" t="s">
        <v>261</v>
      </c>
      <c r="AH2806" t="s">
        <v>262</v>
      </c>
      <c r="AI2806" t="s">
        <v>262</v>
      </c>
      <c r="AJ2806" t="s">
        <v>261</v>
      </c>
      <c r="AK2806" t="s">
        <v>261</v>
      </c>
      <c r="AM2806" t="s">
        <v>262</v>
      </c>
      <c r="AN2806" t="s">
        <v>7701</v>
      </c>
    </row>
    <row r="2807" spans="1:40" x14ac:dyDescent="0.35">
      <c r="A2807">
        <v>6752878</v>
      </c>
      <c r="B2807" t="s">
        <v>7702</v>
      </c>
      <c r="C2807" t="str">
        <f>"9783837653229"</f>
        <v>9783837653229</v>
      </c>
      <c r="D2807" t="str">
        <f>"9783839453223"</f>
        <v>9783839453223</v>
      </c>
      <c r="E2807" t="s">
        <v>7532</v>
      </c>
      <c r="F2807" t="s">
        <v>7533</v>
      </c>
      <c r="G2807" s="1">
        <v>44075</v>
      </c>
      <c r="H2807" s="1">
        <v>44567</v>
      </c>
      <c r="I2807" t="s">
        <v>189</v>
      </c>
      <c r="J2807">
        <v>1</v>
      </c>
      <c r="K2807" t="s">
        <v>7663</v>
      </c>
      <c r="L2807" t="s">
        <v>7664</v>
      </c>
    </row>
    <row r="2808" spans="1:40" x14ac:dyDescent="0.35">
      <c r="A2808">
        <v>6752904</v>
      </c>
      <c r="B2808" t="s">
        <v>7703</v>
      </c>
      <c r="C2808" t="str">
        <f>"9783837653496"</f>
        <v>9783837653496</v>
      </c>
      <c r="D2808" t="str">
        <f>"9783839453490"</f>
        <v>9783839453490</v>
      </c>
      <c r="E2808" t="s">
        <v>7532</v>
      </c>
      <c r="F2808" t="s">
        <v>7533</v>
      </c>
      <c r="G2808" s="1">
        <v>44317</v>
      </c>
      <c r="H2808" s="1">
        <v>44567</v>
      </c>
      <c r="I2808" t="s">
        <v>189</v>
      </c>
      <c r="J2808">
        <v>1</v>
      </c>
      <c r="K2808" t="s">
        <v>7704</v>
      </c>
      <c r="L2808" t="s">
        <v>7705</v>
      </c>
      <c r="M2808" t="s">
        <v>329</v>
      </c>
      <c r="Q2808" t="s">
        <v>260</v>
      </c>
      <c r="R2808" t="s">
        <v>261</v>
      </c>
      <c r="S2808" t="s">
        <v>261</v>
      </c>
      <c r="T2808" t="s">
        <v>261</v>
      </c>
      <c r="U2808" t="s">
        <v>262</v>
      </c>
      <c r="V2808" t="s">
        <v>262</v>
      </c>
      <c r="W2808" t="s">
        <v>261</v>
      </c>
      <c r="X2808" t="s">
        <v>262</v>
      </c>
      <c r="Y2808" t="s">
        <v>261</v>
      </c>
      <c r="Z2808" t="s">
        <v>409</v>
      </c>
      <c r="AA2808" t="s">
        <v>409</v>
      </c>
      <c r="AB2808" t="s">
        <v>409</v>
      </c>
      <c r="AC2808" t="s">
        <v>409</v>
      </c>
      <c r="AD2808" t="s">
        <v>261</v>
      </c>
      <c r="AH2808" t="s">
        <v>262</v>
      </c>
      <c r="AI2808" t="s">
        <v>262</v>
      </c>
      <c r="AJ2808" t="s">
        <v>261</v>
      </c>
      <c r="AK2808" t="s">
        <v>261</v>
      </c>
      <c r="AM2808" t="s">
        <v>262</v>
      </c>
      <c r="AN2808" t="s">
        <v>7706</v>
      </c>
    </row>
    <row r="2809" spans="1:40" x14ac:dyDescent="0.35">
      <c r="A2809">
        <v>6752967</v>
      </c>
      <c r="B2809" t="s">
        <v>7707</v>
      </c>
      <c r="C2809" t="str">
        <f>"9783732856459"</f>
        <v>9783732856459</v>
      </c>
      <c r="D2809" t="str">
        <f>"9783839456453"</f>
        <v>9783839456453</v>
      </c>
      <c r="E2809" t="s">
        <v>7532</v>
      </c>
      <c r="F2809" t="s">
        <v>7533</v>
      </c>
      <c r="G2809" s="1">
        <v>44256</v>
      </c>
      <c r="H2809" s="1">
        <v>44567</v>
      </c>
      <c r="I2809" t="s">
        <v>189</v>
      </c>
      <c r="J2809">
        <v>1</v>
      </c>
      <c r="K2809" t="s">
        <v>7559</v>
      </c>
      <c r="L2809" t="s">
        <v>7708</v>
      </c>
      <c r="M2809" t="s">
        <v>329</v>
      </c>
      <c r="Q2809" t="s">
        <v>408</v>
      </c>
      <c r="R2809" t="s">
        <v>261</v>
      </c>
      <c r="S2809" t="s">
        <v>261</v>
      </c>
      <c r="T2809" t="s">
        <v>261</v>
      </c>
      <c r="U2809" t="s">
        <v>262</v>
      </c>
      <c r="V2809" t="s">
        <v>262</v>
      </c>
      <c r="W2809" t="s">
        <v>261</v>
      </c>
      <c r="X2809" t="s">
        <v>262</v>
      </c>
      <c r="Y2809" t="s">
        <v>261</v>
      </c>
      <c r="Z2809" t="s">
        <v>409</v>
      </c>
      <c r="AA2809" t="s">
        <v>409</v>
      </c>
      <c r="AB2809" t="s">
        <v>409</v>
      </c>
      <c r="AC2809" t="s">
        <v>409</v>
      </c>
      <c r="AD2809" t="s">
        <v>261</v>
      </c>
      <c r="AH2809" t="s">
        <v>262</v>
      </c>
      <c r="AI2809" t="s">
        <v>262</v>
      </c>
      <c r="AJ2809" t="s">
        <v>261</v>
      </c>
      <c r="AK2809" t="s">
        <v>261</v>
      </c>
      <c r="AM2809" t="s">
        <v>262</v>
      </c>
      <c r="AN2809" t="s">
        <v>7709</v>
      </c>
    </row>
    <row r="2810" spans="1:40" x14ac:dyDescent="0.35">
      <c r="A2810">
        <v>6753120</v>
      </c>
      <c r="B2810" t="s">
        <v>7710</v>
      </c>
      <c r="C2810" t="str">
        <f>"9783732851584"</f>
        <v>9783732851584</v>
      </c>
      <c r="D2810" t="str">
        <f>"9783839451588"</f>
        <v>9783839451588</v>
      </c>
      <c r="E2810" t="s">
        <v>7532</v>
      </c>
      <c r="F2810" t="s">
        <v>7533</v>
      </c>
      <c r="G2810" s="1">
        <v>43952</v>
      </c>
      <c r="H2810" s="1">
        <v>44567</v>
      </c>
      <c r="I2810" t="s">
        <v>189</v>
      </c>
      <c r="J2810">
        <v>1</v>
      </c>
      <c r="K2810" t="s">
        <v>7579</v>
      </c>
      <c r="L2810" t="s">
        <v>7711</v>
      </c>
      <c r="M2810" t="s">
        <v>210</v>
      </c>
      <c r="Q2810" t="s">
        <v>408</v>
      </c>
      <c r="R2810" t="s">
        <v>261</v>
      </c>
      <c r="S2810" t="s">
        <v>261</v>
      </c>
      <c r="T2810" t="s">
        <v>261</v>
      </c>
      <c r="U2810" t="s">
        <v>262</v>
      </c>
      <c r="V2810" t="s">
        <v>262</v>
      </c>
      <c r="W2810" t="s">
        <v>261</v>
      </c>
      <c r="X2810" t="s">
        <v>262</v>
      </c>
      <c r="Y2810" t="s">
        <v>261</v>
      </c>
      <c r="Z2810" t="s">
        <v>409</v>
      </c>
      <c r="AA2810" t="s">
        <v>409</v>
      </c>
      <c r="AB2810" t="s">
        <v>409</v>
      </c>
      <c r="AC2810" t="s">
        <v>409</v>
      </c>
      <c r="AD2810" t="s">
        <v>261</v>
      </c>
      <c r="AH2810" t="s">
        <v>262</v>
      </c>
      <c r="AI2810" t="s">
        <v>262</v>
      </c>
      <c r="AJ2810" t="s">
        <v>261</v>
      </c>
      <c r="AK2810" t="s">
        <v>261</v>
      </c>
      <c r="AM2810" t="s">
        <v>262</v>
      </c>
      <c r="AN2810" t="s">
        <v>7712</v>
      </c>
    </row>
    <row r="2811" spans="1:40" x14ac:dyDescent="0.35">
      <c r="A2811">
        <v>6753123</v>
      </c>
      <c r="B2811" t="s">
        <v>7713</v>
      </c>
      <c r="C2811" t="str">
        <f>"9783837651805"</f>
        <v>9783837651805</v>
      </c>
      <c r="D2811" t="str">
        <f>"9783839451809"</f>
        <v>9783839451809</v>
      </c>
      <c r="E2811" t="s">
        <v>7532</v>
      </c>
      <c r="F2811" t="s">
        <v>7533</v>
      </c>
      <c r="G2811" s="1">
        <v>43983</v>
      </c>
      <c r="H2811" s="1">
        <v>44567</v>
      </c>
      <c r="I2811" t="s">
        <v>189</v>
      </c>
      <c r="J2811">
        <v>1</v>
      </c>
      <c r="K2811" t="s">
        <v>7704</v>
      </c>
      <c r="L2811" t="s">
        <v>7714</v>
      </c>
    </row>
    <row r="2812" spans="1:40" x14ac:dyDescent="0.35">
      <c r="A2812">
        <v>6753189</v>
      </c>
      <c r="B2812" t="s">
        <v>7715</v>
      </c>
      <c r="C2812" t="str">
        <f>"9783837657654"</f>
        <v>9783837657654</v>
      </c>
      <c r="D2812" t="str">
        <f>"9783839457658"</f>
        <v>9783839457658</v>
      </c>
      <c r="E2812" t="s">
        <v>7532</v>
      </c>
      <c r="F2812" t="s">
        <v>7533</v>
      </c>
      <c r="G2812" s="1">
        <v>44317</v>
      </c>
      <c r="H2812" s="1">
        <v>44567</v>
      </c>
      <c r="I2812" t="s">
        <v>189</v>
      </c>
      <c r="J2812">
        <v>1</v>
      </c>
      <c r="K2812" t="s">
        <v>7716</v>
      </c>
      <c r="L2812" t="s">
        <v>7717</v>
      </c>
    </row>
    <row r="2813" spans="1:40" x14ac:dyDescent="0.35">
      <c r="A2813">
        <v>6753200</v>
      </c>
      <c r="B2813" t="s">
        <v>7718</v>
      </c>
      <c r="C2813" t="str">
        <f>"9783732857166"</f>
        <v>9783732857166</v>
      </c>
      <c r="D2813" t="str">
        <f>"9783839457160"</f>
        <v>9783839457160</v>
      </c>
      <c r="E2813" t="s">
        <v>7532</v>
      </c>
      <c r="F2813" t="s">
        <v>7533</v>
      </c>
      <c r="G2813" s="1">
        <v>44287</v>
      </c>
      <c r="H2813" s="1">
        <v>44567</v>
      </c>
      <c r="I2813" t="s">
        <v>189</v>
      </c>
      <c r="J2813">
        <v>1</v>
      </c>
      <c r="K2813" t="s">
        <v>7534</v>
      </c>
      <c r="L2813" t="s">
        <v>7719</v>
      </c>
      <c r="M2813" t="s">
        <v>219</v>
      </c>
      <c r="Q2813" t="s">
        <v>408</v>
      </c>
      <c r="R2813" t="s">
        <v>261</v>
      </c>
      <c r="S2813" t="s">
        <v>261</v>
      </c>
      <c r="T2813" t="s">
        <v>261</v>
      </c>
      <c r="U2813" t="s">
        <v>262</v>
      </c>
      <c r="V2813" t="s">
        <v>262</v>
      </c>
      <c r="W2813" t="s">
        <v>261</v>
      </c>
      <c r="X2813" t="s">
        <v>262</v>
      </c>
      <c r="Y2813" t="s">
        <v>261</v>
      </c>
      <c r="Z2813" t="s">
        <v>409</v>
      </c>
      <c r="AA2813" t="s">
        <v>409</v>
      </c>
      <c r="AB2813" t="s">
        <v>409</v>
      </c>
      <c r="AC2813" t="s">
        <v>409</v>
      </c>
      <c r="AD2813" t="s">
        <v>261</v>
      </c>
      <c r="AH2813" t="s">
        <v>262</v>
      </c>
      <c r="AI2813" t="s">
        <v>262</v>
      </c>
      <c r="AJ2813" t="s">
        <v>261</v>
      </c>
      <c r="AK2813" t="s">
        <v>261</v>
      </c>
      <c r="AM2813" t="s">
        <v>262</v>
      </c>
      <c r="AN2813" t="s">
        <v>7720</v>
      </c>
    </row>
    <row r="2814" spans="1:40" x14ac:dyDescent="0.35">
      <c r="A2814">
        <v>6753232</v>
      </c>
      <c r="B2814" t="s">
        <v>7721</v>
      </c>
      <c r="C2814" t="str">
        <f>"9783732853472"</f>
        <v>9783732853472</v>
      </c>
      <c r="D2814" t="str">
        <f>"9783839453476"</f>
        <v>9783839453476</v>
      </c>
      <c r="E2814" t="s">
        <v>7532</v>
      </c>
      <c r="F2814" t="s">
        <v>7533</v>
      </c>
      <c r="G2814" s="1">
        <v>44105</v>
      </c>
      <c r="H2814" s="1">
        <v>44567</v>
      </c>
      <c r="I2814" t="s">
        <v>189</v>
      </c>
      <c r="J2814">
        <v>1</v>
      </c>
      <c r="K2814" t="s">
        <v>7652</v>
      </c>
      <c r="L2814" t="s">
        <v>7722</v>
      </c>
    </row>
    <row r="2815" spans="1:40" x14ac:dyDescent="0.35">
      <c r="A2815">
        <v>6753359</v>
      </c>
      <c r="B2815" t="s">
        <v>7723</v>
      </c>
      <c r="C2815" t="str">
        <f>"9783837657685"</f>
        <v>9783837657685</v>
      </c>
      <c r="D2815" t="str">
        <f>"9783839457689"</f>
        <v>9783839457689</v>
      </c>
      <c r="E2815" t="s">
        <v>7532</v>
      </c>
      <c r="F2815" t="s">
        <v>7533</v>
      </c>
      <c r="G2815" s="1">
        <v>44317</v>
      </c>
      <c r="H2815" s="1">
        <v>44567</v>
      </c>
      <c r="I2815" t="s">
        <v>189</v>
      </c>
      <c r="J2815">
        <v>1</v>
      </c>
      <c r="K2815" t="s">
        <v>7622</v>
      </c>
      <c r="L2815" t="s">
        <v>7724</v>
      </c>
    </row>
    <row r="2816" spans="1:40" x14ac:dyDescent="0.35">
      <c r="A2816">
        <v>6753457</v>
      </c>
      <c r="B2816" t="s">
        <v>7725</v>
      </c>
      <c r="C2816" t="str">
        <f>"9783837638608"</f>
        <v>9783837638608</v>
      </c>
      <c r="D2816" t="str">
        <f>"9783839438602"</f>
        <v>9783839438602</v>
      </c>
      <c r="E2816" t="s">
        <v>7532</v>
      </c>
      <c r="F2816" t="s">
        <v>7533</v>
      </c>
      <c r="G2816" s="1">
        <v>43191</v>
      </c>
      <c r="H2816" s="1">
        <v>44567</v>
      </c>
      <c r="I2816" t="s">
        <v>189</v>
      </c>
      <c r="J2816">
        <v>1</v>
      </c>
      <c r="K2816" t="s">
        <v>7587</v>
      </c>
      <c r="L2816" t="s">
        <v>7726</v>
      </c>
    </row>
    <row r="2817" spans="1:40" x14ac:dyDescent="0.35">
      <c r="A2817">
        <v>6753578</v>
      </c>
      <c r="B2817" t="s">
        <v>7727</v>
      </c>
      <c r="C2817" t="str">
        <f>"9783837655452"</f>
        <v>9783837655452</v>
      </c>
      <c r="D2817" t="str">
        <f>"9783839455456"</f>
        <v>9783839455456</v>
      </c>
      <c r="E2817" t="s">
        <v>7532</v>
      </c>
      <c r="F2817" t="s">
        <v>7533</v>
      </c>
      <c r="G2817" s="1">
        <v>44197</v>
      </c>
      <c r="H2817" s="1">
        <v>44567</v>
      </c>
      <c r="I2817" t="s">
        <v>189</v>
      </c>
      <c r="J2817">
        <v>1</v>
      </c>
      <c r="K2817" t="s">
        <v>7634</v>
      </c>
      <c r="L2817" t="s">
        <v>7728</v>
      </c>
      <c r="M2817" t="s">
        <v>1728</v>
      </c>
      <c r="Q2817" t="s">
        <v>408</v>
      </c>
      <c r="R2817" t="s">
        <v>261</v>
      </c>
      <c r="S2817" t="s">
        <v>261</v>
      </c>
      <c r="T2817" t="s">
        <v>261</v>
      </c>
      <c r="U2817" t="s">
        <v>262</v>
      </c>
      <c r="V2817" t="s">
        <v>262</v>
      </c>
      <c r="W2817" t="s">
        <v>261</v>
      </c>
      <c r="X2817" t="s">
        <v>262</v>
      </c>
      <c r="Y2817" t="s">
        <v>261</v>
      </c>
      <c r="Z2817" t="s">
        <v>409</v>
      </c>
      <c r="AA2817" t="s">
        <v>409</v>
      </c>
      <c r="AB2817" t="s">
        <v>409</v>
      </c>
      <c r="AC2817" t="s">
        <v>409</v>
      </c>
      <c r="AD2817" t="s">
        <v>261</v>
      </c>
      <c r="AH2817" t="s">
        <v>262</v>
      </c>
      <c r="AI2817" t="s">
        <v>262</v>
      </c>
      <c r="AJ2817" t="s">
        <v>261</v>
      </c>
      <c r="AK2817" t="s">
        <v>261</v>
      </c>
      <c r="AM2817" t="s">
        <v>262</v>
      </c>
      <c r="AN2817" t="s">
        <v>7729</v>
      </c>
    </row>
    <row r="2818" spans="1:40" x14ac:dyDescent="0.35">
      <c r="A2818">
        <v>6753616</v>
      </c>
      <c r="B2818" t="s">
        <v>7730</v>
      </c>
      <c r="C2818" t="str">
        <f>"9783732857135"</f>
        <v>9783732857135</v>
      </c>
      <c r="D2818" t="str">
        <f>"9783839457139"</f>
        <v>9783839457139</v>
      </c>
      <c r="E2818" t="s">
        <v>7532</v>
      </c>
      <c r="F2818" t="s">
        <v>7533</v>
      </c>
      <c r="G2818" s="1">
        <v>44317</v>
      </c>
      <c r="H2818" s="1">
        <v>44567</v>
      </c>
      <c r="I2818" t="s">
        <v>189</v>
      </c>
      <c r="J2818">
        <v>1</v>
      </c>
      <c r="K2818" t="s">
        <v>7553</v>
      </c>
      <c r="L2818" t="s">
        <v>7731</v>
      </c>
      <c r="M2818" t="s">
        <v>210</v>
      </c>
      <c r="Q2818" t="s">
        <v>408</v>
      </c>
      <c r="R2818" t="s">
        <v>261</v>
      </c>
      <c r="S2818" t="s">
        <v>261</v>
      </c>
      <c r="T2818" t="s">
        <v>261</v>
      </c>
      <c r="U2818" t="s">
        <v>262</v>
      </c>
      <c r="V2818" t="s">
        <v>262</v>
      </c>
      <c r="W2818" t="s">
        <v>261</v>
      </c>
      <c r="X2818" t="s">
        <v>262</v>
      </c>
      <c r="Y2818" t="s">
        <v>261</v>
      </c>
      <c r="Z2818" t="s">
        <v>409</v>
      </c>
      <c r="AA2818" t="s">
        <v>409</v>
      </c>
      <c r="AB2818" t="s">
        <v>409</v>
      </c>
      <c r="AC2818" t="s">
        <v>409</v>
      </c>
      <c r="AD2818" t="s">
        <v>261</v>
      </c>
      <c r="AH2818" t="s">
        <v>262</v>
      </c>
      <c r="AI2818" t="s">
        <v>262</v>
      </c>
      <c r="AJ2818" t="s">
        <v>261</v>
      </c>
      <c r="AK2818" t="s">
        <v>261</v>
      </c>
      <c r="AM2818" t="s">
        <v>262</v>
      </c>
      <c r="AN2818" t="s">
        <v>7732</v>
      </c>
    </row>
    <row r="2819" spans="1:40" x14ac:dyDescent="0.35">
      <c r="A2819">
        <v>6753625</v>
      </c>
      <c r="B2819" t="s">
        <v>7733</v>
      </c>
      <c r="C2819" t="str">
        <f>"9783837652307"</f>
        <v>9783837652307</v>
      </c>
      <c r="D2819" t="str">
        <f>"9783839452301"</f>
        <v>9783839452301</v>
      </c>
      <c r="E2819" t="s">
        <v>7532</v>
      </c>
      <c r="F2819" t="s">
        <v>7533</v>
      </c>
      <c r="G2819" s="1">
        <v>43952</v>
      </c>
      <c r="H2819" s="1">
        <v>44567</v>
      </c>
      <c r="I2819" t="s">
        <v>189</v>
      </c>
      <c r="J2819">
        <v>1</v>
      </c>
      <c r="K2819" t="s">
        <v>7734</v>
      </c>
      <c r="L2819" t="s">
        <v>7735</v>
      </c>
      <c r="M2819" t="s">
        <v>329</v>
      </c>
      <c r="Q2819" t="s">
        <v>408</v>
      </c>
      <c r="R2819" t="s">
        <v>261</v>
      </c>
      <c r="S2819" t="s">
        <v>261</v>
      </c>
      <c r="T2819" t="s">
        <v>261</v>
      </c>
      <c r="U2819" t="s">
        <v>262</v>
      </c>
      <c r="V2819" t="s">
        <v>262</v>
      </c>
      <c r="W2819" t="s">
        <v>261</v>
      </c>
      <c r="X2819" t="s">
        <v>262</v>
      </c>
      <c r="Y2819" t="s">
        <v>261</v>
      </c>
      <c r="Z2819" t="s">
        <v>409</v>
      </c>
      <c r="AA2819" t="s">
        <v>409</v>
      </c>
      <c r="AB2819" t="s">
        <v>409</v>
      </c>
      <c r="AC2819" t="s">
        <v>409</v>
      </c>
      <c r="AD2819" t="s">
        <v>261</v>
      </c>
      <c r="AH2819" t="s">
        <v>262</v>
      </c>
      <c r="AI2819" t="s">
        <v>262</v>
      </c>
      <c r="AJ2819" t="s">
        <v>261</v>
      </c>
      <c r="AK2819" t="s">
        <v>261</v>
      </c>
      <c r="AM2819" t="s">
        <v>262</v>
      </c>
      <c r="AN2819" t="s">
        <v>7736</v>
      </c>
    </row>
    <row r="2820" spans="1:40" x14ac:dyDescent="0.35">
      <c r="A2820">
        <v>6753709</v>
      </c>
      <c r="B2820" t="s">
        <v>7737</v>
      </c>
      <c r="C2820" t="str">
        <f>"9783837657869"</f>
        <v>9783837657869</v>
      </c>
      <c r="D2820" t="str">
        <f>"9783839457863"</f>
        <v>9783839457863</v>
      </c>
      <c r="E2820" t="s">
        <v>7532</v>
      </c>
      <c r="F2820" t="s">
        <v>7533</v>
      </c>
      <c r="G2820" s="1">
        <v>44348</v>
      </c>
      <c r="H2820" s="1">
        <v>44567</v>
      </c>
      <c r="I2820" t="s">
        <v>189</v>
      </c>
      <c r="J2820">
        <v>1</v>
      </c>
      <c r="K2820" t="s">
        <v>7738</v>
      </c>
      <c r="L2820" t="s">
        <v>7739</v>
      </c>
    </row>
    <row r="2821" spans="1:40" x14ac:dyDescent="0.35">
      <c r="A2821">
        <v>6753721</v>
      </c>
      <c r="B2821" t="s">
        <v>7740</v>
      </c>
      <c r="C2821" t="str">
        <f>"9783732851317"</f>
        <v>9783732851317</v>
      </c>
      <c r="D2821" t="str">
        <f>"9783839451311"</f>
        <v>9783839451311</v>
      </c>
      <c r="E2821" t="s">
        <v>7532</v>
      </c>
      <c r="F2821" t="s">
        <v>7533</v>
      </c>
      <c r="G2821" s="1">
        <v>43922</v>
      </c>
      <c r="H2821" s="1">
        <v>44567</v>
      </c>
      <c r="I2821" t="s">
        <v>189</v>
      </c>
      <c r="J2821">
        <v>1</v>
      </c>
      <c r="K2821" t="s">
        <v>7553</v>
      </c>
      <c r="L2821" t="s">
        <v>7741</v>
      </c>
      <c r="M2821" t="s">
        <v>210</v>
      </c>
      <c r="Q2821" t="s">
        <v>408</v>
      </c>
      <c r="R2821" t="s">
        <v>261</v>
      </c>
      <c r="S2821" t="s">
        <v>261</v>
      </c>
      <c r="T2821" t="s">
        <v>261</v>
      </c>
      <c r="U2821" t="s">
        <v>262</v>
      </c>
      <c r="V2821" t="s">
        <v>262</v>
      </c>
      <c r="W2821" t="s">
        <v>261</v>
      </c>
      <c r="X2821" t="s">
        <v>262</v>
      </c>
      <c r="Y2821" t="s">
        <v>261</v>
      </c>
      <c r="Z2821" t="s">
        <v>409</v>
      </c>
      <c r="AA2821" t="s">
        <v>409</v>
      </c>
      <c r="AB2821" t="s">
        <v>409</v>
      </c>
      <c r="AC2821" t="s">
        <v>409</v>
      </c>
      <c r="AD2821" t="s">
        <v>261</v>
      </c>
      <c r="AH2821" t="s">
        <v>262</v>
      </c>
      <c r="AI2821" t="s">
        <v>262</v>
      </c>
      <c r="AJ2821" t="s">
        <v>261</v>
      </c>
      <c r="AK2821" t="s">
        <v>261</v>
      </c>
      <c r="AM2821" t="s">
        <v>262</v>
      </c>
      <c r="AN2821" t="s">
        <v>7742</v>
      </c>
    </row>
    <row r="2822" spans="1:40" x14ac:dyDescent="0.35">
      <c r="A2822">
        <v>6753907</v>
      </c>
      <c r="B2822" t="s">
        <v>7743</v>
      </c>
      <c r="C2822" t="str">
        <f>"9783837656893"</f>
        <v>9783837656893</v>
      </c>
      <c r="D2822" t="str">
        <f>"9783839456897"</f>
        <v>9783839456897</v>
      </c>
      <c r="E2822" t="s">
        <v>7532</v>
      </c>
      <c r="F2822" t="s">
        <v>7533</v>
      </c>
      <c r="G2822" s="1">
        <v>44317</v>
      </c>
      <c r="H2822" s="1">
        <v>44567</v>
      </c>
      <c r="I2822" t="s">
        <v>189</v>
      </c>
      <c r="J2822">
        <v>1</v>
      </c>
      <c r="K2822" t="s">
        <v>7534</v>
      </c>
      <c r="L2822" t="s">
        <v>7744</v>
      </c>
      <c r="M2822" t="s">
        <v>219</v>
      </c>
      <c r="Q2822" t="s">
        <v>260</v>
      </c>
      <c r="R2822" t="s">
        <v>261</v>
      </c>
      <c r="S2822" t="s">
        <v>261</v>
      </c>
      <c r="T2822" t="s">
        <v>261</v>
      </c>
      <c r="U2822" t="s">
        <v>262</v>
      </c>
      <c r="V2822" t="s">
        <v>262</v>
      </c>
      <c r="W2822" t="s">
        <v>261</v>
      </c>
      <c r="X2822" t="s">
        <v>262</v>
      </c>
      <c r="Y2822" t="s">
        <v>261</v>
      </c>
      <c r="Z2822" t="s">
        <v>409</v>
      </c>
      <c r="AA2822" t="s">
        <v>409</v>
      </c>
      <c r="AB2822" t="s">
        <v>409</v>
      </c>
      <c r="AC2822" t="s">
        <v>409</v>
      </c>
      <c r="AD2822" t="s">
        <v>261</v>
      </c>
      <c r="AH2822" t="s">
        <v>262</v>
      </c>
      <c r="AI2822" t="s">
        <v>262</v>
      </c>
      <c r="AJ2822" t="s">
        <v>261</v>
      </c>
      <c r="AK2822" t="s">
        <v>261</v>
      </c>
      <c r="AM2822" t="s">
        <v>262</v>
      </c>
      <c r="AN2822" t="s">
        <v>7745</v>
      </c>
    </row>
    <row r="2823" spans="1:40" x14ac:dyDescent="0.35">
      <c r="A2823">
        <v>6753948</v>
      </c>
      <c r="B2823" t="s">
        <v>7746</v>
      </c>
      <c r="C2823" t="str">
        <f>"9783837652505"</f>
        <v>9783837652505</v>
      </c>
      <c r="D2823" t="str">
        <f>"9783839452509"</f>
        <v>9783839452509</v>
      </c>
      <c r="E2823" t="s">
        <v>7532</v>
      </c>
      <c r="F2823" t="s">
        <v>7533</v>
      </c>
      <c r="G2823" s="1">
        <v>44166</v>
      </c>
      <c r="H2823" s="1">
        <v>44567</v>
      </c>
      <c r="I2823" t="s">
        <v>189</v>
      </c>
      <c r="J2823">
        <v>1</v>
      </c>
      <c r="K2823" t="s">
        <v>7545</v>
      </c>
      <c r="L2823" t="s">
        <v>7747</v>
      </c>
      <c r="M2823" t="s">
        <v>329</v>
      </c>
      <c r="Q2823" t="s">
        <v>408</v>
      </c>
      <c r="R2823" t="s">
        <v>261</v>
      </c>
      <c r="S2823" t="s">
        <v>261</v>
      </c>
      <c r="T2823" t="s">
        <v>261</v>
      </c>
      <c r="U2823" t="s">
        <v>262</v>
      </c>
      <c r="V2823" t="s">
        <v>262</v>
      </c>
      <c r="W2823" t="s">
        <v>261</v>
      </c>
      <c r="X2823" t="s">
        <v>262</v>
      </c>
      <c r="Y2823" t="s">
        <v>261</v>
      </c>
      <c r="Z2823" t="s">
        <v>409</v>
      </c>
      <c r="AA2823" t="s">
        <v>409</v>
      </c>
      <c r="AB2823" t="s">
        <v>409</v>
      </c>
      <c r="AC2823" t="s">
        <v>409</v>
      </c>
      <c r="AD2823" t="s">
        <v>261</v>
      </c>
      <c r="AH2823" t="s">
        <v>262</v>
      </c>
      <c r="AI2823" t="s">
        <v>262</v>
      </c>
      <c r="AJ2823" t="s">
        <v>261</v>
      </c>
      <c r="AK2823" t="s">
        <v>261</v>
      </c>
      <c r="AM2823" t="s">
        <v>262</v>
      </c>
      <c r="AN2823" t="s">
        <v>7748</v>
      </c>
    </row>
    <row r="2824" spans="1:40" x14ac:dyDescent="0.35">
      <c r="A2824">
        <v>6754027</v>
      </c>
      <c r="B2824" t="s">
        <v>7749</v>
      </c>
      <c r="C2824" t="str">
        <f>"9783837640588"</f>
        <v>9783837640588</v>
      </c>
      <c r="D2824" t="str">
        <f>"9783839440582"</f>
        <v>9783839440582</v>
      </c>
      <c r="E2824" t="s">
        <v>7532</v>
      </c>
      <c r="F2824" t="s">
        <v>7533</v>
      </c>
      <c r="G2824" s="1">
        <v>43070</v>
      </c>
      <c r="H2824" s="1">
        <v>44567</v>
      </c>
      <c r="I2824" t="s">
        <v>189</v>
      </c>
      <c r="J2824">
        <v>1</v>
      </c>
      <c r="K2824" t="s">
        <v>7611</v>
      </c>
      <c r="L2824" t="s">
        <v>7750</v>
      </c>
      <c r="M2824" t="s">
        <v>329</v>
      </c>
      <c r="Q2824" t="s">
        <v>408</v>
      </c>
      <c r="R2824" t="s">
        <v>261</v>
      </c>
      <c r="S2824" t="s">
        <v>261</v>
      </c>
      <c r="T2824" t="s">
        <v>261</v>
      </c>
      <c r="U2824" t="s">
        <v>262</v>
      </c>
      <c r="V2824" t="s">
        <v>262</v>
      </c>
      <c r="W2824" t="s">
        <v>261</v>
      </c>
      <c r="X2824" t="s">
        <v>262</v>
      </c>
      <c r="Y2824" t="s">
        <v>261</v>
      </c>
      <c r="Z2824" t="s">
        <v>409</v>
      </c>
      <c r="AA2824" t="s">
        <v>409</v>
      </c>
      <c r="AB2824" t="s">
        <v>409</v>
      </c>
      <c r="AC2824" t="s">
        <v>409</v>
      </c>
      <c r="AD2824" t="s">
        <v>261</v>
      </c>
      <c r="AH2824" t="s">
        <v>262</v>
      </c>
      <c r="AI2824" t="s">
        <v>262</v>
      </c>
      <c r="AJ2824" t="s">
        <v>261</v>
      </c>
      <c r="AK2824" t="s">
        <v>261</v>
      </c>
      <c r="AM2824" t="s">
        <v>262</v>
      </c>
      <c r="AN2824" t="s">
        <v>7751</v>
      </c>
    </row>
    <row r="2825" spans="1:40" x14ac:dyDescent="0.35">
      <c r="A2825">
        <v>6754031</v>
      </c>
      <c r="B2825" t="s">
        <v>7752</v>
      </c>
      <c r="C2825" t="str">
        <f>"9783732853656"</f>
        <v>9783732853656</v>
      </c>
      <c r="D2825" t="str">
        <f>"9783839453650"</f>
        <v>9783839453650</v>
      </c>
      <c r="E2825" t="s">
        <v>7532</v>
      </c>
      <c r="F2825" t="s">
        <v>7533</v>
      </c>
      <c r="G2825" s="1">
        <v>44075</v>
      </c>
      <c r="H2825" s="1">
        <v>44567</v>
      </c>
      <c r="I2825" t="s">
        <v>189</v>
      </c>
      <c r="J2825">
        <v>1</v>
      </c>
      <c r="K2825" t="s">
        <v>7652</v>
      </c>
      <c r="L2825" t="s">
        <v>7753</v>
      </c>
    </row>
    <row r="2826" spans="1:40" x14ac:dyDescent="0.35">
      <c r="A2826">
        <v>6754117</v>
      </c>
      <c r="B2826" t="s">
        <v>7754</v>
      </c>
      <c r="C2826" t="str">
        <f>"9783837642001"</f>
        <v>9783837642001</v>
      </c>
      <c r="D2826" t="str">
        <f>"9783839442005"</f>
        <v>9783839442005</v>
      </c>
      <c r="E2826" t="s">
        <v>7532</v>
      </c>
      <c r="F2826" t="s">
        <v>7533</v>
      </c>
      <c r="G2826" s="1">
        <v>43282</v>
      </c>
      <c r="H2826" s="1">
        <v>44567</v>
      </c>
      <c r="I2826" t="s">
        <v>189</v>
      </c>
      <c r="J2826">
        <v>1</v>
      </c>
      <c r="K2826" t="s">
        <v>7553</v>
      </c>
      <c r="L2826" t="s">
        <v>7755</v>
      </c>
      <c r="M2826" t="s">
        <v>210</v>
      </c>
      <c r="Q2826" t="s">
        <v>408</v>
      </c>
      <c r="R2826" t="s">
        <v>261</v>
      </c>
      <c r="S2826" t="s">
        <v>261</v>
      </c>
      <c r="T2826" t="s">
        <v>261</v>
      </c>
      <c r="U2826" t="s">
        <v>262</v>
      </c>
      <c r="V2826" t="s">
        <v>262</v>
      </c>
      <c r="W2826" t="s">
        <v>261</v>
      </c>
      <c r="X2826" t="s">
        <v>262</v>
      </c>
      <c r="Y2826" t="s">
        <v>261</v>
      </c>
      <c r="Z2826" t="s">
        <v>409</v>
      </c>
      <c r="AA2826" t="s">
        <v>409</v>
      </c>
      <c r="AB2826" t="s">
        <v>409</v>
      </c>
      <c r="AC2826" t="s">
        <v>409</v>
      </c>
      <c r="AD2826" t="s">
        <v>261</v>
      </c>
      <c r="AH2826" t="s">
        <v>262</v>
      </c>
      <c r="AI2826" t="s">
        <v>262</v>
      </c>
      <c r="AJ2826" t="s">
        <v>261</v>
      </c>
      <c r="AK2826" t="s">
        <v>261</v>
      </c>
      <c r="AM2826" t="s">
        <v>262</v>
      </c>
      <c r="AN2826" t="s">
        <v>7756</v>
      </c>
    </row>
    <row r="2827" spans="1:40" x14ac:dyDescent="0.35">
      <c r="A2827">
        <v>6754158</v>
      </c>
      <c r="B2827" t="s">
        <v>7757</v>
      </c>
      <c r="C2827" t="str">
        <f>"9783837648621"</f>
        <v>9783837648621</v>
      </c>
      <c r="D2827" t="str">
        <f>"9783839448625"</f>
        <v>9783839448625</v>
      </c>
      <c r="E2827" t="s">
        <v>7532</v>
      </c>
      <c r="F2827" t="s">
        <v>7533</v>
      </c>
      <c r="G2827" s="1">
        <v>44105</v>
      </c>
      <c r="H2827" s="1">
        <v>44567</v>
      </c>
      <c r="I2827" t="s">
        <v>189</v>
      </c>
      <c r="J2827">
        <v>1</v>
      </c>
      <c r="K2827" t="s">
        <v>7625</v>
      </c>
      <c r="L2827" t="s">
        <v>7758</v>
      </c>
    </row>
    <row r="2828" spans="1:40" x14ac:dyDescent="0.35">
      <c r="A2828">
        <v>6754232</v>
      </c>
      <c r="B2828" t="s">
        <v>7759</v>
      </c>
      <c r="C2828" t="str">
        <f>"9783837649093"</f>
        <v>9783837649093</v>
      </c>
      <c r="D2828" t="str">
        <f>"9783839449097"</f>
        <v>9783839449097</v>
      </c>
      <c r="E2828" t="s">
        <v>7532</v>
      </c>
      <c r="F2828" t="s">
        <v>7533</v>
      </c>
      <c r="G2828" s="1">
        <v>43831</v>
      </c>
      <c r="H2828" s="1">
        <v>44567</v>
      </c>
      <c r="I2828" t="s">
        <v>189</v>
      </c>
      <c r="J2828">
        <v>1</v>
      </c>
      <c r="K2828" t="s">
        <v>7760</v>
      </c>
      <c r="L2828" t="s">
        <v>7761</v>
      </c>
      <c r="M2828" t="s">
        <v>329</v>
      </c>
      <c r="Q2828" t="s">
        <v>408</v>
      </c>
      <c r="R2828" t="s">
        <v>261</v>
      </c>
      <c r="S2828" t="s">
        <v>261</v>
      </c>
      <c r="T2828" t="s">
        <v>261</v>
      </c>
      <c r="U2828" t="s">
        <v>262</v>
      </c>
      <c r="V2828" t="s">
        <v>262</v>
      </c>
      <c r="W2828" t="s">
        <v>261</v>
      </c>
      <c r="X2828" t="s">
        <v>262</v>
      </c>
      <c r="Y2828" t="s">
        <v>261</v>
      </c>
      <c r="Z2828" t="s">
        <v>409</v>
      </c>
      <c r="AA2828" t="s">
        <v>409</v>
      </c>
      <c r="AB2828" t="s">
        <v>409</v>
      </c>
      <c r="AC2828" t="s">
        <v>409</v>
      </c>
      <c r="AD2828" t="s">
        <v>261</v>
      </c>
      <c r="AH2828" t="s">
        <v>262</v>
      </c>
      <c r="AI2828" t="s">
        <v>262</v>
      </c>
      <c r="AJ2828" t="s">
        <v>261</v>
      </c>
      <c r="AK2828" t="s">
        <v>261</v>
      </c>
      <c r="AM2828" t="s">
        <v>262</v>
      </c>
      <c r="AN2828" t="s">
        <v>7762</v>
      </c>
    </row>
    <row r="2829" spans="1:40" x14ac:dyDescent="0.35">
      <c r="A2829">
        <v>6754286</v>
      </c>
      <c r="B2829" t="s">
        <v>7763</v>
      </c>
      <c r="C2829" t="str">
        <f>""</f>
        <v/>
      </c>
      <c r="D2829" t="str">
        <f>"9780824873998"</f>
        <v>9780824873998</v>
      </c>
      <c r="E2829" t="s">
        <v>7764</v>
      </c>
      <c r="F2829" t="s">
        <v>7764</v>
      </c>
      <c r="G2829" s="1">
        <v>38384</v>
      </c>
      <c r="H2829" s="1">
        <v>44567</v>
      </c>
      <c r="I2829" t="s">
        <v>189</v>
      </c>
      <c r="J2829">
        <v>1</v>
      </c>
      <c r="L2829" t="s">
        <v>7765</v>
      </c>
      <c r="M2829" t="s">
        <v>199</v>
      </c>
      <c r="O2829" t="s">
        <v>7766</v>
      </c>
      <c r="Q2829" t="s">
        <v>260</v>
      </c>
      <c r="R2829" t="s">
        <v>261</v>
      </c>
      <c r="S2829" t="s">
        <v>261</v>
      </c>
      <c r="T2829" t="s">
        <v>261</v>
      </c>
      <c r="U2829" t="s">
        <v>261</v>
      </c>
      <c r="V2829" t="s">
        <v>262</v>
      </c>
      <c r="W2829" t="s">
        <v>261</v>
      </c>
      <c r="X2829" t="s">
        <v>261</v>
      </c>
      <c r="Y2829" t="s">
        <v>261</v>
      </c>
      <c r="Z2829" t="s">
        <v>409</v>
      </c>
      <c r="AA2829" t="s">
        <v>409</v>
      </c>
      <c r="AB2829" t="s">
        <v>409</v>
      </c>
      <c r="AC2829" t="s">
        <v>409</v>
      </c>
      <c r="AD2829" t="s">
        <v>261</v>
      </c>
      <c r="AH2829" t="s">
        <v>262</v>
      </c>
      <c r="AI2829" t="s">
        <v>262</v>
      </c>
      <c r="AJ2829" t="s">
        <v>261</v>
      </c>
      <c r="AK2829" t="s">
        <v>261</v>
      </c>
      <c r="AM2829" t="s">
        <v>262</v>
      </c>
      <c r="AN2829" t="s">
        <v>7767</v>
      </c>
    </row>
    <row r="2830" spans="1:40" x14ac:dyDescent="0.35">
      <c r="A2830">
        <v>6754564</v>
      </c>
      <c r="B2830" t="s">
        <v>7768</v>
      </c>
      <c r="C2830" t="str">
        <f>"9783732854332"</f>
        <v>9783732854332</v>
      </c>
      <c r="D2830" t="str">
        <f>"9783839454336"</f>
        <v>9783839454336</v>
      </c>
      <c r="E2830" t="s">
        <v>7532</v>
      </c>
      <c r="F2830" t="s">
        <v>7533</v>
      </c>
      <c r="G2830" s="1">
        <v>44348</v>
      </c>
      <c r="H2830" s="1">
        <v>44567</v>
      </c>
      <c r="I2830" t="s">
        <v>189</v>
      </c>
      <c r="J2830">
        <v>1</v>
      </c>
      <c r="K2830" t="s">
        <v>7553</v>
      </c>
      <c r="L2830" t="s">
        <v>7769</v>
      </c>
      <c r="M2830" t="s">
        <v>210</v>
      </c>
      <c r="Q2830" t="s">
        <v>260</v>
      </c>
      <c r="R2830" t="s">
        <v>261</v>
      </c>
      <c r="S2830" t="s">
        <v>261</v>
      </c>
      <c r="T2830" t="s">
        <v>261</v>
      </c>
      <c r="U2830" t="s">
        <v>262</v>
      </c>
      <c r="V2830" t="s">
        <v>262</v>
      </c>
      <c r="W2830" t="s">
        <v>261</v>
      </c>
      <c r="X2830" t="s">
        <v>262</v>
      </c>
      <c r="Y2830" t="s">
        <v>261</v>
      </c>
      <c r="Z2830" t="s">
        <v>409</v>
      </c>
      <c r="AA2830" t="s">
        <v>409</v>
      </c>
      <c r="AB2830" t="s">
        <v>409</v>
      </c>
      <c r="AC2830" t="s">
        <v>409</v>
      </c>
      <c r="AD2830" t="s">
        <v>261</v>
      </c>
      <c r="AH2830" t="s">
        <v>262</v>
      </c>
      <c r="AI2830" t="s">
        <v>262</v>
      </c>
      <c r="AJ2830" t="s">
        <v>261</v>
      </c>
      <c r="AK2830" t="s">
        <v>261</v>
      </c>
      <c r="AM2830" t="s">
        <v>262</v>
      </c>
      <c r="AN2830" t="s">
        <v>7770</v>
      </c>
    </row>
    <row r="2831" spans="1:40" x14ac:dyDescent="0.35">
      <c r="A2831">
        <v>6754585</v>
      </c>
      <c r="B2831" t="s">
        <v>7771</v>
      </c>
      <c r="C2831" t="str">
        <f>"9783837649499"</f>
        <v>9783837649499</v>
      </c>
      <c r="D2831" t="str">
        <f>"9783839449493"</f>
        <v>9783839449493</v>
      </c>
      <c r="E2831" t="s">
        <v>7532</v>
      </c>
      <c r="F2831" t="s">
        <v>7533</v>
      </c>
      <c r="G2831" s="1">
        <v>44197</v>
      </c>
      <c r="H2831" s="1">
        <v>44567</v>
      </c>
      <c r="I2831" t="s">
        <v>189</v>
      </c>
      <c r="J2831">
        <v>1</v>
      </c>
      <c r="K2831" t="s">
        <v>7553</v>
      </c>
      <c r="L2831" t="s">
        <v>7772</v>
      </c>
    </row>
    <row r="2832" spans="1:40" x14ac:dyDescent="0.35">
      <c r="A2832">
        <v>6754848</v>
      </c>
      <c r="B2832" t="s">
        <v>7773</v>
      </c>
      <c r="C2832" t="str">
        <f>"9783837651645"</f>
        <v>9783837651645</v>
      </c>
      <c r="D2832" t="str">
        <f>"9783839451649"</f>
        <v>9783839451649</v>
      </c>
      <c r="E2832" t="s">
        <v>7532</v>
      </c>
      <c r="F2832" t="s">
        <v>7533</v>
      </c>
      <c r="G2832" s="1">
        <v>43952</v>
      </c>
      <c r="H2832" s="1">
        <v>44567</v>
      </c>
      <c r="I2832" t="s">
        <v>189</v>
      </c>
      <c r="J2832">
        <v>1</v>
      </c>
      <c r="K2832" t="s">
        <v>7607</v>
      </c>
      <c r="L2832" t="s">
        <v>7774</v>
      </c>
      <c r="M2832" t="s">
        <v>578</v>
      </c>
      <c r="Q2832" t="s">
        <v>408</v>
      </c>
      <c r="R2832" t="s">
        <v>261</v>
      </c>
      <c r="S2832" t="s">
        <v>261</v>
      </c>
      <c r="T2832" t="s">
        <v>261</v>
      </c>
      <c r="U2832" t="s">
        <v>262</v>
      </c>
      <c r="V2832" t="s">
        <v>262</v>
      </c>
      <c r="W2832" t="s">
        <v>261</v>
      </c>
      <c r="X2832" t="s">
        <v>262</v>
      </c>
      <c r="Y2832" t="s">
        <v>261</v>
      </c>
      <c r="Z2832" t="s">
        <v>409</v>
      </c>
      <c r="AA2832" t="s">
        <v>409</v>
      </c>
      <c r="AB2832" t="s">
        <v>409</v>
      </c>
      <c r="AC2832" t="s">
        <v>409</v>
      </c>
      <c r="AD2832" t="s">
        <v>261</v>
      </c>
      <c r="AH2832" t="s">
        <v>262</v>
      </c>
      <c r="AI2832" t="s">
        <v>262</v>
      </c>
      <c r="AJ2832" t="s">
        <v>261</v>
      </c>
      <c r="AK2832" t="s">
        <v>261</v>
      </c>
      <c r="AM2832" t="s">
        <v>262</v>
      </c>
      <c r="AN2832" t="s">
        <v>7775</v>
      </c>
    </row>
    <row r="2833" spans="1:40" x14ac:dyDescent="0.35">
      <c r="A2833">
        <v>6754871</v>
      </c>
      <c r="B2833" t="s">
        <v>7776</v>
      </c>
      <c r="C2833" t="str">
        <f>"9783837655070"</f>
        <v>9783837655070</v>
      </c>
      <c r="D2833" t="str">
        <f>"9783839455074"</f>
        <v>9783839455074</v>
      </c>
      <c r="E2833" t="s">
        <v>7532</v>
      </c>
      <c r="F2833" t="s">
        <v>7533</v>
      </c>
      <c r="G2833" s="1">
        <v>44348</v>
      </c>
      <c r="H2833" s="1">
        <v>44567</v>
      </c>
      <c r="I2833" t="s">
        <v>189</v>
      </c>
      <c r="J2833">
        <v>1</v>
      </c>
      <c r="K2833" t="s">
        <v>7538</v>
      </c>
      <c r="L2833" t="s">
        <v>7777</v>
      </c>
      <c r="M2833" t="s">
        <v>389</v>
      </c>
      <c r="N2833" t="s">
        <v>7778</v>
      </c>
      <c r="Q2833" t="s">
        <v>408</v>
      </c>
      <c r="R2833" t="s">
        <v>261</v>
      </c>
      <c r="S2833" t="s">
        <v>261</v>
      </c>
      <c r="T2833" t="s">
        <v>261</v>
      </c>
      <c r="U2833" t="s">
        <v>262</v>
      </c>
      <c r="V2833" t="s">
        <v>262</v>
      </c>
      <c r="W2833" t="s">
        <v>261</v>
      </c>
      <c r="X2833" t="s">
        <v>262</v>
      </c>
      <c r="Y2833" t="s">
        <v>261</v>
      </c>
      <c r="Z2833" t="s">
        <v>409</v>
      </c>
      <c r="AA2833" t="s">
        <v>409</v>
      </c>
      <c r="AB2833" t="s">
        <v>409</v>
      </c>
      <c r="AC2833" t="s">
        <v>409</v>
      </c>
      <c r="AD2833" t="s">
        <v>261</v>
      </c>
      <c r="AH2833" t="s">
        <v>262</v>
      </c>
      <c r="AI2833" t="s">
        <v>262</v>
      </c>
      <c r="AJ2833" t="s">
        <v>261</v>
      </c>
      <c r="AK2833" t="s">
        <v>261</v>
      </c>
      <c r="AM2833" t="s">
        <v>262</v>
      </c>
      <c r="AN2833" t="s">
        <v>7779</v>
      </c>
    </row>
    <row r="2834" spans="1:40" x14ac:dyDescent="0.35">
      <c r="A2834">
        <v>6754901</v>
      </c>
      <c r="B2834" t="s">
        <v>7780</v>
      </c>
      <c r="C2834" t="str">
        <f>"9783837651904"</f>
        <v>9783837651904</v>
      </c>
      <c r="D2834" t="str">
        <f>"9783839451908"</f>
        <v>9783839451908</v>
      </c>
      <c r="E2834" t="s">
        <v>7532</v>
      </c>
      <c r="F2834" t="s">
        <v>7533</v>
      </c>
      <c r="G2834" s="1">
        <v>44013</v>
      </c>
      <c r="H2834" s="1">
        <v>44567</v>
      </c>
      <c r="I2834" t="s">
        <v>189</v>
      </c>
      <c r="J2834">
        <v>1</v>
      </c>
      <c r="K2834" t="s">
        <v>7538</v>
      </c>
      <c r="L2834" t="s">
        <v>7781</v>
      </c>
    </row>
    <row r="2835" spans="1:40" x14ac:dyDescent="0.35">
      <c r="A2835">
        <v>6754953</v>
      </c>
      <c r="B2835" t="s">
        <v>7782</v>
      </c>
      <c r="C2835" t="str">
        <f>"9783837648652"</f>
        <v>9783837648652</v>
      </c>
      <c r="D2835" t="str">
        <f>"9783839448656"</f>
        <v>9783839448656</v>
      </c>
      <c r="E2835" t="s">
        <v>7532</v>
      </c>
      <c r="F2835" t="s">
        <v>7533</v>
      </c>
      <c r="G2835" s="1">
        <v>43831</v>
      </c>
      <c r="H2835" s="1">
        <v>44567</v>
      </c>
      <c r="I2835" t="s">
        <v>189</v>
      </c>
      <c r="J2835">
        <v>1</v>
      </c>
      <c r="K2835" t="s">
        <v>7607</v>
      </c>
      <c r="L2835" t="s">
        <v>7783</v>
      </c>
    </row>
    <row r="2836" spans="1:40" x14ac:dyDescent="0.35">
      <c r="A2836">
        <v>6754966</v>
      </c>
      <c r="B2836" t="s">
        <v>7784</v>
      </c>
      <c r="C2836" t="str">
        <f>"9783732853168"</f>
        <v>9783732853168</v>
      </c>
      <c r="D2836" t="str">
        <f>"9783839453162"</f>
        <v>9783839453162</v>
      </c>
      <c r="E2836" t="s">
        <v>7532</v>
      </c>
      <c r="F2836" t="s">
        <v>7533</v>
      </c>
      <c r="G2836" s="1">
        <v>44013</v>
      </c>
      <c r="H2836" s="1">
        <v>44567</v>
      </c>
      <c r="I2836" t="s">
        <v>189</v>
      </c>
      <c r="J2836">
        <v>1</v>
      </c>
      <c r="K2836" t="s">
        <v>7553</v>
      </c>
      <c r="L2836" t="s">
        <v>7785</v>
      </c>
      <c r="M2836" t="s">
        <v>210</v>
      </c>
      <c r="Q2836" t="s">
        <v>408</v>
      </c>
      <c r="R2836" t="s">
        <v>261</v>
      </c>
      <c r="S2836" t="s">
        <v>261</v>
      </c>
      <c r="T2836" t="s">
        <v>261</v>
      </c>
      <c r="U2836" t="s">
        <v>262</v>
      </c>
      <c r="V2836" t="s">
        <v>262</v>
      </c>
      <c r="W2836" t="s">
        <v>261</v>
      </c>
      <c r="X2836" t="s">
        <v>262</v>
      </c>
      <c r="Y2836" t="s">
        <v>261</v>
      </c>
      <c r="Z2836" t="s">
        <v>409</v>
      </c>
      <c r="AA2836" t="s">
        <v>409</v>
      </c>
      <c r="AB2836" t="s">
        <v>409</v>
      </c>
      <c r="AC2836" t="s">
        <v>409</v>
      </c>
      <c r="AD2836" t="s">
        <v>261</v>
      </c>
      <c r="AH2836" t="s">
        <v>262</v>
      </c>
      <c r="AI2836" t="s">
        <v>262</v>
      </c>
      <c r="AJ2836" t="s">
        <v>261</v>
      </c>
      <c r="AK2836" t="s">
        <v>261</v>
      </c>
      <c r="AM2836" t="s">
        <v>262</v>
      </c>
      <c r="AN2836" t="s">
        <v>7786</v>
      </c>
    </row>
    <row r="2837" spans="1:40" x14ac:dyDescent="0.35">
      <c r="A2837">
        <v>6755145</v>
      </c>
      <c r="B2837" t="s">
        <v>7787</v>
      </c>
      <c r="C2837" t="str">
        <f>"9783837656381"</f>
        <v>9783837656381</v>
      </c>
      <c r="D2837" t="str">
        <f>"9783839456385"</f>
        <v>9783839456385</v>
      </c>
      <c r="E2837" t="s">
        <v>7532</v>
      </c>
      <c r="F2837" t="s">
        <v>7533</v>
      </c>
      <c r="G2837" s="1">
        <v>44228</v>
      </c>
      <c r="H2837" s="1">
        <v>44567</v>
      </c>
      <c r="I2837" t="s">
        <v>189</v>
      </c>
      <c r="J2837">
        <v>1</v>
      </c>
      <c r="K2837" t="s">
        <v>7734</v>
      </c>
      <c r="L2837" t="s">
        <v>7788</v>
      </c>
      <c r="M2837" t="s">
        <v>323</v>
      </c>
      <c r="Q2837" t="s">
        <v>408</v>
      </c>
      <c r="R2837" t="s">
        <v>261</v>
      </c>
      <c r="S2837" t="s">
        <v>261</v>
      </c>
      <c r="T2837" t="s">
        <v>261</v>
      </c>
      <c r="U2837" t="s">
        <v>262</v>
      </c>
      <c r="V2837" t="s">
        <v>262</v>
      </c>
      <c r="W2837" t="s">
        <v>261</v>
      </c>
      <c r="X2837" t="s">
        <v>262</v>
      </c>
      <c r="Y2837" t="s">
        <v>261</v>
      </c>
      <c r="Z2837" t="s">
        <v>409</v>
      </c>
      <c r="AA2837" t="s">
        <v>409</v>
      </c>
      <c r="AB2837" t="s">
        <v>409</v>
      </c>
      <c r="AC2837" t="s">
        <v>409</v>
      </c>
      <c r="AD2837" t="s">
        <v>261</v>
      </c>
      <c r="AH2837" t="s">
        <v>262</v>
      </c>
      <c r="AI2837" t="s">
        <v>262</v>
      </c>
      <c r="AJ2837" t="s">
        <v>261</v>
      </c>
      <c r="AK2837" t="s">
        <v>261</v>
      </c>
      <c r="AM2837" t="s">
        <v>262</v>
      </c>
      <c r="AN2837" t="s">
        <v>7789</v>
      </c>
    </row>
    <row r="2838" spans="1:40" x14ac:dyDescent="0.35">
      <c r="A2838">
        <v>6755253</v>
      </c>
      <c r="B2838" t="s">
        <v>7790</v>
      </c>
      <c r="C2838" t="str">
        <f>"9783837656961"</f>
        <v>9783837656961</v>
      </c>
      <c r="D2838" t="str">
        <f>"9783839456965"</f>
        <v>9783839456965</v>
      </c>
      <c r="E2838" t="s">
        <v>7532</v>
      </c>
      <c r="F2838" t="s">
        <v>7533</v>
      </c>
      <c r="G2838" s="1">
        <v>44287</v>
      </c>
      <c r="H2838" s="1">
        <v>44567</v>
      </c>
      <c r="I2838" t="s">
        <v>189</v>
      </c>
      <c r="J2838">
        <v>1</v>
      </c>
      <c r="K2838" t="s">
        <v>7734</v>
      </c>
      <c r="L2838" t="s">
        <v>7788</v>
      </c>
      <c r="M2838" t="s">
        <v>323</v>
      </c>
      <c r="Q2838" t="s">
        <v>260</v>
      </c>
      <c r="R2838" t="s">
        <v>261</v>
      </c>
      <c r="S2838" t="s">
        <v>261</v>
      </c>
      <c r="T2838" t="s">
        <v>261</v>
      </c>
      <c r="U2838" t="s">
        <v>262</v>
      </c>
      <c r="V2838" t="s">
        <v>262</v>
      </c>
      <c r="W2838" t="s">
        <v>261</v>
      </c>
      <c r="X2838" t="s">
        <v>262</v>
      </c>
      <c r="Y2838" t="s">
        <v>261</v>
      </c>
      <c r="Z2838" t="s">
        <v>409</v>
      </c>
      <c r="AA2838" t="s">
        <v>409</v>
      </c>
      <c r="AB2838" t="s">
        <v>409</v>
      </c>
      <c r="AC2838" t="s">
        <v>409</v>
      </c>
      <c r="AD2838" t="s">
        <v>261</v>
      </c>
      <c r="AH2838" t="s">
        <v>262</v>
      </c>
      <c r="AI2838" t="s">
        <v>262</v>
      </c>
      <c r="AJ2838" t="s">
        <v>261</v>
      </c>
      <c r="AK2838" t="s">
        <v>261</v>
      </c>
      <c r="AM2838" t="s">
        <v>262</v>
      </c>
      <c r="AN2838" t="s">
        <v>7791</v>
      </c>
    </row>
    <row r="2839" spans="1:40" x14ac:dyDescent="0.35">
      <c r="A2839">
        <v>6755439</v>
      </c>
      <c r="B2839" t="s">
        <v>7792</v>
      </c>
      <c r="C2839" t="str">
        <f>"9783837647884"</f>
        <v>9783837647884</v>
      </c>
      <c r="D2839" t="str">
        <f>"9783839447888"</f>
        <v>9783839447888</v>
      </c>
      <c r="E2839" t="s">
        <v>7532</v>
      </c>
      <c r="F2839" t="s">
        <v>7533</v>
      </c>
      <c r="G2839" s="1">
        <v>44105</v>
      </c>
      <c r="H2839" s="1">
        <v>44567</v>
      </c>
      <c r="I2839" t="s">
        <v>189</v>
      </c>
      <c r="J2839">
        <v>1</v>
      </c>
      <c r="K2839" t="s">
        <v>7622</v>
      </c>
      <c r="L2839" t="s">
        <v>7793</v>
      </c>
    </row>
    <row r="2840" spans="1:40" x14ac:dyDescent="0.35">
      <c r="A2840">
        <v>6755449</v>
      </c>
      <c r="B2840" t="s">
        <v>7794</v>
      </c>
      <c r="C2840" t="str">
        <f>"9783732851706"</f>
        <v>9783732851706</v>
      </c>
      <c r="D2840" t="str">
        <f>"9783839451700"</f>
        <v>9783839451700</v>
      </c>
      <c r="E2840" t="s">
        <v>7532</v>
      </c>
      <c r="F2840" t="s">
        <v>7533</v>
      </c>
      <c r="G2840" s="1">
        <v>43952</v>
      </c>
      <c r="H2840" s="1">
        <v>44567</v>
      </c>
      <c r="I2840" t="s">
        <v>189</v>
      </c>
      <c r="J2840">
        <v>1</v>
      </c>
      <c r="K2840" t="s">
        <v>7565</v>
      </c>
      <c r="L2840" t="s">
        <v>7795</v>
      </c>
      <c r="M2840" t="s">
        <v>323</v>
      </c>
      <c r="Q2840" t="s">
        <v>408</v>
      </c>
      <c r="R2840" t="s">
        <v>261</v>
      </c>
      <c r="S2840" t="s">
        <v>261</v>
      </c>
      <c r="T2840" t="s">
        <v>261</v>
      </c>
      <c r="U2840" t="s">
        <v>262</v>
      </c>
      <c r="V2840" t="s">
        <v>262</v>
      </c>
      <c r="W2840" t="s">
        <v>261</v>
      </c>
      <c r="X2840" t="s">
        <v>262</v>
      </c>
      <c r="Y2840" t="s">
        <v>261</v>
      </c>
      <c r="Z2840" t="s">
        <v>409</v>
      </c>
      <c r="AA2840" t="s">
        <v>409</v>
      </c>
      <c r="AB2840" t="s">
        <v>409</v>
      </c>
      <c r="AC2840" t="s">
        <v>409</v>
      </c>
      <c r="AD2840" t="s">
        <v>261</v>
      </c>
      <c r="AH2840" t="s">
        <v>262</v>
      </c>
      <c r="AI2840" t="s">
        <v>262</v>
      </c>
      <c r="AJ2840" t="s">
        <v>261</v>
      </c>
      <c r="AK2840" t="s">
        <v>261</v>
      </c>
      <c r="AM2840" t="s">
        <v>262</v>
      </c>
      <c r="AN2840" t="s">
        <v>7796</v>
      </c>
    </row>
    <row r="2841" spans="1:40" x14ac:dyDescent="0.35">
      <c r="A2841">
        <v>6755569</v>
      </c>
      <c r="B2841" t="s">
        <v>7797</v>
      </c>
      <c r="C2841" t="str">
        <f>"9783837656930"</f>
        <v>9783837656930</v>
      </c>
      <c r="D2841" t="str">
        <f>"9783839456934"</f>
        <v>9783839456934</v>
      </c>
      <c r="E2841" t="s">
        <v>7532</v>
      </c>
      <c r="F2841" t="s">
        <v>7533</v>
      </c>
      <c r="G2841" s="1">
        <v>44317</v>
      </c>
      <c r="H2841" s="1">
        <v>44567</v>
      </c>
      <c r="I2841" t="s">
        <v>189</v>
      </c>
      <c r="J2841">
        <v>1</v>
      </c>
      <c r="K2841" t="s">
        <v>7622</v>
      </c>
      <c r="L2841" t="s">
        <v>7798</v>
      </c>
      <c r="M2841" t="s">
        <v>239</v>
      </c>
      <c r="Q2841" t="s">
        <v>408</v>
      </c>
      <c r="R2841" t="s">
        <v>261</v>
      </c>
      <c r="S2841" t="s">
        <v>261</v>
      </c>
      <c r="T2841" t="s">
        <v>261</v>
      </c>
      <c r="U2841" t="s">
        <v>262</v>
      </c>
      <c r="V2841" t="s">
        <v>262</v>
      </c>
      <c r="W2841" t="s">
        <v>261</v>
      </c>
      <c r="X2841" t="s">
        <v>262</v>
      </c>
      <c r="Y2841" t="s">
        <v>261</v>
      </c>
      <c r="Z2841" t="s">
        <v>409</v>
      </c>
      <c r="AA2841" t="s">
        <v>409</v>
      </c>
      <c r="AB2841" t="s">
        <v>409</v>
      </c>
      <c r="AC2841" t="s">
        <v>409</v>
      </c>
      <c r="AD2841" t="s">
        <v>261</v>
      </c>
      <c r="AH2841" t="s">
        <v>262</v>
      </c>
      <c r="AI2841" t="s">
        <v>262</v>
      </c>
      <c r="AJ2841" t="s">
        <v>261</v>
      </c>
      <c r="AK2841" t="s">
        <v>261</v>
      </c>
      <c r="AM2841" t="s">
        <v>262</v>
      </c>
      <c r="AN2841" t="s">
        <v>7799</v>
      </c>
    </row>
    <row r="2842" spans="1:40" x14ac:dyDescent="0.35">
      <c r="A2842">
        <v>6755614</v>
      </c>
      <c r="B2842" t="s">
        <v>7800</v>
      </c>
      <c r="C2842" t="str">
        <f>"9783732850679"</f>
        <v>9783732850679</v>
      </c>
      <c r="D2842" t="str">
        <f>"9783839450673"</f>
        <v>9783839450673</v>
      </c>
      <c r="E2842" t="s">
        <v>7532</v>
      </c>
      <c r="F2842" t="s">
        <v>7533</v>
      </c>
      <c r="G2842" s="1">
        <v>43983</v>
      </c>
      <c r="H2842" s="1">
        <v>44567</v>
      </c>
      <c r="I2842" t="s">
        <v>189</v>
      </c>
      <c r="J2842">
        <v>1</v>
      </c>
      <c r="K2842" t="s">
        <v>7553</v>
      </c>
      <c r="L2842" t="s">
        <v>7801</v>
      </c>
    </row>
    <row r="2843" spans="1:40" x14ac:dyDescent="0.35">
      <c r="A2843">
        <v>6755640</v>
      </c>
      <c r="B2843" t="s">
        <v>7802</v>
      </c>
      <c r="C2843" t="str">
        <f>"9783837646504"</f>
        <v>9783837646504</v>
      </c>
      <c r="D2843" t="str">
        <f>"9783839446508"</f>
        <v>9783839446508</v>
      </c>
      <c r="E2843" t="s">
        <v>7532</v>
      </c>
      <c r="F2843" t="s">
        <v>7533</v>
      </c>
      <c r="G2843" s="1">
        <v>44013</v>
      </c>
      <c r="H2843" s="1">
        <v>44567</v>
      </c>
      <c r="I2843" t="s">
        <v>189</v>
      </c>
      <c r="J2843">
        <v>1</v>
      </c>
      <c r="K2843" t="s">
        <v>7587</v>
      </c>
      <c r="L2843" t="s">
        <v>7803</v>
      </c>
    </row>
    <row r="2844" spans="1:40" x14ac:dyDescent="0.35">
      <c r="A2844">
        <v>6755689</v>
      </c>
      <c r="B2844" t="s">
        <v>7804</v>
      </c>
      <c r="C2844" t="str">
        <f>"9783837653342"</f>
        <v>9783837653342</v>
      </c>
      <c r="D2844" t="str">
        <f>"9783839453346"</f>
        <v>9783839453346</v>
      </c>
      <c r="E2844" t="s">
        <v>7532</v>
      </c>
      <c r="F2844" t="s">
        <v>7533</v>
      </c>
      <c r="G2844" s="1">
        <v>44228</v>
      </c>
      <c r="H2844" s="1">
        <v>44567</v>
      </c>
      <c r="I2844" t="s">
        <v>189</v>
      </c>
      <c r="J2844">
        <v>1</v>
      </c>
      <c r="K2844" t="s">
        <v>7553</v>
      </c>
      <c r="L2844" t="s">
        <v>7805</v>
      </c>
    </row>
    <row r="2845" spans="1:40" x14ac:dyDescent="0.35">
      <c r="A2845">
        <v>6755768</v>
      </c>
      <c r="B2845" t="s">
        <v>7806</v>
      </c>
      <c r="C2845" t="str">
        <f>"9783837658293"</f>
        <v>9783837658293</v>
      </c>
      <c r="D2845" t="str">
        <f>"9783839458297"</f>
        <v>9783839458297</v>
      </c>
      <c r="E2845" t="s">
        <v>7532</v>
      </c>
      <c r="F2845" t="s">
        <v>7533</v>
      </c>
      <c r="G2845" s="1">
        <v>44348</v>
      </c>
      <c r="H2845" s="1">
        <v>44567</v>
      </c>
      <c r="I2845" t="s">
        <v>189</v>
      </c>
      <c r="J2845">
        <v>1</v>
      </c>
      <c r="K2845" t="s">
        <v>7607</v>
      </c>
      <c r="L2845" t="s">
        <v>7807</v>
      </c>
      <c r="M2845" t="s">
        <v>578</v>
      </c>
      <c r="Q2845" t="s">
        <v>408</v>
      </c>
      <c r="R2845" t="s">
        <v>261</v>
      </c>
      <c r="S2845" t="s">
        <v>261</v>
      </c>
      <c r="T2845" t="s">
        <v>261</v>
      </c>
      <c r="U2845" t="s">
        <v>262</v>
      </c>
      <c r="V2845" t="s">
        <v>262</v>
      </c>
      <c r="W2845" t="s">
        <v>261</v>
      </c>
      <c r="X2845" t="s">
        <v>262</v>
      </c>
      <c r="Y2845" t="s">
        <v>261</v>
      </c>
      <c r="Z2845" t="s">
        <v>409</v>
      </c>
      <c r="AA2845" t="s">
        <v>409</v>
      </c>
      <c r="AB2845" t="s">
        <v>409</v>
      </c>
      <c r="AC2845" t="s">
        <v>409</v>
      </c>
      <c r="AD2845" t="s">
        <v>261</v>
      </c>
      <c r="AH2845" t="s">
        <v>262</v>
      </c>
      <c r="AI2845" t="s">
        <v>262</v>
      </c>
      <c r="AJ2845" t="s">
        <v>261</v>
      </c>
      <c r="AK2845" t="s">
        <v>261</v>
      </c>
      <c r="AM2845" t="s">
        <v>262</v>
      </c>
      <c r="AN2845" t="s">
        <v>7808</v>
      </c>
    </row>
    <row r="2846" spans="1:40" x14ac:dyDescent="0.35">
      <c r="A2846">
        <v>6755797</v>
      </c>
      <c r="B2846" t="s">
        <v>7809</v>
      </c>
      <c r="C2846" t="str">
        <f>"9783837637625"</f>
        <v>9783837637625</v>
      </c>
      <c r="D2846" t="str">
        <f>"9783839437629"</f>
        <v>9783839437629</v>
      </c>
      <c r="E2846" t="s">
        <v>7532</v>
      </c>
      <c r="F2846" t="s">
        <v>7533</v>
      </c>
      <c r="G2846" s="1">
        <v>43160</v>
      </c>
      <c r="H2846" s="1">
        <v>44567</v>
      </c>
      <c r="I2846" t="s">
        <v>189</v>
      </c>
      <c r="J2846">
        <v>1</v>
      </c>
      <c r="K2846" t="s">
        <v>7587</v>
      </c>
      <c r="L2846" t="s">
        <v>7810</v>
      </c>
    </row>
    <row r="2847" spans="1:40" x14ac:dyDescent="0.35">
      <c r="A2847">
        <v>6755980</v>
      </c>
      <c r="B2847" t="s">
        <v>7811</v>
      </c>
      <c r="C2847" t="str">
        <f>"9783732850112"</f>
        <v>9783732850112</v>
      </c>
      <c r="D2847" t="str">
        <f>"9783839450116"</f>
        <v>9783839450116</v>
      </c>
      <c r="E2847" t="s">
        <v>7532</v>
      </c>
      <c r="F2847" t="s">
        <v>7533</v>
      </c>
      <c r="G2847" s="1">
        <v>43891</v>
      </c>
      <c r="H2847" s="1">
        <v>44567</v>
      </c>
      <c r="I2847" t="s">
        <v>189</v>
      </c>
      <c r="J2847">
        <v>1</v>
      </c>
      <c r="K2847" t="s">
        <v>7579</v>
      </c>
      <c r="L2847" t="s">
        <v>7812</v>
      </c>
      <c r="M2847" t="s">
        <v>210</v>
      </c>
      <c r="Q2847" t="s">
        <v>408</v>
      </c>
      <c r="R2847" t="s">
        <v>261</v>
      </c>
      <c r="S2847" t="s">
        <v>261</v>
      </c>
      <c r="T2847" t="s">
        <v>261</v>
      </c>
      <c r="U2847" t="s">
        <v>262</v>
      </c>
      <c r="V2847" t="s">
        <v>262</v>
      </c>
      <c r="W2847" t="s">
        <v>261</v>
      </c>
      <c r="X2847" t="s">
        <v>262</v>
      </c>
      <c r="Y2847" t="s">
        <v>261</v>
      </c>
      <c r="Z2847" t="s">
        <v>409</v>
      </c>
      <c r="AA2847" t="s">
        <v>409</v>
      </c>
      <c r="AB2847" t="s">
        <v>409</v>
      </c>
      <c r="AC2847" t="s">
        <v>409</v>
      </c>
      <c r="AD2847" t="s">
        <v>261</v>
      </c>
      <c r="AH2847" t="s">
        <v>262</v>
      </c>
      <c r="AI2847" t="s">
        <v>262</v>
      </c>
      <c r="AJ2847" t="s">
        <v>261</v>
      </c>
      <c r="AK2847" t="s">
        <v>261</v>
      </c>
      <c r="AM2847" t="s">
        <v>262</v>
      </c>
      <c r="AN2847" t="s">
        <v>7813</v>
      </c>
    </row>
    <row r="2848" spans="1:40" x14ac:dyDescent="0.35">
      <c r="A2848">
        <v>6756044</v>
      </c>
      <c r="B2848" t="s">
        <v>7814</v>
      </c>
      <c r="C2848" t="str">
        <f>"9783837657111"</f>
        <v>9783837657111</v>
      </c>
      <c r="D2848" t="str">
        <f>"9783839457115"</f>
        <v>9783839457115</v>
      </c>
      <c r="E2848" t="s">
        <v>7532</v>
      </c>
      <c r="F2848" t="s">
        <v>7533</v>
      </c>
      <c r="G2848" s="1">
        <v>44317</v>
      </c>
      <c r="H2848" s="1">
        <v>44567</v>
      </c>
      <c r="I2848" t="s">
        <v>189</v>
      </c>
      <c r="J2848">
        <v>1</v>
      </c>
      <c r="K2848" t="s">
        <v>7545</v>
      </c>
      <c r="L2848" t="s">
        <v>7815</v>
      </c>
    </row>
    <row r="2849" spans="1:40" x14ac:dyDescent="0.35">
      <c r="A2849">
        <v>6756186</v>
      </c>
      <c r="B2849" t="s">
        <v>7816</v>
      </c>
      <c r="C2849" t="str">
        <f>"9783837652833"</f>
        <v>9783837652833</v>
      </c>
      <c r="D2849" t="str">
        <f>"9783839452837"</f>
        <v>9783839452837</v>
      </c>
      <c r="E2849" t="s">
        <v>7532</v>
      </c>
      <c r="F2849" t="s">
        <v>7533</v>
      </c>
      <c r="G2849" s="1">
        <v>44105</v>
      </c>
      <c r="H2849" s="1">
        <v>44567</v>
      </c>
      <c r="I2849" t="s">
        <v>189</v>
      </c>
      <c r="J2849">
        <v>1</v>
      </c>
      <c r="K2849" t="s">
        <v>7628</v>
      </c>
      <c r="L2849" t="s">
        <v>7817</v>
      </c>
      <c r="M2849" t="s">
        <v>329</v>
      </c>
      <c r="Q2849" t="s">
        <v>408</v>
      </c>
      <c r="R2849" t="s">
        <v>261</v>
      </c>
      <c r="S2849" t="s">
        <v>261</v>
      </c>
      <c r="T2849" t="s">
        <v>261</v>
      </c>
      <c r="U2849" t="s">
        <v>262</v>
      </c>
      <c r="V2849" t="s">
        <v>262</v>
      </c>
      <c r="W2849" t="s">
        <v>261</v>
      </c>
      <c r="X2849" t="s">
        <v>262</v>
      </c>
      <c r="Y2849" t="s">
        <v>261</v>
      </c>
      <c r="Z2849" t="s">
        <v>409</v>
      </c>
      <c r="AA2849" t="s">
        <v>409</v>
      </c>
      <c r="AB2849" t="s">
        <v>409</v>
      </c>
      <c r="AC2849" t="s">
        <v>409</v>
      </c>
      <c r="AD2849" t="s">
        <v>261</v>
      </c>
      <c r="AH2849" t="s">
        <v>262</v>
      </c>
      <c r="AI2849" t="s">
        <v>262</v>
      </c>
      <c r="AJ2849" t="s">
        <v>261</v>
      </c>
      <c r="AK2849" t="s">
        <v>261</v>
      </c>
      <c r="AM2849" t="s">
        <v>262</v>
      </c>
      <c r="AN2849" t="s">
        <v>7818</v>
      </c>
    </row>
    <row r="2850" spans="1:40" x14ac:dyDescent="0.35">
      <c r="A2850">
        <v>6756231</v>
      </c>
      <c r="B2850" t="s">
        <v>7819</v>
      </c>
      <c r="C2850" t="str">
        <f>"9783837655643"</f>
        <v>9783837655643</v>
      </c>
      <c r="D2850" t="str">
        <f>"9783839455647"</f>
        <v>9783839455647</v>
      </c>
      <c r="E2850" t="s">
        <v>7532</v>
      </c>
      <c r="F2850" t="s">
        <v>7533</v>
      </c>
      <c r="G2850" s="1">
        <v>44197</v>
      </c>
      <c r="H2850" s="1">
        <v>44567</v>
      </c>
      <c r="I2850" t="s">
        <v>189</v>
      </c>
      <c r="J2850">
        <v>1</v>
      </c>
      <c r="K2850" t="s">
        <v>7545</v>
      </c>
      <c r="L2850" t="s">
        <v>7820</v>
      </c>
      <c r="M2850" t="s">
        <v>329</v>
      </c>
      <c r="Q2850" t="s">
        <v>408</v>
      </c>
      <c r="R2850" t="s">
        <v>261</v>
      </c>
      <c r="S2850" t="s">
        <v>261</v>
      </c>
      <c r="T2850" t="s">
        <v>261</v>
      </c>
      <c r="U2850" t="s">
        <v>262</v>
      </c>
      <c r="V2850" t="s">
        <v>262</v>
      </c>
      <c r="W2850" t="s">
        <v>261</v>
      </c>
      <c r="X2850" t="s">
        <v>262</v>
      </c>
      <c r="Y2850" t="s">
        <v>261</v>
      </c>
      <c r="Z2850" t="s">
        <v>409</v>
      </c>
      <c r="AA2850" t="s">
        <v>409</v>
      </c>
      <c r="AB2850" t="s">
        <v>409</v>
      </c>
      <c r="AC2850" t="s">
        <v>409</v>
      </c>
      <c r="AD2850" t="s">
        <v>261</v>
      </c>
      <c r="AH2850" t="s">
        <v>262</v>
      </c>
      <c r="AI2850" t="s">
        <v>262</v>
      </c>
      <c r="AJ2850" t="s">
        <v>261</v>
      </c>
      <c r="AK2850" t="s">
        <v>261</v>
      </c>
      <c r="AM2850" t="s">
        <v>262</v>
      </c>
      <c r="AN2850" t="s">
        <v>7821</v>
      </c>
    </row>
    <row r="2851" spans="1:40" x14ac:dyDescent="0.35">
      <c r="A2851">
        <v>6756294</v>
      </c>
      <c r="B2851" t="s">
        <v>7822</v>
      </c>
      <c r="C2851" t="str">
        <f>"9783837655568"</f>
        <v>9783837655568</v>
      </c>
      <c r="D2851" t="str">
        <f>"9783839455562"</f>
        <v>9783839455562</v>
      </c>
      <c r="E2851" t="s">
        <v>7532</v>
      </c>
      <c r="F2851" t="s">
        <v>7533</v>
      </c>
      <c r="G2851" s="1">
        <v>44228</v>
      </c>
      <c r="H2851" s="1">
        <v>44567</v>
      </c>
      <c r="I2851" t="s">
        <v>189</v>
      </c>
      <c r="J2851">
        <v>1</v>
      </c>
      <c r="K2851" t="s">
        <v>7823</v>
      </c>
      <c r="L2851" t="s">
        <v>7824</v>
      </c>
      <c r="M2851" t="s">
        <v>578</v>
      </c>
      <c r="Q2851" t="s">
        <v>408</v>
      </c>
      <c r="R2851" t="s">
        <v>261</v>
      </c>
      <c r="S2851" t="s">
        <v>261</v>
      </c>
      <c r="T2851" t="s">
        <v>261</v>
      </c>
      <c r="U2851" t="s">
        <v>262</v>
      </c>
      <c r="V2851" t="s">
        <v>262</v>
      </c>
      <c r="W2851" t="s">
        <v>261</v>
      </c>
      <c r="X2851" t="s">
        <v>262</v>
      </c>
      <c r="Y2851" t="s">
        <v>261</v>
      </c>
      <c r="Z2851" t="s">
        <v>409</v>
      </c>
      <c r="AA2851" t="s">
        <v>409</v>
      </c>
      <c r="AB2851" t="s">
        <v>409</v>
      </c>
      <c r="AC2851" t="s">
        <v>409</v>
      </c>
      <c r="AD2851" t="s">
        <v>261</v>
      </c>
      <c r="AH2851" t="s">
        <v>262</v>
      </c>
      <c r="AI2851" t="s">
        <v>262</v>
      </c>
      <c r="AJ2851" t="s">
        <v>261</v>
      </c>
      <c r="AK2851" t="s">
        <v>261</v>
      </c>
      <c r="AM2851" t="s">
        <v>262</v>
      </c>
      <c r="AN2851" t="s">
        <v>7825</v>
      </c>
    </row>
    <row r="2852" spans="1:40" x14ac:dyDescent="0.35">
      <c r="A2852">
        <v>6756325</v>
      </c>
      <c r="B2852" t="s">
        <v>7826</v>
      </c>
      <c r="C2852" t="str">
        <f>"9783837651690"</f>
        <v>9783837651690</v>
      </c>
      <c r="D2852" t="str">
        <f>"9783839451694"</f>
        <v>9783839451694</v>
      </c>
      <c r="E2852" t="s">
        <v>7532</v>
      </c>
      <c r="F2852" t="s">
        <v>7533</v>
      </c>
      <c r="G2852" s="1">
        <v>44013</v>
      </c>
      <c r="H2852" s="1">
        <v>44567</v>
      </c>
      <c r="I2852" t="s">
        <v>189</v>
      </c>
      <c r="J2852">
        <v>1</v>
      </c>
      <c r="K2852" t="s">
        <v>7590</v>
      </c>
      <c r="L2852" t="s">
        <v>7827</v>
      </c>
      <c r="M2852" t="s">
        <v>239</v>
      </c>
      <c r="Q2852" t="s">
        <v>408</v>
      </c>
      <c r="R2852" t="s">
        <v>261</v>
      </c>
      <c r="S2852" t="s">
        <v>261</v>
      </c>
      <c r="T2852" t="s">
        <v>261</v>
      </c>
      <c r="U2852" t="s">
        <v>262</v>
      </c>
      <c r="V2852" t="s">
        <v>262</v>
      </c>
      <c r="W2852" t="s">
        <v>261</v>
      </c>
      <c r="X2852" t="s">
        <v>262</v>
      </c>
      <c r="Y2852" t="s">
        <v>261</v>
      </c>
      <c r="Z2852" t="s">
        <v>409</v>
      </c>
      <c r="AA2852" t="s">
        <v>409</v>
      </c>
      <c r="AB2852" t="s">
        <v>409</v>
      </c>
      <c r="AC2852" t="s">
        <v>409</v>
      </c>
      <c r="AD2852" t="s">
        <v>261</v>
      </c>
      <c r="AH2852" t="s">
        <v>262</v>
      </c>
      <c r="AI2852" t="s">
        <v>262</v>
      </c>
      <c r="AJ2852" t="s">
        <v>261</v>
      </c>
      <c r="AK2852" t="s">
        <v>261</v>
      </c>
      <c r="AM2852" t="s">
        <v>262</v>
      </c>
      <c r="AN2852" t="s">
        <v>7828</v>
      </c>
    </row>
    <row r="2853" spans="1:40" x14ac:dyDescent="0.35">
      <c r="A2853">
        <v>6756346</v>
      </c>
      <c r="B2853" t="s">
        <v>7829</v>
      </c>
      <c r="C2853" t="str">
        <f>"9783837642629"</f>
        <v>9783837642629</v>
      </c>
      <c r="D2853" t="str">
        <f>"9783839442623"</f>
        <v>9783839442623</v>
      </c>
      <c r="E2853" t="s">
        <v>7532</v>
      </c>
      <c r="F2853" t="s">
        <v>7533</v>
      </c>
      <c r="G2853" s="1">
        <v>43160</v>
      </c>
      <c r="H2853" s="1">
        <v>44567</v>
      </c>
      <c r="I2853" t="s">
        <v>189</v>
      </c>
      <c r="J2853">
        <v>1</v>
      </c>
      <c r="K2853" t="s">
        <v>7553</v>
      </c>
      <c r="L2853" t="s">
        <v>7830</v>
      </c>
      <c r="M2853" t="s">
        <v>210</v>
      </c>
      <c r="Q2853" t="s">
        <v>408</v>
      </c>
      <c r="R2853" t="s">
        <v>261</v>
      </c>
      <c r="S2853" t="s">
        <v>261</v>
      </c>
      <c r="T2853" t="s">
        <v>261</v>
      </c>
      <c r="U2853" t="s">
        <v>262</v>
      </c>
      <c r="V2853" t="s">
        <v>262</v>
      </c>
      <c r="W2853" t="s">
        <v>261</v>
      </c>
      <c r="X2853" t="s">
        <v>262</v>
      </c>
      <c r="Y2853" t="s">
        <v>261</v>
      </c>
      <c r="Z2853" t="s">
        <v>409</v>
      </c>
      <c r="AA2853" t="s">
        <v>409</v>
      </c>
      <c r="AB2853" t="s">
        <v>409</v>
      </c>
      <c r="AC2853" t="s">
        <v>409</v>
      </c>
      <c r="AD2853" t="s">
        <v>261</v>
      </c>
      <c r="AH2853" t="s">
        <v>262</v>
      </c>
      <c r="AI2853" t="s">
        <v>262</v>
      </c>
      <c r="AJ2853" t="s">
        <v>261</v>
      </c>
      <c r="AK2853" t="s">
        <v>261</v>
      </c>
      <c r="AM2853" t="s">
        <v>262</v>
      </c>
      <c r="AN2853" t="s">
        <v>7831</v>
      </c>
    </row>
    <row r="2854" spans="1:40" x14ac:dyDescent="0.35">
      <c r="A2854">
        <v>6756400</v>
      </c>
      <c r="B2854" t="s">
        <v>7832</v>
      </c>
      <c r="C2854" t="str">
        <f>"9783837650020"</f>
        <v>9783837650020</v>
      </c>
      <c r="D2854" t="str">
        <f>"9783839450024"</f>
        <v>9783839450024</v>
      </c>
      <c r="E2854" t="s">
        <v>7532</v>
      </c>
      <c r="F2854" t="s">
        <v>7533</v>
      </c>
      <c r="G2854" s="1">
        <v>44136</v>
      </c>
      <c r="H2854" s="1">
        <v>44567</v>
      </c>
      <c r="I2854" t="s">
        <v>189</v>
      </c>
      <c r="J2854">
        <v>1</v>
      </c>
      <c r="K2854" t="s">
        <v>7559</v>
      </c>
      <c r="L2854" t="s">
        <v>7833</v>
      </c>
      <c r="M2854" t="s">
        <v>329</v>
      </c>
      <c r="Q2854" t="s">
        <v>408</v>
      </c>
      <c r="R2854" t="s">
        <v>261</v>
      </c>
      <c r="S2854" t="s">
        <v>261</v>
      </c>
      <c r="T2854" t="s">
        <v>261</v>
      </c>
      <c r="U2854" t="s">
        <v>262</v>
      </c>
      <c r="V2854" t="s">
        <v>262</v>
      </c>
      <c r="W2854" t="s">
        <v>261</v>
      </c>
      <c r="X2854" t="s">
        <v>262</v>
      </c>
      <c r="Y2854" t="s">
        <v>261</v>
      </c>
      <c r="Z2854" t="s">
        <v>409</v>
      </c>
      <c r="AA2854" t="s">
        <v>409</v>
      </c>
      <c r="AB2854" t="s">
        <v>409</v>
      </c>
      <c r="AC2854" t="s">
        <v>409</v>
      </c>
      <c r="AD2854" t="s">
        <v>261</v>
      </c>
      <c r="AH2854" t="s">
        <v>262</v>
      </c>
      <c r="AI2854" t="s">
        <v>262</v>
      </c>
      <c r="AJ2854" t="s">
        <v>261</v>
      </c>
      <c r="AK2854" t="s">
        <v>261</v>
      </c>
      <c r="AM2854" t="s">
        <v>262</v>
      </c>
      <c r="AN2854" t="s">
        <v>7834</v>
      </c>
    </row>
    <row r="2855" spans="1:40" x14ac:dyDescent="0.35">
      <c r="A2855">
        <v>6756521</v>
      </c>
      <c r="B2855" t="s">
        <v>7835</v>
      </c>
      <c r="C2855" t="str">
        <f>"9783837639025"</f>
        <v>9783837639025</v>
      </c>
      <c r="D2855" t="str">
        <f>"9783839439029"</f>
        <v>9783839439029</v>
      </c>
      <c r="E2855" t="s">
        <v>7532</v>
      </c>
      <c r="F2855" t="s">
        <v>7533</v>
      </c>
      <c r="G2855" s="1">
        <v>43831</v>
      </c>
      <c r="H2855" s="1">
        <v>44567</v>
      </c>
      <c r="I2855" t="s">
        <v>189</v>
      </c>
      <c r="J2855">
        <v>1</v>
      </c>
      <c r="K2855" t="s">
        <v>7663</v>
      </c>
      <c r="L2855" t="s">
        <v>7836</v>
      </c>
      <c r="M2855" t="s">
        <v>578</v>
      </c>
      <c r="Q2855" t="s">
        <v>260</v>
      </c>
      <c r="R2855" t="s">
        <v>261</v>
      </c>
      <c r="S2855" t="s">
        <v>261</v>
      </c>
      <c r="T2855" t="s">
        <v>261</v>
      </c>
      <c r="U2855" t="s">
        <v>262</v>
      </c>
      <c r="V2855" t="s">
        <v>262</v>
      </c>
      <c r="W2855" t="s">
        <v>261</v>
      </c>
      <c r="X2855" t="s">
        <v>262</v>
      </c>
      <c r="Y2855" t="s">
        <v>261</v>
      </c>
      <c r="Z2855" t="s">
        <v>409</v>
      </c>
      <c r="AA2855" t="s">
        <v>409</v>
      </c>
      <c r="AB2855" t="s">
        <v>409</v>
      </c>
      <c r="AC2855" t="s">
        <v>409</v>
      </c>
      <c r="AD2855" t="s">
        <v>261</v>
      </c>
      <c r="AH2855" t="s">
        <v>262</v>
      </c>
      <c r="AI2855" t="s">
        <v>262</v>
      </c>
      <c r="AJ2855" t="s">
        <v>261</v>
      </c>
      <c r="AK2855" t="s">
        <v>261</v>
      </c>
      <c r="AM2855" t="s">
        <v>262</v>
      </c>
      <c r="AN2855" t="s">
        <v>7837</v>
      </c>
    </row>
    <row r="2856" spans="1:40" x14ac:dyDescent="0.35">
      <c r="A2856">
        <v>6756617</v>
      </c>
      <c r="B2856" t="s">
        <v>7838</v>
      </c>
      <c r="C2856" t="str">
        <f>"9783837652048"</f>
        <v>9783837652048</v>
      </c>
      <c r="D2856" t="str">
        <f>"9783839452042"</f>
        <v>9783839452042</v>
      </c>
      <c r="E2856" t="s">
        <v>7532</v>
      </c>
      <c r="F2856" t="s">
        <v>7533</v>
      </c>
      <c r="G2856" s="1">
        <v>43891</v>
      </c>
      <c r="H2856" s="1">
        <v>44567</v>
      </c>
      <c r="I2856" t="s">
        <v>189</v>
      </c>
      <c r="J2856">
        <v>1</v>
      </c>
      <c r="K2856" t="s">
        <v>7678</v>
      </c>
      <c r="L2856" t="s">
        <v>77</v>
      </c>
      <c r="M2856" t="s">
        <v>249</v>
      </c>
      <c r="N2856" t="s">
        <v>7839</v>
      </c>
      <c r="Q2856" t="s">
        <v>408</v>
      </c>
      <c r="R2856" t="s">
        <v>261</v>
      </c>
      <c r="S2856" t="s">
        <v>261</v>
      </c>
      <c r="T2856" t="s">
        <v>261</v>
      </c>
      <c r="U2856" t="s">
        <v>262</v>
      </c>
      <c r="V2856" t="s">
        <v>262</v>
      </c>
      <c r="W2856" t="s">
        <v>261</v>
      </c>
      <c r="X2856" t="s">
        <v>262</v>
      </c>
      <c r="Y2856" t="s">
        <v>261</v>
      </c>
      <c r="Z2856" t="s">
        <v>409</v>
      </c>
      <c r="AA2856" t="s">
        <v>409</v>
      </c>
      <c r="AB2856" t="s">
        <v>409</v>
      </c>
      <c r="AC2856" t="s">
        <v>409</v>
      </c>
      <c r="AD2856" t="s">
        <v>261</v>
      </c>
      <c r="AH2856" t="s">
        <v>262</v>
      </c>
      <c r="AI2856" t="s">
        <v>262</v>
      </c>
      <c r="AJ2856" t="s">
        <v>261</v>
      </c>
      <c r="AK2856" t="s">
        <v>261</v>
      </c>
      <c r="AM2856" t="s">
        <v>262</v>
      </c>
      <c r="AN2856" t="s">
        <v>7840</v>
      </c>
    </row>
    <row r="2857" spans="1:40" x14ac:dyDescent="0.35">
      <c r="A2857">
        <v>6756633</v>
      </c>
      <c r="B2857" t="s">
        <v>7841</v>
      </c>
      <c r="C2857" t="str">
        <f>"9783837651850"</f>
        <v>9783837651850</v>
      </c>
      <c r="D2857" t="str">
        <f>"9783839451854"</f>
        <v>9783839451854</v>
      </c>
      <c r="E2857" t="s">
        <v>7532</v>
      </c>
      <c r="F2857" t="s">
        <v>7533</v>
      </c>
      <c r="G2857" s="1">
        <v>43922</v>
      </c>
      <c r="H2857" s="1">
        <v>44567</v>
      </c>
      <c r="I2857" t="s">
        <v>189</v>
      </c>
      <c r="J2857">
        <v>1</v>
      </c>
      <c r="K2857" t="s">
        <v>7842</v>
      </c>
      <c r="L2857" t="s">
        <v>7843</v>
      </c>
      <c r="M2857" t="s">
        <v>329</v>
      </c>
      <c r="Q2857" t="s">
        <v>408</v>
      </c>
      <c r="R2857" t="s">
        <v>261</v>
      </c>
      <c r="S2857" t="s">
        <v>261</v>
      </c>
      <c r="T2857" t="s">
        <v>261</v>
      </c>
      <c r="U2857" t="s">
        <v>262</v>
      </c>
      <c r="V2857" t="s">
        <v>262</v>
      </c>
      <c r="W2857" t="s">
        <v>261</v>
      </c>
      <c r="X2857" t="s">
        <v>262</v>
      </c>
      <c r="Y2857" t="s">
        <v>261</v>
      </c>
      <c r="Z2857" t="s">
        <v>409</v>
      </c>
      <c r="AA2857" t="s">
        <v>409</v>
      </c>
      <c r="AB2857" t="s">
        <v>409</v>
      </c>
      <c r="AC2857" t="s">
        <v>409</v>
      </c>
      <c r="AD2857" t="s">
        <v>261</v>
      </c>
      <c r="AH2857" t="s">
        <v>262</v>
      </c>
      <c r="AI2857" t="s">
        <v>262</v>
      </c>
      <c r="AJ2857" t="s">
        <v>261</v>
      </c>
      <c r="AK2857" t="s">
        <v>261</v>
      </c>
      <c r="AM2857" t="s">
        <v>262</v>
      </c>
      <c r="AN2857" t="s">
        <v>7844</v>
      </c>
    </row>
    <row r="2858" spans="1:40" x14ac:dyDescent="0.35">
      <c r="A2858">
        <v>6756691</v>
      </c>
      <c r="B2858" t="s">
        <v>7845</v>
      </c>
      <c r="C2858" t="str">
        <f>"9783837651744"</f>
        <v>9783837651744</v>
      </c>
      <c r="D2858" t="str">
        <f>"9783839451748"</f>
        <v>9783839451748</v>
      </c>
      <c r="E2858" t="s">
        <v>7532</v>
      </c>
      <c r="F2858" t="s">
        <v>7533</v>
      </c>
      <c r="G2858" s="1">
        <v>44105</v>
      </c>
      <c r="H2858" s="1">
        <v>44567</v>
      </c>
      <c r="I2858" t="s">
        <v>189</v>
      </c>
      <c r="J2858">
        <v>1</v>
      </c>
      <c r="K2858" t="s">
        <v>7846</v>
      </c>
      <c r="L2858" t="s">
        <v>7847</v>
      </c>
    </row>
    <row r="2859" spans="1:40" x14ac:dyDescent="0.35">
      <c r="A2859">
        <v>6756819</v>
      </c>
      <c r="B2859" t="s">
        <v>7848</v>
      </c>
      <c r="C2859" t="str">
        <f>"9783837650952"</f>
        <v>9783837650952</v>
      </c>
      <c r="D2859" t="str">
        <f>"9783839450956"</f>
        <v>9783839450956</v>
      </c>
      <c r="E2859" t="s">
        <v>7532</v>
      </c>
      <c r="F2859" t="s">
        <v>7533</v>
      </c>
      <c r="G2859" s="1">
        <v>44256</v>
      </c>
      <c r="H2859" s="1">
        <v>44567</v>
      </c>
      <c r="I2859" t="s">
        <v>189</v>
      </c>
      <c r="J2859">
        <v>1</v>
      </c>
      <c r="K2859" t="s">
        <v>7607</v>
      </c>
      <c r="L2859" t="s">
        <v>7849</v>
      </c>
    </row>
    <row r="2860" spans="1:40" x14ac:dyDescent="0.35">
      <c r="A2860">
        <v>6756927</v>
      </c>
      <c r="B2860" t="s">
        <v>7850</v>
      </c>
      <c r="C2860" t="str">
        <f>"9783837651843"</f>
        <v>9783837651843</v>
      </c>
      <c r="D2860" t="str">
        <f>"9783839451847"</f>
        <v>9783839451847</v>
      </c>
      <c r="E2860" t="s">
        <v>7532</v>
      </c>
      <c r="F2860" t="s">
        <v>7533</v>
      </c>
      <c r="G2860" s="1">
        <v>43952</v>
      </c>
      <c r="H2860" s="1">
        <v>44567</v>
      </c>
      <c r="I2860" t="s">
        <v>189</v>
      </c>
      <c r="J2860">
        <v>1</v>
      </c>
      <c r="K2860" t="s">
        <v>7622</v>
      </c>
      <c r="L2860" t="s">
        <v>7851</v>
      </c>
      <c r="M2860" t="s">
        <v>239</v>
      </c>
      <c r="Q2860" t="s">
        <v>408</v>
      </c>
      <c r="R2860" t="s">
        <v>261</v>
      </c>
      <c r="S2860" t="s">
        <v>261</v>
      </c>
      <c r="T2860" t="s">
        <v>261</v>
      </c>
      <c r="U2860" t="s">
        <v>262</v>
      </c>
      <c r="V2860" t="s">
        <v>262</v>
      </c>
      <c r="W2860" t="s">
        <v>261</v>
      </c>
      <c r="X2860" t="s">
        <v>262</v>
      </c>
      <c r="Y2860" t="s">
        <v>261</v>
      </c>
      <c r="Z2860" t="s">
        <v>409</v>
      </c>
      <c r="AA2860" t="s">
        <v>409</v>
      </c>
      <c r="AB2860" t="s">
        <v>409</v>
      </c>
      <c r="AC2860" t="s">
        <v>409</v>
      </c>
      <c r="AD2860" t="s">
        <v>261</v>
      </c>
      <c r="AH2860" t="s">
        <v>262</v>
      </c>
      <c r="AI2860" t="s">
        <v>262</v>
      </c>
      <c r="AJ2860" t="s">
        <v>261</v>
      </c>
      <c r="AK2860" t="s">
        <v>261</v>
      </c>
      <c r="AM2860" t="s">
        <v>262</v>
      </c>
      <c r="AN2860" t="s">
        <v>7852</v>
      </c>
    </row>
    <row r="2861" spans="1:40" x14ac:dyDescent="0.35">
      <c r="A2861">
        <v>6756992</v>
      </c>
      <c r="B2861" t="s">
        <v>7853</v>
      </c>
      <c r="C2861" t="str">
        <f>"9783837657036"</f>
        <v>9783837657036</v>
      </c>
      <c r="D2861" t="str">
        <f>"9783839457030"</f>
        <v>9783839457030</v>
      </c>
      <c r="E2861" t="s">
        <v>7532</v>
      </c>
      <c r="F2861" t="s">
        <v>7533</v>
      </c>
      <c r="G2861" s="1">
        <v>44287</v>
      </c>
      <c r="H2861" s="1">
        <v>44567</v>
      </c>
      <c r="I2861" t="s">
        <v>189</v>
      </c>
      <c r="J2861">
        <v>1</v>
      </c>
      <c r="K2861" t="s">
        <v>7760</v>
      </c>
      <c r="L2861" t="s">
        <v>7761</v>
      </c>
      <c r="M2861" t="s">
        <v>329</v>
      </c>
      <c r="Q2861" t="s">
        <v>260</v>
      </c>
      <c r="R2861" t="s">
        <v>261</v>
      </c>
      <c r="S2861" t="s">
        <v>261</v>
      </c>
      <c r="T2861" t="s">
        <v>261</v>
      </c>
      <c r="U2861" t="s">
        <v>262</v>
      </c>
      <c r="V2861" t="s">
        <v>262</v>
      </c>
      <c r="W2861" t="s">
        <v>261</v>
      </c>
      <c r="X2861" t="s">
        <v>262</v>
      </c>
      <c r="Y2861" t="s">
        <v>261</v>
      </c>
      <c r="Z2861" t="s">
        <v>409</v>
      </c>
      <c r="AA2861" t="s">
        <v>409</v>
      </c>
      <c r="AB2861" t="s">
        <v>409</v>
      </c>
      <c r="AC2861" t="s">
        <v>409</v>
      </c>
      <c r="AD2861" t="s">
        <v>261</v>
      </c>
      <c r="AH2861" t="s">
        <v>262</v>
      </c>
      <c r="AI2861" t="s">
        <v>262</v>
      </c>
      <c r="AJ2861" t="s">
        <v>261</v>
      </c>
      <c r="AK2861" t="s">
        <v>261</v>
      </c>
      <c r="AM2861" t="s">
        <v>262</v>
      </c>
      <c r="AN2861" t="s">
        <v>7854</v>
      </c>
    </row>
    <row r="2862" spans="1:40" x14ac:dyDescent="0.35">
      <c r="A2862">
        <v>6757026</v>
      </c>
      <c r="B2862" t="s">
        <v>7855</v>
      </c>
      <c r="C2862" t="str">
        <f>"9783837641523"</f>
        <v>9783837641523</v>
      </c>
      <c r="D2862" t="str">
        <f>"9783839441527"</f>
        <v>9783839441527</v>
      </c>
      <c r="E2862" t="s">
        <v>7532</v>
      </c>
      <c r="F2862" t="s">
        <v>7533</v>
      </c>
      <c r="G2862" s="1">
        <v>43221</v>
      </c>
      <c r="H2862" s="1">
        <v>44567</v>
      </c>
      <c r="I2862" t="s">
        <v>189</v>
      </c>
      <c r="J2862">
        <v>1</v>
      </c>
      <c r="K2862" t="s">
        <v>7652</v>
      </c>
      <c r="L2862" t="s">
        <v>7856</v>
      </c>
    </row>
    <row r="2863" spans="1:40" x14ac:dyDescent="0.35">
      <c r="A2863">
        <v>6757105</v>
      </c>
      <c r="B2863" t="s">
        <v>7857</v>
      </c>
      <c r="C2863" t="str">
        <f>"9783732857289"</f>
        <v>9783732857289</v>
      </c>
      <c r="D2863" t="str">
        <f>"9783839457283"</f>
        <v>9783839457283</v>
      </c>
      <c r="E2863" t="s">
        <v>7532</v>
      </c>
      <c r="F2863" t="s">
        <v>7533</v>
      </c>
      <c r="G2863" s="1">
        <v>44256</v>
      </c>
      <c r="H2863" s="1">
        <v>44567</v>
      </c>
      <c r="I2863" t="s">
        <v>189</v>
      </c>
      <c r="J2863">
        <v>1</v>
      </c>
      <c r="K2863" t="s">
        <v>7625</v>
      </c>
      <c r="L2863" t="s">
        <v>7858</v>
      </c>
      <c r="M2863" t="s">
        <v>329</v>
      </c>
      <c r="Q2863" t="s">
        <v>408</v>
      </c>
      <c r="R2863" t="s">
        <v>261</v>
      </c>
      <c r="S2863" t="s">
        <v>261</v>
      </c>
      <c r="T2863" t="s">
        <v>261</v>
      </c>
      <c r="U2863" t="s">
        <v>262</v>
      </c>
      <c r="V2863" t="s">
        <v>262</v>
      </c>
      <c r="W2863" t="s">
        <v>261</v>
      </c>
      <c r="X2863" t="s">
        <v>262</v>
      </c>
      <c r="Y2863" t="s">
        <v>261</v>
      </c>
      <c r="Z2863" t="s">
        <v>409</v>
      </c>
      <c r="AA2863" t="s">
        <v>409</v>
      </c>
      <c r="AB2863" t="s">
        <v>409</v>
      </c>
      <c r="AC2863" t="s">
        <v>409</v>
      </c>
      <c r="AD2863" t="s">
        <v>261</v>
      </c>
      <c r="AH2863" t="s">
        <v>262</v>
      </c>
      <c r="AI2863" t="s">
        <v>262</v>
      </c>
      <c r="AJ2863" t="s">
        <v>261</v>
      </c>
      <c r="AK2863" t="s">
        <v>261</v>
      </c>
      <c r="AM2863" t="s">
        <v>262</v>
      </c>
      <c r="AN2863" t="s">
        <v>7859</v>
      </c>
    </row>
    <row r="2864" spans="1:40" x14ac:dyDescent="0.35">
      <c r="A2864">
        <v>6757124</v>
      </c>
      <c r="B2864" t="s">
        <v>7860</v>
      </c>
      <c r="C2864" t="str">
        <f>"9783837649987"</f>
        <v>9783837649987</v>
      </c>
      <c r="D2864" t="str">
        <f>"9783839449981"</f>
        <v>9783839449981</v>
      </c>
      <c r="E2864" t="s">
        <v>7532</v>
      </c>
      <c r="F2864" t="s">
        <v>7533</v>
      </c>
      <c r="G2864" s="1">
        <v>44013</v>
      </c>
      <c r="H2864" s="1">
        <v>44567</v>
      </c>
      <c r="I2864" t="s">
        <v>189</v>
      </c>
      <c r="J2864">
        <v>1</v>
      </c>
      <c r="K2864" t="s">
        <v>7622</v>
      </c>
      <c r="L2864" t="s">
        <v>7861</v>
      </c>
    </row>
    <row r="2865" spans="1:40" x14ac:dyDescent="0.35">
      <c r="A2865">
        <v>6757141</v>
      </c>
      <c r="B2865" t="s">
        <v>7862</v>
      </c>
      <c r="C2865" t="str">
        <f>"9783837645149"</f>
        <v>9783837645149</v>
      </c>
      <c r="D2865" t="str">
        <f>"9783839445143"</f>
        <v>9783839445143</v>
      </c>
      <c r="E2865" t="s">
        <v>7532</v>
      </c>
      <c r="F2865" t="s">
        <v>7533</v>
      </c>
      <c r="G2865" s="1">
        <v>44013</v>
      </c>
      <c r="H2865" s="1">
        <v>44567</v>
      </c>
      <c r="I2865" t="s">
        <v>189</v>
      </c>
      <c r="J2865">
        <v>1</v>
      </c>
      <c r="K2865" t="s">
        <v>7625</v>
      </c>
      <c r="L2865" t="s">
        <v>7863</v>
      </c>
    </row>
    <row r="2866" spans="1:40" x14ac:dyDescent="0.35">
      <c r="A2866">
        <v>6757150</v>
      </c>
      <c r="B2866" t="s">
        <v>7864</v>
      </c>
      <c r="C2866" t="str">
        <f>"9783732844296"</f>
        <v>9783732844296</v>
      </c>
      <c r="D2866" t="str">
        <f>"9783839444290"</f>
        <v>9783839444290</v>
      </c>
      <c r="E2866" t="s">
        <v>7532</v>
      </c>
      <c r="F2866" t="s">
        <v>7533</v>
      </c>
      <c r="G2866" s="1">
        <v>43282</v>
      </c>
      <c r="H2866" s="1">
        <v>44567</v>
      </c>
      <c r="I2866" t="s">
        <v>189</v>
      </c>
      <c r="J2866">
        <v>1</v>
      </c>
      <c r="K2866" t="s">
        <v>7534</v>
      </c>
      <c r="L2866" t="s">
        <v>7865</v>
      </c>
      <c r="M2866" t="s">
        <v>219</v>
      </c>
      <c r="Q2866" t="s">
        <v>408</v>
      </c>
      <c r="R2866" t="s">
        <v>261</v>
      </c>
      <c r="S2866" t="s">
        <v>261</v>
      </c>
      <c r="T2866" t="s">
        <v>261</v>
      </c>
      <c r="U2866" t="s">
        <v>262</v>
      </c>
      <c r="V2866" t="s">
        <v>262</v>
      </c>
      <c r="W2866" t="s">
        <v>261</v>
      </c>
      <c r="X2866" t="s">
        <v>262</v>
      </c>
      <c r="Y2866" t="s">
        <v>261</v>
      </c>
      <c r="Z2866" t="s">
        <v>409</v>
      </c>
      <c r="AA2866" t="s">
        <v>409</v>
      </c>
      <c r="AB2866" t="s">
        <v>409</v>
      </c>
      <c r="AC2866" t="s">
        <v>409</v>
      </c>
      <c r="AD2866" t="s">
        <v>261</v>
      </c>
      <c r="AH2866" t="s">
        <v>262</v>
      </c>
      <c r="AI2866" t="s">
        <v>262</v>
      </c>
      <c r="AJ2866" t="s">
        <v>261</v>
      </c>
      <c r="AK2866" t="s">
        <v>261</v>
      </c>
      <c r="AM2866" t="s">
        <v>262</v>
      </c>
      <c r="AN2866" t="s">
        <v>7866</v>
      </c>
    </row>
    <row r="2867" spans="1:40" x14ac:dyDescent="0.35">
      <c r="A2867">
        <v>6757205</v>
      </c>
      <c r="B2867" t="s">
        <v>7867</v>
      </c>
      <c r="C2867" t="str">
        <f>"9783837651638"</f>
        <v>9783837651638</v>
      </c>
      <c r="D2867" t="str">
        <f>"9783839451632"</f>
        <v>9783839451632</v>
      </c>
      <c r="E2867" t="s">
        <v>7532</v>
      </c>
      <c r="F2867" t="s">
        <v>7533</v>
      </c>
      <c r="G2867" s="1">
        <v>43952</v>
      </c>
      <c r="H2867" s="1">
        <v>44567</v>
      </c>
      <c r="I2867" t="s">
        <v>189</v>
      </c>
      <c r="J2867">
        <v>1</v>
      </c>
      <c r="K2867" t="s">
        <v>7868</v>
      </c>
      <c r="L2867" t="s">
        <v>7869</v>
      </c>
      <c r="M2867" t="s">
        <v>239</v>
      </c>
      <c r="Q2867" t="s">
        <v>260</v>
      </c>
      <c r="R2867" t="s">
        <v>261</v>
      </c>
      <c r="S2867" t="s">
        <v>261</v>
      </c>
      <c r="T2867" t="s">
        <v>261</v>
      </c>
      <c r="U2867" t="s">
        <v>262</v>
      </c>
      <c r="V2867" t="s">
        <v>262</v>
      </c>
      <c r="W2867" t="s">
        <v>261</v>
      </c>
      <c r="X2867" t="s">
        <v>262</v>
      </c>
      <c r="Y2867" t="s">
        <v>261</v>
      </c>
      <c r="Z2867" t="s">
        <v>409</v>
      </c>
      <c r="AA2867" t="s">
        <v>409</v>
      </c>
      <c r="AB2867" t="s">
        <v>409</v>
      </c>
      <c r="AC2867" t="s">
        <v>409</v>
      </c>
      <c r="AD2867" t="s">
        <v>261</v>
      </c>
      <c r="AH2867" t="s">
        <v>262</v>
      </c>
      <c r="AI2867" t="s">
        <v>262</v>
      </c>
      <c r="AJ2867" t="s">
        <v>261</v>
      </c>
      <c r="AK2867" t="s">
        <v>261</v>
      </c>
      <c r="AM2867" t="s">
        <v>262</v>
      </c>
      <c r="AN2867" t="s">
        <v>7870</v>
      </c>
    </row>
    <row r="2868" spans="1:40" x14ac:dyDescent="0.35">
      <c r="A2868">
        <v>6757352</v>
      </c>
      <c r="B2868" t="s">
        <v>7871</v>
      </c>
      <c r="C2868" t="str">
        <f>"9783837654295"</f>
        <v>9783837654295</v>
      </c>
      <c r="D2868" t="str">
        <f>"9783839454299"</f>
        <v>9783839454299</v>
      </c>
      <c r="E2868" t="s">
        <v>7532</v>
      </c>
      <c r="F2868" t="s">
        <v>7533</v>
      </c>
      <c r="G2868" s="1">
        <v>44256</v>
      </c>
      <c r="H2868" s="1">
        <v>44567</v>
      </c>
      <c r="I2868" t="s">
        <v>189</v>
      </c>
      <c r="J2868">
        <v>1</v>
      </c>
      <c r="K2868" t="s">
        <v>7872</v>
      </c>
      <c r="L2868" t="s">
        <v>7873</v>
      </c>
      <c r="M2868" t="s">
        <v>329</v>
      </c>
      <c r="Q2868" t="s">
        <v>408</v>
      </c>
      <c r="R2868" t="s">
        <v>261</v>
      </c>
      <c r="S2868" t="s">
        <v>261</v>
      </c>
      <c r="T2868" t="s">
        <v>261</v>
      </c>
      <c r="U2868" t="s">
        <v>262</v>
      </c>
      <c r="V2868" t="s">
        <v>262</v>
      </c>
      <c r="W2868" t="s">
        <v>261</v>
      </c>
      <c r="X2868" t="s">
        <v>262</v>
      </c>
      <c r="Y2868" t="s">
        <v>261</v>
      </c>
      <c r="Z2868" t="s">
        <v>409</v>
      </c>
      <c r="AA2868" t="s">
        <v>409</v>
      </c>
      <c r="AB2868" t="s">
        <v>409</v>
      </c>
      <c r="AC2868" t="s">
        <v>409</v>
      </c>
      <c r="AD2868" t="s">
        <v>261</v>
      </c>
      <c r="AH2868" t="s">
        <v>262</v>
      </c>
      <c r="AI2868" t="s">
        <v>262</v>
      </c>
      <c r="AJ2868" t="s">
        <v>261</v>
      </c>
      <c r="AK2868" t="s">
        <v>261</v>
      </c>
      <c r="AM2868" t="s">
        <v>262</v>
      </c>
      <c r="AN2868" t="s">
        <v>7874</v>
      </c>
    </row>
    <row r="2869" spans="1:40" x14ac:dyDescent="0.35">
      <c r="A2869">
        <v>6757437</v>
      </c>
      <c r="B2869" t="s">
        <v>7875</v>
      </c>
      <c r="C2869" t="str">
        <f>"9783837642605"</f>
        <v>9783837642605</v>
      </c>
      <c r="D2869" t="str">
        <f>"9783839442609"</f>
        <v>9783839442609</v>
      </c>
      <c r="E2869" t="s">
        <v>7532</v>
      </c>
      <c r="F2869" t="s">
        <v>7533</v>
      </c>
      <c r="G2869" s="1">
        <v>43282</v>
      </c>
      <c r="H2869" s="1">
        <v>44567</v>
      </c>
      <c r="I2869" t="s">
        <v>189</v>
      </c>
      <c r="J2869">
        <v>1</v>
      </c>
      <c r="K2869" t="s">
        <v>7553</v>
      </c>
      <c r="L2869" t="s">
        <v>7876</v>
      </c>
      <c r="M2869" t="s">
        <v>210</v>
      </c>
      <c r="Q2869" t="s">
        <v>408</v>
      </c>
      <c r="R2869" t="s">
        <v>261</v>
      </c>
      <c r="S2869" t="s">
        <v>261</v>
      </c>
      <c r="T2869" t="s">
        <v>261</v>
      </c>
      <c r="U2869" t="s">
        <v>262</v>
      </c>
      <c r="V2869" t="s">
        <v>262</v>
      </c>
      <c r="W2869" t="s">
        <v>261</v>
      </c>
      <c r="X2869" t="s">
        <v>262</v>
      </c>
      <c r="Y2869" t="s">
        <v>261</v>
      </c>
      <c r="Z2869" t="s">
        <v>409</v>
      </c>
      <c r="AA2869" t="s">
        <v>409</v>
      </c>
      <c r="AB2869" t="s">
        <v>409</v>
      </c>
      <c r="AC2869" t="s">
        <v>409</v>
      </c>
      <c r="AD2869" t="s">
        <v>261</v>
      </c>
      <c r="AH2869" t="s">
        <v>262</v>
      </c>
      <c r="AI2869" t="s">
        <v>262</v>
      </c>
      <c r="AJ2869" t="s">
        <v>261</v>
      </c>
      <c r="AK2869" t="s">
        <v>261</v>
      </c>
      <c r="AM2869" t="s">
        <v>262</v>
      </c>
      <c r="AN2869" t="s">
        <v>7877</v>
      </c>
    </row>
    <row r="2870" spans="1:40" x14ac:dyDescent="0.35">
      <c r="A2870">
        <v>6757455</v>
      </c>
      <c r="B2870" t="s">
        <v>7878</v>
      </c>
      <c r="C2870" t="str">
        <f>"9783732854226"</f>
        <v>9783732854226</v>
      </c>
      <c r="D2870" t="str">
        <f>"9783839454220"</f>
        <v>9783839454220</v>
      </c>
      <c r="E2870" t="s">
        <v>7532</v>
      </c>
      <c r="F2870" t="s">
        <v>7533</v>
      </c>
      <c r="G2870" s="1">
        <v>44287</v>
      </c>
      <c r="H2870" s="1">
        <v>44567</v>
      </c>
      <c r="I2870" t="s">
        <v>189</v>
      </c>
      <c r="J2870">
        <v>1</v>
      </c>
      <c r="K2870" t="s">
        <v>7652</v>
      </c>
      <c r="L2870" t="s">
        <v>7879</v>
      </c>
      <c r="M2870" t="s">
        <v>329</v>
      </c>
      <c r="Q2870" t="s">
        <v>408</v>
      </c>
      <c r="R2870" t="s">
        <v>261</v>
      </c>
      <c r="S2870" t="s">
        <v>261</v>
      </c>
      <c r="T2870" t="s">
        <v>261</v>
      </c>
      <c r="U2870" t="s">
        <v>262</v>
      </c>
      <c r="V2870" t="s">
        <v>262</v>
      </c>
      <c r="W2870" t="s">
        <v>261</v>
      </c>
      <c r="X2870" t="s">
        <v>262</v>
      </c>
      <c r="Y2870" t="s">
        <v>261</v>
      </c>
      <c r="Z2870" t="s">
        <v>409</v>
      </c>
      <c r="AA2870" t="s">
        <v>409</v>
      </c>
      <c r="AB2870" t="s">
        <v>409</v>
      </c>
      <c r="AC2870" t="s">
        <v>409</v>
      </c>
      <c r="AD2870" t="s">
        <v>261</v>
      </c>
      <c r="AH2870" t="s">
        <v>262</v>
      </c>
      <c r="AI2870" t="s">
        <v>262</v>
      </c>
      <c r="AJ2870" t="s">
        <v>261</v>
      </c>
      <c r="AK2870" t="s">
        <v>261</v>
      </c>
      <c r="AM2870" t="s">
        <v>262</v>
      </c>
      <c r="AN2870" t="s">
        <v>7880</v>
      </c>
    </row>
    <row r="2871" spans="1:40" x14ac:dyDescent="0.35">
      <c r="A2871">
        <v>6757483</v>
      </c>
      <c r="B2871" t="s">
        <v>7881</v>
      </c>
      <c r="C2871" t="str">
        <f>"9783837648645"</f>
        <v>9783837648645</v>
      </c>
      <c r="D2871" t="str">
        <f>"9783839448649"</f>
        <v>9783839448649</v>
      </c>
      <c r="E2871" t="s">
        <v>7532</v>
      </c>
      <c r="F2871" t="s">
        <v>7533</v>
      </c>
      <c r="G2871" s="1">
        <v>43770</v>
      </c>
      <c r="H2871" s="1">
        <v>44567</v>
      </c>
      <c r="I2871" t="s">
        <v>189</v>
      </c>
      <c r="J2871">
        <v>1</v>
      </c>
      <c r="K2871" t="s">
        <v>7882</v>
      </c>
      <c r="L2871" t="s">
        <v>7883</v>
      </c>
    </row>
    <row r="2872" spans="1:40" x14ac:dyDescent="0.35">
      <c r="A2872">
        <v>6757556</v>
      </c>
      <c r="B2872" t="s">
        <v>7884</v>
      </c>
      <c r="C2872" t="str">
        <f>"9783837645392"</f>
        <v>9783837645392</v>
      </c>
      <c r="D2872" t="str">
        <f>"9783839445396"</f>
        <v>9783839445396</v>
      </c>
      <c r="E2872" t="s">
        <v>7532</v>
      </c>
      <c r="F2872" t="s">
        <v>7533</v>
      </c>
      <c r="G2872" s="1">
        <v>43252</v>
      </c>
      <c r="H2872" s="1">
        <v>44567</v>
      </c>
      <c r="I2872" t="s">
        <v>189</v>
      </c>
      <c r="J2872">
        <v>1</v>
      </c>
      <c r="K2872" t="s">
        <v>7885</v>
      </c>
      <c r="L2872" t="s">
        <v>7886</v>
      </c>
    </row>
    <row r="2873" spans="1:40" x14ac:dyDescent="0.35">
      <c r="A2873">
        <v>6757700</v>
      </c>
      <c r="B2873" t="s">
        <v>7887</v>
      </c>
      <c r="C2873" t="str">
        <f>"9783837650419"</f>
        <v>9783837650419</v>
      </c>
      <c r="D2873" t="str">
        <f>"9783839450413"</f>
        <v>9783839450413</v>
      </c>
      <c r="E2873" t="s">
        <v>7532</v>
      </c>
      <c r="F2873" t="s">
        <v>7533</v>
      </c>
      <c r="G2873" s="1">
        <v>44013</v>
      </c>
      <c r="H2873" s="1">
        <v>44567</v>
      </c>
      <c r="I2873" t="s">
        <v>189</v>
      </c>
      <c r="J2873">
        <v>1</v>
      </c>
      <c r="K2873" t="s">
        <v>7888</v>
      </c>
      <c r="L2873" t="s">
        <v>7889</v>
      </c>
    </row>
    <row r="2874" spans="1:40" x14ac:dyDescent="0.35">
      <c r="A2874">
        <v>6757810</v>
      </c>
      <c r="B2874" t="s">
        <v>7890</v>
      </c>
      <c r="C2874" t="str">
        <f>"9783837657845"</f>
        <v>9783837657845</v>
      </c>
      <c r="D2874" t="str">
        <f>"9783839457849"</f>
        <v>9783839457849</v>
      </c>
      <c r="E2874" t="s">
        <v>7532</v>
      </c>
      <c r="F2874" t="s">
        <v>7533</v>
      </c>
      <c r="G2874" s="1">
        <v>44256</v>
      </c>
      <c r="H2874" s="1">
        <v>44567</v>
      </c>
      <c r="I2874" t="s">
        <v>189</v>
      </c>
      <c r="J2874">
        <v>1</v>
      </c>
      <c r="K2874" t="s">
        <v>7891</v>
      </c>
      <c r="L2874" t="s">
        <v>7892</v>
      </c>
    </row>
    <row r="2875" spans="1:40" x14ac:dyDescent="0.35">
      <c r="A2875">
        <v>6758056</v>
      </c>
      <c r="B2875" t="s">
        <v>7893</v>
      </c>
      <c r="C2875" t="str">
        <f>"9783837653854"</f>
        <v>9783837653854</v>
      </c>
      <c r="D2875" t="str">
        <f>"9783839453858"</f>
        <v>9783839453858</v>
      </c>
      <c r="E2875" t="s">
        <v>7532</v>
      </c>
      <c r="F2875" t="s">
        <v>7533</v>
      </c>
      <c r="G2875" s="1">
        <v>44075</v>
      </c>
      <c r="H2875" s="1">
        <v>44567</v>
      </c>
      <c r="I2875" t="s">
        <v>189</v>
      </c>
      <c r="J2875">
        <v>1</v>
      </c>
      <c r="K2875" t="s">
        <v>7894</v>
      </c>
      <c r="L2875" t="s">
        <v>7895</v>
      </c>
      <c r="M2875" t="s">
        <v>329</v>
      </c>
      <c r="Q2875" t="s">
        <v>408</v>
      </c>
      <c r="R2875" t="s">
        <v>261</v>
      </c>
      <c r="S2875" t="s">
        <v>261</v>
      </c>
      <c r="T2875" t="s">
        <v>261</v>
      </c>
      <c r="U2875" t="s">
        <v>262</v>
      </c>
      <c r="V2875" t="s">
        <v>262</v>
      </c>
      <c r="W2875" t="s">
        <v>261</v>
      </c>
      <c r="X2875" t="s">
        <v>262</v>
      </c>
      <c r="Y2875" t="s">
        <v>261</v>
      </c>
      <c r="Z2875" t="s">
        <v>409</v>
      </c>
      <c r="AA2875" t="s">
        <v>409</v>
      </c>
      <c r="AB2875" t="s">
        <v>409</v>
      </c>
      <c r="AC2875" t="s">
        <v>409</v>
      </c>
      <c r="AD2875" t="s">
        <v>261</v>
      </c>
      <c r="AH2875" t="s">
        <v>262</v>
      </c>
      <c r="AI2875" t="s">
        <v>262</v>
      </c>
      <c r="AJ2875" t="s">
        <v>261</v>
      </c>
      <c r="AK2875" t="s">
        <v>261</v>
      </c>
      <c r="AM2875" t="s">
        <v>262</v>
      </c>
      <c r="AN2875" t="s">
        <v>7896</v>
      </c>
    </row>
    <row r="2876" spans="1:40" x14ac:dyDescent="0.35">
      <c r="A2876">
        <v>6758082</v>
      </c>
      <c r="B2876" t="s">
        <v>7897</v>
      </c>
      <c r="C2876" t="str">
        <f>"9783837655032"</f>
        <v>9783837655032</v>
      </c>
      <c r="D2876" t="str">
        <f>"9783839455036"</f>
        <v>9783839455036</v>
      </c>
      <c r="E2876" t="s">
        <v>7532</v>
      </c>
      <c r="F2876" t="s">
        <v>7533</v>
      </c>
      <c r="G2876" s="1">
        <v>44197</v>
      </c>
      <c r="H2876" s="1">
        <v>44567</v>
      </c>
      <c r="I2876" t="s">
        <v>189</v>
      </c>
      <c r="J2876">
        <v>1</v>
      </c>
      <c r="K2876" t="s">
        <v>7652</v>
      </c>
      <c r="L2876" t="s">
        <v>7898</v>
      </c>
      <c r="M2876" t="s">
        <v>329</v>
      </c>
      <c r="Q2876" t="s">
        <v>408</v>
      </c>
      <c r="R2876" t="s">
        <v>261</v>
      </c>
      <c r="S2876" t="s">
        <v>261</v>
      </c>
      <c r="T2876" t="s">
        <v>261</v>
      </c>
      <c r="U2876" t="s">
        <v>262</v>
      </c>
      <c r="V2876" t="s">
        <v>262</v>
      </c>
      <c r="W2876" t="s">
        <v>261</v>
      </c>
      <c r="X2876" t="s">
        <v>262</v>
      </c>
      <c r="Y2876" t="s">
        <v>261</v>
      </c>
      <c r="Z2876" t="s">
        <v>409</v>
      </c>
      <c r="AA2876" t="s">
        <v>409</v>
      </c>
      <c r="AB2876" t="s">
        <v>409</v>
      </c>
      <c r="AC2876" t="s">
        <v>409</v>
      </c>
      <c r="AD2876" t="s">
        <v>261</v>
      </c>
      <c r="AH2876" t="s">
        <v>262</v>
      </c>
      <c r="AI2876" t="s">
        <v>262</v>
      </c>
      <c r="AJ2876" t="s">
        <v>261</v>
      </c>
      <c r="AK2876" t="s">
        <v>261</v>
      </c>
      <c r="AM2876" t="s">
        <v>262</v>
      </c>
      <c r="AN2876" t="s">
        <v>7899</v>
      </c>
    </row>
    <row r="2877" spans="1:40" x14ac:dyDescent="0.35">
      <c r="A2877">
        <v>6758110</v>
      </c>
      <c r="B2877" t="s">
        <v>7900</v>
      </c>
      <c r="C2877" t="str">
        <f>"9783837658354"</f>
        <v>9783837658354</v>
      </c>
      <c r="D2877" t="str">
        <f>"9783839458358"</f>
        <v>9783839458358</v>
      </c>
      <c r="E2877" t="s">
        <v>7532</v>
      </c>
      <c r="F2877" t="s">
        <v>7533</v>
      </c>
      <c r="G2877" s="1">
        <v>44348</v>
      </c>
      <c r="H2877" s="1">
        <v>44567</v>
      </c>
      <c r="I2877" t="s">
        <v>189</v>
      </c>
      <c r="J2877">
        <v>1</v>
      </c>
      <c r="K2877" t="s">
        <v>7901</v>
      </c>
      <c r="L2877" t="s">
        <v>7902</v>
      </c>
      <c r="M2877" t="s">
        <v>329</v>
      </c>
      <c r="Q2877" t="s">
        <v>408</v>
      </c>
      <c r="R2877" t="s">
        <v>261</v>
      </c>
      <c r="S2877" t="s">
        <v>261</v>
      </c>
      <c r="T2877" t="s">
        <v>261</v>
      </c>
      <c r="U2877" t="s">
        <v>262</v>
      </c>
      <c r="V2877" t="s">
        <v>262</v>
      </c>
      <c r="W2877" t="s">
        <v>261</v>
      </c>
      <c r="X2877" t="s">
        <v>262</v>
      </c>
      <c r="Y2877" t="s">
        <v>261</v>
      </c>
      <c r="Z2877" t="s">
        <v>409</v>
      </c>
      <c r="AA2877" t="s">
        <v>409</v>
      </c>
      <c r="AB2877" t="s">
        <v>409</v>
      </c>
      <c r="AC2877" t="s">
        <v>409</v>
      </c>
      <c r="AD2877" t="s">
        <v>261</v>
      </c>
      <c r="AH2877" t="s">
        <v>262</v>
      </c>
      <c r="AI2877" t="s">
        <v>262</v>
      </c>
      <c r="AJ2877" t="s">
        <v>261</v>
      </c>
      <c r="AK2877" t="s">
        <v>261</v>
      </c>
      <c r="AM2877" t="s">
        <v>262</v>
      </c>
      <c r="AN2877" t="s">
        <v>7903</v>
      </c>
    </row>
    <row r="2878" spans="1:40" x14ac:dyDescent="0.35">
      <c r="A2878">
        <v>6758211</v>
      </c>
      <c r="B2878" t="s">
        <v>7904</v>
      </c>
      <c r="C2878" t="str">
        <f>"9783837653267"</f>
        <v>9783837653267</v>
      </c>
      <c r="D2878" t="str">
        <f>"9783839453261"</f>
        <v>9783839453261</v>
      </c>
      <c r="E2878" t="s">
        <v>7532</v>
      </c>
      <c r="F2878" t="s">
        <v>7533</v>
      </c>
      <c r="G2878" s="1">
        <v>44228</v>
      </c>
      <c r="H2878" s="1">
        <v>44567</v>
      </c>
      <c r="I2878" t="s">
        <v>189</v>
      </c>
      <c r="J2878">
        <v>1</v>
      </c>
      <c r="K2878" t="s">
        <v>7598</v>
      </c>
      <c r="L2878" t="s">
        <v>7905</v>
      </c>
      <c r="M2878" t="s">
        <v>1578</v>
      </c>
      <c r="Q2878" t="s">
        <v>408</v>
      </c>
      <c r="R2878" t="s">
        <v>261</v>
      </c>
      <c r="S2878" t="s">
        <v>261</v>
      </c>
      <c r="T2878" t="s">
        <v>261</v>
      </c>
      <c r="U2878" t="s">
        <v>262</v>
      </c>
      <c r="V2878" t="s">
        <v>262</v>
      </c>
      <c r="W2878" t="s">
        <v>261</v>
      </c>
      <c r="X2878" t="s">
        <v>262</v>
      </c>
      <c r="Y2878" t="s">
        <v>261</v>
      </c>
      <c r="Z2878" t="s">
        <v>409</v>
      </c>
      <c r="AA2878" t="s">
        <v>409</v>
      </c>
      <c r="AB2878" t="s">
        <v>409</v>
      </c>
      <c r="AC2878" t="s">
        <v>409</v>
      </c>
      <c r="AD2878" t="s">
        <v>261</v>
      </c>
      <c r="AH2878" t="s">
        <v>262</v>
      </c>
      <c r="AI2878" t="s">
        <v>262</v>
      </c>
      <c r="AJ2878" t="s">
        <v>261</v>
      </c>
      <c r="AK2878" t="s">
        <v>261</v>
      </c>
      <c r="AM2878" t="s">
        <v>262</v>
      </c>
      <c r="AN2878" t="s">
        <v>7906</v>
      </c>
    </row>
    <row r="2879" spans="1:40" x14ac:dyDescent="0.35">
      <c r="A2879">
        <v>6758358</v>
      </c>
      <c r="B2879" t="s">
        <v>7907</v>
      </c>
      <c r="C2879" t="str">
        <f>"9783837650211"</f>
        <v>9783837650211</v>
      </c>
      <c r="D2879" t="str">
        <f>"9783839450215"</f>
        <v>9783839450215</v>
      </c>
      <c r="E2879" t="s">
        <v>7532</v>
      </c>
      <c r="F2879" t="s">
        <v>7533</v>
      </c>
      <c r="G2879" s="1">
        <v>44013</v>
      </c>
      <c r="H2879" s="1">
        <v>44567</v>
      </c>
      <c r="I2879" t="s">
        <v>189</v>
      </c>
      <c r="J2879">
        <v>1</v>
      </c>
      <c r="K2879" t="s">
        <v>7545</v>
      </c>
      <c r="L2879" t="s">
        <v>7908</v>
      </c>
    </row>
    <row r="2880" spans="1:40" x14ac:dyDescent="0.35">
      <c r="A2880">
        <v>6758369</v>
      </c>
      <c r="B2880" t="s">
        <v>7909</v>
      </c>
      <c r="C2880" t="str">
        <f>"9783837649963"</f>
        <v>9783837649963</v>
      </c>
      <c r="D2880" t="str">
        <f>"9783839449967"</f>
        <v>9783839449967</v>
      </c>
      <c r="E2880" t="s">
        <v>7532</v>
      </c>
      <c r="F2880" t="s">
        <v>7533</v>
      </c>
      <c r="G2880" s="1">
        <v>43800</v>
      </c>
      <c r="H2880" s="1">
        <v>44567</v>
      </c>
      <c r="I2880" t="s">
        <v>189</v>
      </c>
      <c r="J2880">
        <v>1</v>
      </c>
      <c r="K2880" t="s">
        <v>7534</v>
      </c>
      <c r="L2880" t="s">
        <v>7910</v>
      </c>
      <c r="M2880" t="s">
        <v>219</v>
      </c>
      <c r="Q2880" t="s">
        <v>408</v>
      </c>
      <c r="R2880" t="s">
        <v>261</v>
      </c>
      <c r="S2880" t="s">
        <v>261</v>
      </c>
      <c r="T2880" t="s">
        <v>261</v>
      </c>
      <c r="U2880" t="s">
        <v>262</v>
      </c>
      <c r="V2880" t="s">
        <v>262</v>
      </c>
      <c r="W2880" t="s">
        <v>261</v>
      </c>
      <c r="X2880" t="s">
        <v>262</v>
      </c>
      <c r="Y2880" t="s">
        <v>261</v>
      </c>
      <c r="Z2880" t="s">
        <v>409</v>
      </c>
      <c r="AA2880" t="s">
        <v>409</v>
      </c>
      <c r="AB2880" t="s">
        <v>409</v>
      </c>
      <c r="AC2880" t="s">
        <v>409</v>
      </c>
      <c r="AD2880" t="s">
        <v>261</v>
      </c>
      <c r="AH2880" t="s">
        <v>262</v>
      </c>
      <c r="AI2880" t="s">
        <v>262</v>
      </c>
      <c r="AJ2880" t="s">
        <v>261</v>
      </c>
      <c r="AK2880" t="s">
        <v>261</v>
      </c>
      <c r="AM2880" t="s">
        <v>262</v>
      </c>
      <c r="AN2880" t="s">
        <v>7911</v>
      </c>
    </row>
    <row r="2881" spans="1:40" x14ac:dyDescent="0.35">
      <c r="A2881">
        <v>6758390</v>
      </c>
      <c r="B2881" t="s">
        <v>7912</v>
      </c>
      <c r="C2881" t="str">
        <f>"9783732852710"</f>
        <v>9783732852710</v>
      </c>
      <c r="D2881" t="str">
        <f>"9783839452714"</f>
        <v>9783839452714</v>
      </c>
      <c r="E2881" t="s">
        <v>7532</v>
      </c>
      <c r="F2881" t="s">
        <v>7533</v>
      </c>
      <c r="G2881" s="1">
        <v>44075</v>
      </c>
      <c r="H2881" s="1">
        <v>44567</v>
      </c>
      <c r="I2881" t="s">
        <v>189</v>
      </c>
      <c r="J2881">
        <v>1</v>
      </c>
      <c r="K2881" t="s">
        <v>7553</v>
      </c>
      <c r="L2881" t="s">
        <v>7913</v>
      </c>
      <c r="M2881" t="s">
        <v>210</v>
      </c>
      <c r="Q2881" t="s">
        <v>408</v>
      </c>
      <c r="R2881" t="s">
        <v>261</v>
      </c>
      <c r="S2881" t="s">
        <v>261</v>
      </c>
      <c r="T2881" t="s">
        <v>261</v>
      </c>
      <c r="U2881" t="s">
        <v>262</v>
      </c>
      <c r="V2881" t="s">
        <v>262</v>
      </c>
      <c r="W2881" t="s">
        <v>261</v>
      </c>
      <c r="X2881" t="s">
        <v>262</v>
      </c>
      <c r="Y2881" t="s">
        <v>261</v>
      </c>
      <c r="Z2881" t="s">
        <v>409</v>
      </c>
      <c r="AA2881" t="s">
        <v>409</v>
      </c>
      <c r="AB2881" t="s">
        <v>409</v>
      </c>
      <c r="AC2881" t="s">
        <v>409</v>
      </c>
      <c r="AD2881" t="s">
        <v>261</v>
      </c>
      <c r="AH2881" t="s">
        <v>262</v>
      </c>
      <c r="AI2881" t="s">
        <v>262</v>
      </c>
      <c r="AJ2881" t="s">
        <v>261</v>
      </c>
      <c r="AK2881" t="s">
        <v>261</v>
      </c>
      <c r="AM2881" t="s">
        <v>262</v>
      </c>
      <c r="AN2881" t="s">
        <v>7914</v>
      </c>
    </row>
    <row r="2882" spans="1:40" x14ac:dyDescent="0.35">
      <c r="A2882">
        <v>6758570</v>
      </c>
      <c r="B2882" t="s">
        <v>7915</v>
      </c>
      <c r="C2882" t="str">
        <f>"9783837655872"</f>
        <v>9783837655872</v>
      </c>
      <c r="D2882" t="str">
        <f>"9783839455876"</f>
        <v>9783839455876</v>
      </c>
      <c r="E2882" t="s">
        <v>7532</v>
      </c>
      <c r="F2882" t="s">
        <v>7533</v>
      </c>
      <c r="G2882" s="1">
        <v>44256</v>
      </c>
      <c r="H2882" s="1">
        <v>44567</v>
      </c>
      <c r="I2882" t="s">
        <v>189</v>
      </c>
      <c r="J2882">
        <v>1</v>
      </c>
      <c r="K2882" t="s">
        <v>7916</v>
      </c>
      <c r="L2882" t="s">
        <v>7917</v>
      </c>
      <c r="M2882" t="s">
        <v>329</v>
      </c>
      <c r="Q2882" t="s">
        <v>260</v>
      </c>
      <c r="R2882" t="s">
        <v>261</v>
      </c>
      <c r="S2882" t="s">
        <v>261</v>
      </c>
      <c r="T2882" t="s">
        <v>261</v>
      </c>
      <c r="U2882" t="s">
        <v>262</v>
      </c>
      <c r="V2882" t="s">
        <v>262</v>
      </c>
      <c r="W2882" t="s">
        <v>261</v>
      </c>
      <c r="X2882" t="s">
        <v>262</v>
      </c>
      <c r="Y2882" t="s">
        <v>261</v>
      </c>
      <c r="Z2882" t="s">
        <v>409</v>
      </c>
      <c r="AA2882" t="s">
        <v>409</v>
      </c>
      <c r="AB2882" t="s">
        <v>409</v>
      </c>
      <c r="AC2882" t="s">
        <v>409</v>
      </c>
      <c r="AD2882" t="s">
        <v>261</v>
      </c>
      <c r="AH2882" t="s">
        <v>262</v>
      </c>
      <c r="AI2882" t="s">
        <v>262</v>
      </c>
      <c r="AJ2882" t="s">
        <v>261</v>
      </c>
      <c r="AK2882" t="s">
        <v>261</v>
      </c>
      <c r="AM2882" t="s">
        <v>262</v>
      </c>
      <c r="AN2882" t="s">
        <v>7918</v>
      </c>
    </row>
    <row r="2883" spans="1:40" x14ac:dyDescent="0.35">
      <c r="A2883">
        <v>6758605</v>
      </c>
      <c r="B2883" t="s">
        <v>7919</v>
      </c>
      <c r="C2883" t="str">
        <f>"9783837658491"</f>
        <v>9783837658491</v>
      </c>
      <c r="D2883" t="str">
        <f>"9783839458495"</f>
        <v>9783839458495</v>
      </c>
      <c r="E2883" t="s">
        <v>7532</v>
      </c>
      <c r="F2883" t="s">
        <v>7533</v>
      </c>
      <c r="G2883" s="1">
        <v>44348</v>
      </c>
      <c r="H2883" s="1">
        <v>44567</v>
      </c>
      <c r="I2883" t="s">
        <v>189</v>
      </c>
      <c r="J2883">
        <v>1</v>
      </c>
      <c r="K2883" t="s">
        <v>7920</v>
      </c>
      <c r="L2883" t="s">
        <v>7921</v>
      </c>
      <c r="M2883" t="s">
        <v>219</v>
      </c>
      <c r="Q2883" t="s">
        <v>408</v>
      </c>
      <c r="R2883" t="s">
        <v>261</v>
      </c>
      <c r="S2883" t="s">
        <v>261</v>
      </c>
      <c r="T2883" t="s">
        <v>261</v>
      </c>
      <c r="U2883" t="s">
        <v>262</v>
      </c>
      <c r="V2883" t="s">
        <v>262</v>
      </c>
      <c r="W2883" t="s">
        <v>261</v>
      </c>
      <c r="X2883" t="s">
        <v>262</v>
      </c>
      <c r="Y2883" t="s">
        <v>261</v>
      </c>
      <c r="Z2883" t="s">
        <v>409</v>
      </c>
      <c r="AA2883" t="s">
        <v>409</v>
      </c>
      <c r="AB2883" t="s">
        <v>409</v>
      </c>
      <c r="AC2883" t="s">
        <v>409</v>
      </c>
      <c r="AD2883" t="s">
        <v>261</v>
      </c>
      <c r="AH2883" t="s">
        <v>262</v>
      </c>
      <c r="AI2883" t="s">
        <v>262</v>
      </c>
      <c r="AJ2883" t="s">
        <v>261</v>
      </c>
      <c r="AK2883" t="s">
        <v>261</v>
      </c>
      <c r="AM2883" t="s">
        <v>262</v>
      </c>
      <c r="AN2883" t="s">
        <v>7922</v>
      </c>
    </row>
    <row r="2884" spans="1:40" x14ac:dyDescent="0.35">
      <c r="A2884">
        <v>6758629</v>
      </c>
      <c r="B2884" t="s">
        <v>7923</v>
      </c>
      <c r="C2884" t="str">
        <f>"9783732854790"</f>
        <v>9783732854790</v>
      </c>
      <c r="D2884" t="str">
        <f>"9783839454794"</f>
        <v>9783839454794</v>
      </c>
      <c r="E2884" t="s">
        <v>7532</v>
      </c>
      <c r="F2884" t="s">
        <v>7533</v>
      </c>
      <c r="G2884" s="1">
        <v>44287</v>
      </c>
      <c r="H2884" s="1">
        <v>44567</v>
      </c>
      <c r="I2884" t="s">
        <v>189</v>
      </c>
      <c r="J2884">
        <v>1</v>
      </c>
      <c r="K2884" t="s">
        <v>7553</v>
      </c>
      <c r="L2884" t="s">
        <v>7924</v>
      </c>
      <c r="M2884" t="s">
        <v>210</v>
      </c>
      <c r="Q2884" t="s">
        <v>408</v>
      </c>
      <c r="R2884" t="s">
        <v>261</v>
      </c>
      <c r="S2884" t="s">
        <v>261</v>
      </c>
      <c r="T2884" t="s">
        <v>261</v>
      </c>
      <c r="U2884" t="s">
        <v>262</v>
      </c>
      <c r="V2884" t="s">
        <v>262</v>
      </c>
      <c r="W2884" t="s">
        <v>261</v>
      </c>
      <c r="X2884" t="s">
        <v>262</v>
      </c>
      <c r="Y2884" t="s">
        <v>261</v>
      </c>
      <c r="Z2884" t="s">
        <v>409</v>
      </c>
      <c r="AA2884" t="s">
        <v>409</v>
      </c>
      <c r="AB2884" t="s">
        <v>409</v>
      </c>
      <c r="AC2884" t="s">
        <v>409</v>
      </c>
      <c r="AD2884" t="s">
        <v>261</v>
      </c>
      <c r="AH2884" t="s">
        <v>262</v>
      </c>
      <c r="AI2884" t="s">
        <v>262</v>
      </c>
      <c r="AJ2884" t="s">
        <v>261</v>
      </c>
      <c r="AK2884" t="s">
        <v>261</v>
      </c>
      <c r="AM2884" t="s">
        <v>262</v>
      </c>
      <c r="AN2884" t="s">
        <v>7925</v>
      </c>
    </row>
    <row r="2885" spans="1:40" x14ac:dyDescent="0.35">
      <c r="A2885">
        <v>6758648</v>
      </c>
      <c r="B2885" t="s">
        <v>7926</v>
      </c>
      <c r="C2885" t="str">
        <f>"9783837648874"</f>
        <v>9783837648874</v>
      </c>
      <c r="D2885" t="str">
        <f>"9783839448878"</f>
        <v>9783839448878</v>
      </c>
      <c r="E2885" t="s">
        <v>7532</v>
      </c>
      <c r="F2885" t="s">
        <v>7533</v>
      </c>
      <c r="G2885" s="1">
        <v>43739</v>
      </c>
      <c r="H2885" s="1">
        <v>44567</v>
      </c>
      <c r="I2885" t="s">
        <v>189</v>
      </c>
      <c r="J2885">
        <v>1</v>
      </c>
      <c r="K2885" t="s">
        <v>7846</v>
      </c>
      <c r="L2885" t="s">
        <v>7927</v>
      </c>
      <c r="M2885" t="s">
        <v>323</v>
      </c>
      <c r="N2885" t="s">
        <v>7928</v>
      </c>
      <c r="Q2885" t="s">
        <v>260</v>
      </c>
      <c r="R2885" t="s">
        <v>261</v>
      </c>
      <c r="S2885" t="s">
        <v>261</v>
      </c>
      <c r="T2885" t="s">
        <v>261</v>
      </c>
      <c r="U2885" t="s">
        <v>262</v>
      </c>
      <c r="V2885" t="s">
        <v>262</v>
      </c>
      <c r="W2885" t="s">
        <v>261</v>
      </c>
      <c r="X2885" t="s">
        <v>262</v>
      </c>
      <c r="Y2885" t="s">
        <v>261</v>
      </c>
      <c r="Z2885" t="s">
        <v>409</v>
      </c>
      <c r="AA2885" t="s">
        <v>409</v>
      </c>
      <c r="AB2885" t="s">
        <v>409</v>
      </c>
      <c r="AC2885" t="s">
        <v>409</v>
      </c>
      <c r="AD2885" t="s">
        <v>261</v>
      </c>
      <c r="AH2885" t="s">
        <v>262</v>
      </c>
      <c r="AI2885" t="s">
        <v>262</v>
      </c>
      <c r="AJ2885" t="s">
        <v>261</v>
      </c>
      <c r="AK2885" t="s">
        <v>261</v>
      </c>
      <c r="AM2885" t="s">
        <v>262</v>
      </c>
      <c r="AN2885" t="s">
        <v>7929</v>
      </c>
    </row>
    <row r="2886" spans="1:40" x14ac:dyDescent="0.35">
      <c r="A2886">
        <v>6758667</v>
      </c>
      <c r="B2886" t="s">
        <v>7930</v>
      </c>
      <c r="C2886" t="str">
        <f>"9783837651324"</f>
        <v>9783837651324</v>
      </c>
      <c r="D2886" t="str">
        <f>"9783839451328"</f>
        <v>9783839451328</v>
      </c>
      <c r="E2886" t="s">
        <v>7532</v>
      </c>
      <c r="F2886" t="s">
        <v>7533</v>
      </c>
      <c r="G2886" s="1">
        <v>43862</v>
      </c>
      <c r="H2886" s="1">
        <v>44567</v>
      </c>
      <c r="I2886" t="s">
        <v>189</v>
      </c>
      <c r="J2886">
        <v>1</v>
      </c>
      <c r="K2886" t="s">
        <v>7534</v>
      </c>
      <c r="L2886" t="s">
        <v>7931</v>
      </c>
      <c r="M2886" t="s">
        <v>219</v>
      </c>
      <c r="Q2886" t="s">
        <v>408</v>
      </c>
      <c r="R2886" t="s">
        <v>261</v>
      </c>
      <c r="S2886" t="s">
        <v>261</v>
      </c>
      <c r="T2886" t="s">
        <v>261</v>
      </c>
      <c r="U2886" t="s">
        <v>262</v>
      </c>
      <c r="V2886" t="s">
        <v>262</v>
      </c>
      <c r="W2886" t="s">
        <v>261</v>
      </c>
      <c r="X2886" t="s">
        <v>262</v>
      </c>
      <c r="Y2886" t="s">
        <v>261</v>
      </c>
      <c r="Z2886" t="s">
        <v>409</v>
      </c>
      <c r="AA2886" t="s">
        <v>409</v>
      </c>
      <c r="AB2886" t="s">
        <v>409</v>
      </c>
      <c r="AC2886" t="s">
        <v>409</v>
      </c>
      <c r="AD2886" t="s">
        <v>261</v>
      </c>
      <c r="AH2886" t="s">
        <v>262</v>
      </c>
      <c r="AI2886" t="s">
        <v>262</v>
      </c>
      <c r="AJ2886" t="s">
        <v>261</v>
      </c>
      <c r="AK2886" t="s">
        <v>261</v>
      </c>
      <c r="AM2886" t="s">
        <v>262</v>
      </c>
      <c r="AN2886" t="s">
        <v>7932</v>
      </c>
    </row>
    <row r="2887" spans="1:40" x14ac:dyDescent="0.35">
      <c r="A2887">
        <v>6758708</v>
      </c>
      <c r="B2887" t="s">
        <v>7933</v>
      </c>
      <c r="C2887" t="str">
        <f>"9783837653748"</f>
        <v>9783837653748</v>
      </c>
      <c r="D2887" t="str">
        <f>"9783839453742"</f>
        <v>9783839453742</v>
      </c>
      <c r="E2887" t="s">
        <v>7532</v>
      </c>
      <c r="F2887" t="s">
        <v>7533</v>
      </c>
      <c r="G2887" s="1">
        <v>44075</v>
      </c>
      <c r="H2887" s="1">
        <v>44567</v>
      </c>
      <c r="I2887" t="s">
        <v>189</v>
      </c>
      <c r="J2887">
        <v>1</v>
      </c>
      <c r="K2887" t="s">
        <v>7565</v>
      </c>
      <c r="L2887" t="s">
        <v>7934</v>
      </c>
    </row>
    <row r="2888" spans="1:40" x14ac:dyDescent="0.35">
      <c r="A2888">
        <v>6758905</v>
      </c>
      <c r="B2888" t="s">
        <v>7935</v>
      </c>
      <c r="C2888" t="str">
        <f>"9783837655674"</f>
        <v>9783837655674</v>
      </c>
      <c r="D2888" t="str">
        <f>"9783839455678"</f>
        <v>9783839455678</v>
      </c>
      <c r="E2888" t="s">
        <v>7532</v>
      </c>
      <c r="F2888" t="s">
        <v>7533</v>
      </c>
      <c r="G2888" s="1">
        <v>44287</v>
      </c>
      <c r="H2888" s="1">
        <v>44567</v>
      </c>
      <c r="I2888" t="s">
        <v>189</v>
      </c>
      <c r="J2888">
        <v>1</v>
      </c>
      <c r="K2888" t="s">
        <v>7545</v>
      </c>
      <c r="L2888" t="s">
        <v>7936</v>
      </c>
    </row>
    <row r="2889" spans="1:40" x14ac:dyDescent="0.35">
      <c r="A2889">
        <v>6759008</v>
      </c>
      <c r="B2889" t="s">
        <v>7937</v>
      </c>
      <c r="C2889" t="str">
        <f>"9783837657616"</f>
        <v>9783837657616</v>
      </c>
      <c r="D2889" t="str">
        <f>"9783839457610"</f>
        <v>9783839457610</v>
      </c>
      <c r="E2889" t="s">
        <v>7532</v>
      </c>
      <c r="F2889" t="s">
        <v>7533</v>
      </c>
      <c r="G2889" s="1">
        <v>44287</v>
      </c>
      <c r="H2889" s="1">
        <v>44567</v>
      </c>
      <c r="I2889" t="s">
        <v>189</v>
      </c>
      <c r="J2889">
        <v>1</v>
      </c>
      <c r="K2889" t="s">
        <v>7652</v>
      </c>
      <c r="L2889" t="s">
        <v>6874</v>
      </c>
      <c r="M2889" t="s">
        <v>239</v>
      </c>
      <c r="Q2889" t="s">
        <v>408</v>
      </c>
      <c r="R2889" t="s">
        <v>261</v>
      </c>
      <c r="S2889" t="s">
        <v>261</v>
      </c>
      <c r="T2889" t="s">
        <v>261</v>
      </c>
      <c r="U2889" t="s">
        <v>262</v>
      </c>
      <c r="V2889" t="s">
        <v>262</v>
      </c>
      <c r="W2889" t="s">
        <v>261</v>
      </c>
      <c r="X2889" t="s">
        <v>262</v>
      </c>
      <c r="Y2889" t="s">
        <v>261</v>
      </c>
      <c r="Z2889" t="s">
        <v>409</v>
      </c>
      <c r="AA2889" t="s">
        <v>409</v>
      </c>
      <c r="AB2889" t="s">
        <v>409</v>
      </c>
      <c r="AC2889" t="s">
        <v>409</v>
      </c>
      <c r="AD2889" t="s">
        <v>261</v>
      </c>
      <c r="AH2889" t="s">
        <v>262</v>
      </c>
      <c r="AI2889" t="s">
        <v>262</v>
      </c>
      <c r="AJ2889" t="s">
        <v>261</v>
      </c>
      <c r="AK2889" t="s">
        <v>261</v>
      </c>
      <c r="AM2889" t="s">
        <v>262</v>
      </c>
      <c r="AN2889" t="s">
        <v>7938</v>
      </c>
    </row>
    <row r="2890" spans="1:40" x14ac:dyDescent="0.35">
      <c r="A2890">
        <v>6759045</v>
      </c>
      <c r="B2890" t="s">
        <v>7939</v>
      </c>
      <c r="C2890" t="str">
        <f>"9783837647808"</f>
        <v>9783837647808</v>
      </c>
      <c r="D2890" t="str">
        <f>"9783839447802"</f>
        <v>9783839447802</v>
      </c>
      <c r="E2890" t="s">
        <v>7532</v>
      </c>
      <c r="F2890" t="s">
        <v>7533</v>
      </c>
      <c r="G2890" s="1">
        <v>44013</v>
      </c>
      <c r="H2890" s="1">
        <v>44567</v>
      </c>
      <c r="I2890" t="s">
        <v>189</v>
      </c>
      <c r="J2890">
        <v>1</v>
      </c>
      <c r="K2890" t="s">
        <v>7940</v>
      </c>
      <c r="L2890" t="s">
        <v>7941</v>
      </c>
      <c r="M2890" t="s">
        <v>239</v>
      </c>
      <c r="Q2890" t="s">
        <v>408</v>
      </c>
      <c r="R2890" t="s">
        <v>261</v>
      </c>
      <c r="S2890" t="s">
        <v>261</v>
      </c>
      <c r="T2890" t="s">
        <v>261</v>
      </c>
      <c r="U2890" t="s">
        <v>262</v>
      </c>
      <c r="V2890" t="s">
        <v>262</v>
      </c>
      <c r="W2890" t="s">
        <v>261</v>
      </c>
      <c r="X2890" t="s">
        <v>262</v>
      </c>
      <c r="Y2890" t="s">
        <v>261</v>
      </c>
      <c r="Z2890" t="s">
        <v>409</v>
      </c>
      <c r="AA2890" t="s">
        <v>409</v>
      </c>
      <c r="AB2890" t="s">
        <v>409</v>
      </c>
      <c r="AC2890" t="s">
        <v>409</v>
      </c>
      <c r="AD2890" t="s">
        <v>261</v>
      </c>
      <c r="AH2890" t="s">
        <v>262</v>
      </c>
      <c r="AI2890" t="s">
        <v>262</v>
      </c>
      <c r="AJ2890" t="s">
        <v>261</v>
      </c>
      <c r="AK2890" t="s">
        <v>261</v>
      </c>
      <c r="AM2890" t="s">
        <v>262</v>
      </c>
      <c r="AN2890" t="s">
        <v>7942</v>
      </c>
    </row>
    <row r="2891" spans="1:40" x14ac:dyDescent="0.35">
      <c r="A2891">
        <v>6759141</v>
      </c>
      <c r="B2891" t="s">
        <v>7943</v>
      </c>
      <c r="C2891" t="str">
        <f>"9783837650181"</f>
        <v>9783837650181</v>
      </c>
      <c r="D2891" t="str">
        <f>"9783839450185"</f>
        <v>9783839450185</v>
      </c>
      <c r="E2891" t="s">
        <v>7532</v>
      </c>
      <c r="F2891" t="s">
        <v>7533</v>
      </c>
      <c r="G2891" s="1">
        <v>44105</v>
      </c>
      <c r="H2891" s="1">
        <v>44567</v>
      </c>
      <c r="I2891" t="s">
        <v>189</v>
      </c>
      <c r="J2891">
        <v>1</v>
      </c>
      <c r="K2891" t="s">
        <v>7916</v>
      </c>
      <c r="L2891" t="s">
        <v>7944</v>
      </c>
    </row>
    <row r="2892" spans="1:40" x14ac:dyDescent="0.35">
      <c r="A2892">
        <v>6759152</v>
      </c>
      <c r="B2892" t="s">
        <v>7945</v>
      </c>
      <c r="C2892" t="str">
        <f>"9783837637830"</f>
        <v>9783837637830</v>
      </c>
      <c r="D2892" t="str">
        <f>"9783839437834"</f>
        <v>9783839437834</v>
      </c>
      <c r="E2892" t="s">
        <v>7532</v>
      </c>
      <c r="F2892" t="s">
        <v>7533</v>
      </c>
      <c r="G2892" s="1">
        <v>43101</v>
      </c>
      <c r="H2892" s="1">
        <v>44567</v>
      </c>
      <c r="I2892" t="s">
        <v>189</v>
      </c>
      <c r="J2892">
        <v>1</v>
      </c>
      <c r="K2892" t="s">
        <v>7940</v>
      </c>
      <c r="L2892" t="s">
        <v>7946</v>
      </c>
      <c r="M2892" t="s">
        <v>239</v>
      </c>
      <c r="Q2892" t="s">
        <v>260</v>
      </c>
      <c r="R2892" t="s">
        <v>261</v>
      </c>
      <c r="S2892" t="s">
        <v>261</v>
      </c>
      <c r="T2892" t="s">
        <v>261</v>
      </c>
      <c r="U2892" t="s">
        <v>262</v>
      </c>
      <c r="V2892" t="s">
        <v>262</v>
      </c>
      <c r="W2892" t="s">
        <v>261</v>
      </c>
      <c r="X2892" t="s">
        <v>262</v>
      </c>
      <c r="Y2892" t="s">
        <v>261</v>
      </c>
      <c r="Z2892" t="s">
        <v>409</v>
      </c>
      <c r="AA2892" t="s">
        <v>409</v>
      </c>
      <c r="AB2892" t="s">
        <v>409</v>
      </c>
      <c r="AC2892" t="s">
        <v>409</v>
      </c>
      <c r="AD2892" t="s">
        <v>261</v>
      </c>
      <c r="AH2892" t="s">
        <v>262</v>
      </c>
      <c r="AI2892" t="s">
        <v>262</v>
      </c>
      <c r="AJ2892" t="s">
        <v>261</v>
      </c>
      <c r="AK2892" t="s">
        <v>261</v>
      </c>
      <c r="AM2892" t="s">
        <v>262</v>
      </c>
      <c r="AN2892" t="s">
        <v>7947</v>
      </c>
    </row>
    <row r="2893" spans="1:40" x14ac:dyDescent="0.35">
      <c r="A2893">
        <v>6759167</v>
      </c>
      <c r="B2893" t="s">
        <v>7948</v>
      </c>
      <c r="C2893" t="str">
        <f>"9783837638059"</f>
        <v>9783837638059</v>
      </c>
      <c r="D2893" t="str">
        <f>"9783839438053"</f>
        <v>9783839438053</v>
      </c>
      <c r="E2893" t="s">
        <v>7532</v>
      </c>
      <c r="F2893" t="s">
        <v>7533</v>
      </c>
      <c r="G2893" s="1">
        <v>43160</v>
      </c>
      <c r="H2893" s="1">
        <v>44567</v>
      </c>
      <c r="I2893" t="s">
        <v>189</v>
      </c>
      <c r="J2893">
        <v>1</v>
      </c>
      <c r="K2893" t="s">
        <v>7949</v>
      </c>
      <c r="L2893" t="s">
        <v>7950</v>
      </c>
    </row>
    <row r="2894" spans="1:40" x14ac:dyDescent="0.35">
      <c r="A2894">
        <v>6759224</v>
      </c>
      <c r="B2894" t="s">
        <v>7951</v>
      </c>
      <c r="C2894" t="str">
        <f>"9783837651089"</f>
        <v>9783837651089</v>
      </c>
      <c r="D2894" t="str">
        <f>"9783839451083"</f>
        <v>9783839451083</v>
      </c>
      <c r="E2894" t="s">
        <v>7532</v>
      </c>
      <c r="F2894" t="s">
        <v>7533</v>
      </c>
      <c r="G2894" s="1">
        <v>44166</v>
      </c>
      <c r="H2894" s="1">
        <v>44567</v>
      </c>
      <c r="I2894" t="s">
        <v>189</v>
      </c>
      <c r="J2894">
        <v>1</v>
      </c>
      <c r="K2894" t="s">
        <v>7704</v>
      </c>
      <c r="L2894" t="s">
        <v>7952</v>
      </c>
    </row>
    <row r="2895" spans="1:40" x14ac:dyDescent="0.35">
      <c r="A2895">
        <v>6759252</v>
      </c>
      <c r="B2895" t="s">
        <v>7953</v>
      </c>
      <c r="C2895" t="str">
        <f>"9783837647518"</f>
        <v>9783837647518</v>
      </c>
      <c r="D2895" t="str">
        <f>"9783839447512"</f>
        <v>9783839447512</v>
      </c>
      <c r="E2895" t="s">
        <v>7532</v>
      </c>
      <c r="F2895" t="s">
        <v>7533</v>
      </c>
      <c r="G2895" s="1">
        <v>44166</v>
      </c>
      <c r="H2895" s="1">
        <v>44567</v>
      </c>
      <c r="I2895" t="s">
        <v>189</v>
      </c>
      <c r="J2895">
        <v>1</v>
      </c>
      <c r="K2895" t="s">
        <v>7587</v>
      </c>
      <c r="L2895" t="s">
        <v>7954</v>
      </c>
    </row>
    <row r="2896" spans="1:40" x14ac:dyDescent="0.35">
      <c r="A2896">
        <v>6759309</v>
      </c>
      <c r="B2896" t="s">
        <v>7955</v>
      </c>
      <c r="C2896" t="str">
        <f>"9783837639162"</f>
        <v>9783837639162</v>
      </c>
      <c r="D2896" t="str">
        <f>"9783839439166"</f>
        <v>9783839439166</v>
      </c>
      <c r="E2896" t="s">
        <v>7532</v>
      </c>
      <c r="F2896" t="s">
        <v>7533</v>
      </c>
      <c r="G2896" s="1">
        <v>43313</v>
      </c>
      <c r="H2896" s="1">
        <v>44567</v>
      </c>
      <c r="I2896" t="s">
        <v>189</v>
      </c>
      <c r="J2896">
        <v>1</v>
      </c>
      <c r="K2896" t="s">
        <v>7956</v>
      </c>
      <c r="L2896" t="s">
        <v>7957</v>
      </c>
    </row>
    <row r="2897" spans="1:40" x14ac:dyDescent="0.35">
      <c r="A2897">
        <v>6759373</v>
      </c>
      <c r="B2897" t="s">
        <v>7958</v>
      </c>
      <c r="C2897" t="str">
        <f>"9783837647730"</f>
        <v>9783837647730</v>
      </c>
      <c r="D2897" t="str">
        <f>"9783839447734"</f>
        <v>9783839447734</v>
      </c>
      <c r="E2897" t="s">
        <v>7532</v>
      </c>
      <c r="F2897" t="s">
        <v>7533</v>
      </c>
      <c r="G2897" s="1">
        <v>44256</v>
      </c>
      <c r="H2897" s="1">
        <v>44567</v>
      </c>
      <c r="I2897" t="s">
        <v>189</v>
      </c>
      <c r="J2897">
        <v>1</v>
      </c>
      <c r="K2897" t="s">
        <v>7959</v>
      </c>
      <c r="L2897" t="s">
        <v>7960</v>
      </c>
    </row>
    <row r="2898" spans="1:40" x14ac:dyDescent="0.35">
      <c r="A2898">
        <v>6759487</v>
      </c>
      <c r="B2898" t="s">
        <v>7961</v>
      </c>
      <c r="C2898" t="str">
        <f>"9783732851768"</f>
        <v>9783732851768</v>
      </c>
      <c r="D2898" t="str">
        <f>"9783839451762"</f>
        <v>9783839451762</v>
      </c>
      <c r="E2898" t="s">
        <v>7532</v>
      </c>
      <c r="F2898" t="s">
        <v>7533</v>
      </c>
      <c r="G2898" s="1">
        <v>43922</v>
      </c>
      <c r="H2898" s="1">
        <v>44567</v>
      </c>
      <c r="I2898" t="s">
        <v>189</v>
      </c>
      <c r="J2898">
        <v>1</v>
      </c>
      <c r="K2898" t="s">
        <v>7638</v>
      </c>
      <c r="L2898" t="s">
        <v>7962</v>
      </c>
      <c r="M2898" t="s">
        <v>199</v>
      </c>
      <c r="Q2898" t="s">
        <v>408</v>
      </c>
      <c r="R2898" t="s">
        <v>261</v>
      </c>
      <c r="S2898" t="s">
        <v>261</v>
      </c>
      <c r="T2898" t="s">
        <v>261</v>
      </c>
      <c r="U2898" t="s">
        <v>262</v>
      </c>
      <c r="V2898" t="s">
        <v>262</v>
      </c>
      <c r="W2898" t="s">
        <v>261</v>
      </c>
      <c r="X2898" t="s">
        <v>262</v>
      </c>
      <c r="Y2898" t="s">
        <v>261</v>
      </c>
      <c r="Z2898" t="s">
        <v>409</v>
      </c>
      <c r="AA2898" t="s">
        <v>409</v>
      </c>
      <c r="AB2898" t="s">
        <v>409</v>
      </c>
      <c r="AC2898" t="s">
        <v>409</v>
      </c>
      <c r="AD2898" t="s">
        <v>261</v>
      </c>
      <c r="AH2898" t="s">
        <v>262</v>
      </c>
      <c r="AI2898" t="s">
        <v>262</v>
      </c>
      <c r="AJ2898" t="s">
        <v>261</v>
      </c>
      <c r="AK2898" t="s">
        <v>261</v>
      </c>
      <c r="AM2898" t="s">
        <v>262</v>
      </c>
      <c r="AN2898" t="s">
        <v>7963</v>
      </c>
    </row>
    <row r="2899" spans="1:40" x14ac:dyDescent="0.35">
      <c r="A2899">
        <v>6759671</v>
      </c>
      <c r="B2899" t="s">
        <v>7964</v>
      </c>
      <c r="C2899" t="str">
        <f>"9783837657678"</f>
        <v>9783837657678</v>
      </c>
      <c r="D2899" t="str">
        <f>"9783839457672"</f>
        <v>9783839457672</v>
      </c>
      <c r="E2899" t="s">
        <v>7532</v>
      </c>
      <c r="F2899" t="s">
        <v>7533</v>
      </c>
      <c r="G2899" s="1">
        <v>44287</v>
      </c>
      <c r="H2899" s="1">
        <v>44567</v>
      </c>
      <c r="I2899" t="s">
        <v>189</v>
      </c>
      <c r="J2899">
        <v>1</v>
      </c>
      <c r="K2899" t="s">
        <v>7652</v>
      </c>
      <c r="L2899" t="s">
        <v>7965</v>
      </c>
      <c r="M2899" t="s">
        <v>210</v>
      </c>
      <c r="Q2899" t="s">
        <v>408</v>
      </c>
      <c r="R2899" t="s">
        <v>261</v>
      </c>
      <c r="S2899" t="s">
        <v>261</v>
      </c>
      <c r="T2899" t="s">
        <v>261</v>
      </c>
      <c r="U2899" t="s">
        <v>262</v>
      </c>
      <c r="V2899" t="s">
        <v>262</v>
      </c>
      <c r="W2899" t="s">
        <v>261</v>
      </c>
      <c r="X2899" t="s">
        <v>262</v>
      </c>
      <c r="Y2899" t="s">
        <v>261</v>
      </c>
      <c r="Z2899" t="s">
        <v>409</v>
      </c>
      <c r="AA2899" t="s">
        <v>409</v>
      </c>
      <c r="AB2899" t="s">
        <v>409</v>
      </c>
      <c r="AC2899" t="s">
        <v>409</v>
      </c>
      <c r="AD2899" t="s">
        <v>261</v>
      </c>
      <c r="AH2899" t="s">
        <v>262</v>
      </c>
      <c r="AI2899" t="s">
        <v>262</v>
      </c>
      <c r="AJ2899" t="s">
        <v>261</v>
      </c>
      <c r="AK2899" t="s">
        <v>261</v>
      </c>
      <c r="AM2899" t="s">
        <v>262</v>
      </c>
      <c r="AN2899" t="s">
        <v>7966</v>
      </c>
    </row>
    <row r="2900" spans="1:40" x14ac:dyDescent="0.35">
      <c r="A2900">
        <v>6759774</v>
      </c>
      <c r="B2900" t="s">
        <v>7967</v>
      </c>
      <c r="C2900" t="str">
        <f>"9783837653694"</f>
        <v>9783837653694</v>
      </c>
      <c r="D2900" t="str">
        <f>"9783839453698"</f>
        <v>9783839453698</v>
      </c>
      <c r="E2900" t="s">
        <v>7532</v>
      </c>
      <c r="F2900" t="s">
        <v>7533</v>
      </c>
      <c r="G2900" s="1">
        <v>44105</v>
      </c>
      <c r="H2900" s="1">
        <v>44567</v>
      </c>
      <c r="I2900" t="s">
        <v>189</v>
      </c>
      <c r="J2900">
        <v>1</v>
      </c>
      <c r="K2900" t="s">
        <v>7968</v>
      </c>
      <c r="L2900" t="s">
        <v>7969</v>
      </c>
      <c r="M2900" t="s">
        <v>329</v>
      </c>
      <c r="Q2900" t="s">
        <v>408</v>
      </c>
      <c r="R2900" t="s">
        <v>261</v>
      </c>
      <c r="S2900" t="s">
        <v>261</v>
      </c>
      <c r="T2900" t="s">
        <v>261</v>
      </c>
      <c r="U2900" t="s">
        <v>262</v>
      </c>
      <c r="V2900" t="s">
        <v>262</v>
      </c>
      <c r="W2900" t="s">
        <v>261</v>
      </c>
      <c r="X2900" t="s">
        <v>262</v>
      </c>
      <c r="Y2900" t="s">
        <v>261</v>
      </c>
      <c r="Z2900" t="s">
        <v>409</v>
      </c>
      <c r="AA2900" t="s">
        <v>409</v>
      </c>
      <c r="AB2900" t="s">
        <v>409</v>
      </c>
      <c r="AC2900" t="s">
        <v>409</v>
      </c>
      <c r="AD2900" t="s">
        <v>261</v>
      </c>
      <c r="AH2900" t="s">
        <v>262</v>
      </c>
      <c r="AI2900" t="s">
        <v>262</v>
      </c>
      <c r="AJ2900" t="s">
        <v>261</v>
      </c>
      <c r="AK2900" t="s">
        <v>261</v>
      </c>
      <c r="AM2900" t="s">
        <v>262</v>
      </c>
      <c r="AN2900" t="s">
        <v>7970</v>
      </c>
    </row>
    <row r="2901" spans="1:40" x14ac:dyDescent="0.35">
      <c r="A2901">
        <v>6759811</v>
      </c>
      <c r="B2901" t="s">
        <v>7971</v>
      </c>
      <c r="C2901" t="str">
        <f>"9783837647259"</f>
        <v>9783837647259</v>
      </c>
      <c r="D2901" t="str">
        <f>"9783839447253"</f>
        <v>9783839447253</v>
      </c>
      <c r="E2901" t="s">
        <v>7532</v>
      </c>
      <c r="F2901" t="s">
        <v>7533</v>
      </c>
      <c r="G2901" s="1">
        <v>43831</v>
      </c>
      <c r="H2901" s="1">
        <v>44567</v>
      </c>
      <c r="I2901" t="s">
        <v>189</v>
      </c>
      <c r="J2901">
        <v>1</v>
      </c>
      <c r="K2901" t="s">
        <v>7538</v>
      </c>
      <c r="L2901" t="s">
        <v>7972</v>
      </c>
    </row>
    <row r="2902" spans="1:40" x14ac:dyDescent="0.35">
      <c r="A2902">
        <v>6759838</v>
      </c>
      <c r="B2902" t="s">
        <v>7973</v>
      </c>
      <c r="C2902" t="str">
        <f>"9783837656510"</f>
        <v>9783837656510</v>
      </c>
      <c r="D2902" t="str">
        <f>"9783839456514"</f>
        <v>9783839456514</v>
      </c>
      <c r="E2902" t="s">
        <v>7532</v>
      </c>
      <c r="F2902" t="s">
        <v>7533</v>
      </c>
      <c r="G2902" s="1">
        <v>44287</v>
      </c>
      <c r="H2902" s="1">
        <v>44567</v>
      </c>
      <c r="I2902" t="s">
        <v>189</v>
      </c>
      <c r="J2902">
        <v>1</v>
      </c>
      <c r="K2902" t="s">
        <v>7565</v>
      </c>
      <c r="L2902" t="s">
        <v>7927</v>
      </c>
      <c r="M2902" t="s">
        <v>323</v>
      </c>
      <c r="Q2902" t="s">
        <v>408</v>
      </c>
      <c r="R2902" t="s">
        <v>261</v>
      </c>
      <c r="S2902" t="s">
        <v>261</v>
      </c>
      <c r="T2902" t="s">
        <v>261</v>
      </c>
      <c r="U2902" t="s">
        <v>262</v>
      </c>
      <c r="V2902" t="s">
        <v>262</v>
      </c>
      <c r="W2902" t="s">
        <v>261</v>
      </c>
      <c r="X2902" t="s">
        <v>262</v>
      </c>
      <c r="Y2902" t="s">
        <v>261</v>
      </c>
      <c r="Z2902" t="s">
        <v>409</v>
      </c>
      <c r="AA2902" t="s">
        <v>409</v>
      </c>
      <c r="AB2902" t="s">
        <v>409</v>
      </c>
      <c r="AC2902" t="s">
        <v>409</v>
      </c>
      <c r="AD2902" t="s">
        <v>261</v>
      </c>
      <c r="AH2902" t="s">
        <v>262</v>
      </c>
      <c r="AI2902" t="s">
        <v>262</v>
      </c>
      <c r="AJ2902" t="s">
        <v>261</v>
      </c>
      <c r="AK2902" t="s">
        <v>261</v>
      </c>
      <c r="AM2902" t="s">
        <v>262</v>
      </c>
      <c r="AN2902" t="s">
        <v>7974</v>
      </c>
    </row>
    <row r="2903" spans="1:40" x14ac:dyDescent="0.35">
      <c r="A2903">
        <v>6759844</v>
      </c>
      <c r="B2903" t="s">
        <v>7975</v>
      </c>
      <c r="C2903" t="str">
        <f>"9783837643282"</f>
        <v>9783837643282</v>
      </c>
      <c r="D2903" t="str">
        <f>"9783839443286"</f>
        <v>9783839443286</v>
      </c>
      <c r="E2903" t="s">
        <v>7532</v>
      </c>
      <c r="F2903" t="s">
        <v>7533</v>
      </c>
      <c r="G2903" s="1">
        <v>43313</v>
      </c>
      <c r="H2903" s="1">
        <v>44567</v>
      </c>
      <c r="I2903" t="s">
        <v>189</v>
      </c>
      <c r="J2903">
        <v>1</v>
      </c>
      <c r="K2903" t="s">
        <v>7565</v>
      </c>
      <c r="L2903" t="s">
        <v>7976</v>
      </c>
      <c r="M2903" t="s">
        <v>323</v>
      </c>
      <c r="Q2903" t="s">
        <v>408</v>
      </c>
      <c r="R2903" t="s">
        <v>261</v>
      </c>
      <c r="S2903" t="s">
        <v>261</v>
      </c>
      <c r="T2903" t="s">
        <v>261</v>
      </c>
      <c r="U2903" t="s">
        <v>262</v>
      </c>
      <c r="V2903" t="s">
        <v>262</v>
      </c>
      <c r="W2903" t="s">
        <v>261</v>
      </c>
      <c r="X2903" t="s">
        <v>262</v>
      </c>
      <c r="Y2903" t="s">
        <v>261</v>
      </c>
      <c r="Z2903" t="s">
        <v>409</v>
      </c>
      <c r="AA2903" t="s">
        <v>409</v>
      </c>
      <c r="AB2903" t="s">
        <v>409</v>
      </c>
      <c r="AC2903" t="s">
        <v>409</v>
      </c>
      <c r="AD2903" t="s">
        <v>261</v>
      </c>
      <c r="AH2903" t="s">
        <v>262</v>
      </c>
      <c r="AI2903" t="s">
        <v>262</v>
      </c>
      <c r="AJ2903" t="s">
        <v>261</v>
      </c>
      <c r="AK2903" t="s">
        <v>261</v>
      </c>
      <c r="AM2903" t="s">
        <v>262</v>
      </c>
      <c r="AN2903" t="s">
        <v>7977</v>
      </c>
    </row>
    <row r="2904" spans="1:40" x14ac:dyDescent="0.35">
      <c r="A2904">
        <v>6759891</v>
      </c>
      <c r="B2904" t="s">
        <v>7978</v>
      </c>
      <c r="C2904" t="str">
        <f>"9783837655896"</f>
        <v>9783837655896</v>
      </c>
      <c r="D2904" t="str">
        <f>"9783839455890"</f>
        <v>9783839455890</v>
      </c>
      <c r="E2904" t="s">
        <v>7532</v>
      </c>
      <c r="F2904" t="s">
        <v>7533</v>
      </c>
      <c r="G2904" s="1">
        <v>44197</v>
      </c>
      <c r="H2904" s="1">
        <v>44567</v>
      </c>
      <c r="I2904" t="s">
        <v>189</v>
      </c>
      <c r="J2904">
        <v>1</v>
      </c>
      <c r="K2904" t="s">
        <v>7587</v>
      </c>
      <c r="L2904" t="s">
        <v>7979</v>
      </c>
      <c r="M2904" t="s">
        <v>329</v>
      </c>
      <c r="Q2904" t="s">
        <v>408</v>
      </c>
      <c r="R2904" t="s">
        <v>261</v>
      </c>
      <c r="S2904" t="s">
        <v>261</v>
      </c>
      <c r="T2904" t="s">
        <v>261</v>
      </c>
      <c r="U2904" t="s">
        <v>262</v>
      </c>
      <c r="V2904" t="s">
        <v>262</v>
      </c>
      <c r="W2904" t="s">
        <v>261</v>
      </c>
      <c r="X2904" t="s">
        <v>262</v>
      </c>
      <c r="Y2904" t="s">
        <v>261</v>
      </c>
      <c r="Z2904" t="s">
        <v>409</v>
      </c>
      <c r="AA2904" t="s">
        <v>409</v>
      </c>
      <c r="AB2904" t="s">
        <v>409</v>
      </c>
      <c r="AC2904" t="s">
        <v>409</v>
      </c>
      <c r="AD2904" t="s">
        <v>261</v>
      </c>
      <c r="AH2904" t="s">
        <v>262</v>
      </c>
      <c r="AI2904" t="s">
        <v>262</v>
      </c>
      <c r="AJ2904" t="s">
        <v>261</v>
      </c>
      <c r="AK2904" t="s">
        <v>261</v>
      </c>
      <c r="AM2904" t="s">
        <v>262</v>
      </c>
      <c r="AN2904" t="s">
        <v>7980</v>
      </c>
    </row>
    <row r="2905" spans="1:40" x14ac:dyDescent="0.35">
      <c r="A2905">
        <v>6759898</v>
      </c>
      <c r="B2905" t="s">
        <v>7981</v>
      </c>
      <c r="C2905" t="str">
        <f>"9783732839230"</f>
        <v>9783732839230</v>
      </c>
      <c r="D2905" t="str">
        <f>"9783839439234"</f>
        <v>9783839439234</v>
      </c>
      <c r="E2905" t="s">
        <v>7532</v>
      </c>
      <c r="F2905" t="s">
        <v>7533</v>
      </c>
      <c r="G2905" s="1">
        <v>43160</v>
      </c>
      <c r="H2905" s="1">
        <v>44567</v>
      </c>
      <c r="I2905" t="s">
        <v>189</v>
      </c>
      <c r="J2905">
        <v>1</v>
      </c>
      <c r="K2905" t="s">
        <v>7545</v>
      </c>
      <c r="L2905" t="s">
        <v>7982</v>
      </c>
      <c r="M2905" t="s">
        <v>1687</v>
      </c>
      <c r="O2905" t="s">
        <v>7983</v>
      </c>
      <c r="Q2905" t="s">
        <v>260</v>
      </c>
      <c r="R2905" t="s">
        <v>261</v>
      </c>
      <c r="S2905" t="s">
        <v>261</v>
      </c>
      <c r="T2905" t="s">
        <v>261</v>
      </c>
      <c r="U2905" t="s">
        <v>262</v>
      </c>
      <c r="V2905" t="s">
        <v>262</v>
      </c>
      <c r="W2905" t="s">
        <v>261</v>
      </c>
      <c r="X2905" t="s">
        <v>262</v>
      </c>
      <c r="Y2905" t="s">
        <v>261</v>
      </c>
      <c r="Z2905" t="s">
        <v>409</v>
      </c>
      <c r="AA2905" t="s">
        <v>409</v>
      </c>
      <c r="AB2905" t="s">
        <v>409</v>
      </c>
      <c r="AC2905" t="s">
        <v>409</v>
      </c>
      <c r="AD2905" t="s">
        <v>261</v>
      </c>
      <c r="AH2905" t="s">
        <v>262</v>
      </c>
      <c r="AI2905" t="s">
        <v>262</v>
      </c>
      <c r="AJ2905" t="s">
        <v>261</v>
      </c>
      <c r="AK2905" t="s">
        <v>261</v>
      </c>
      <c r="AM2905" t="s">
        <v>262</v>
      </c>
      <c r="AN2905" t="s">
        <v>7984</v>
      </c>
    </row>
    <row r="2906" spans="1:40" x14ac:dyDescent="0.35">
      <c r="A2906">
        <v>6759904</v>
      </c>
      <c r="B2906" t="s">
        <v>7985</v>
      </c>
      <c r="C2906" t="str">
        <f>"9783732845507"</f>
        <v>9783732845507</v>
      </c>
      <c r="D2906" t="str">
        <f>"9783839445501"</f>
        <v>9783839445501</v>
      </c>
      <c r="E2906" t="s">
        <v>7532</v>
      </c>
      <c r="F2906" t="s">
        <v>7533</v>
      </c>
      <c r="G2906" s="1">
        <v>44317</v>
      </c>
      <c r="H2906" s="1">
        <v>44567</v>
      </c>
      <c r="I2906" t="s">
        <v>189</v>
      </c>
      <c r="J2906">
        <v>1</v>
      </c>
      <c r="K2906" t="s">
        <v>7553</v>
      </c>
      <c r="L2906" t="s">
        <v>7986</v>
      </c>
      <c r="M2906" t="s">
        <v>210</v>
      </c>
      <c r="Q2906" t="s">
        <v>260</v>
      </c>
      <c r="R2906" t="s">
        <v>261</v>
      </c>
      <c r="S2906" t="s">
        <v>261</v>
      </c>
      <c r="T2906" t="s">
        <v>261</v>
      </c>
      <c r="U2906" t="s">
        <v>262</v>
      </c>
      <c r="V2906" t="s">
        <v>262</v>
      </c>
      <c r="W2906" t="s">
        <v>261</v>
      </c>
      <c r="X2906" t="s">
        <v>262</v>
      </c>
      <c r="Y2906" t="s">
        <v>261</v>
      </c>
      <c r="Z2906" t="s">
        <v>409</v>
      </c>
      <c r="AA2906" t="s">
        <v>409</v>
      </c>
      <c r="AB2906" t="s">
        <v>409</v>
      </c>
      <c r="AC2906" t="s">
        <v>409</v>
      </c>
      <c r="AD2906" t="s">
        <v>261</v>
      </c>
      <c r="AH2906" t="s">
        <v>262</v>
      </c>
      <c r="AI2906" t="s">
        <v>262</v>
      </c>
      <c r="AJ2906" t="s">
        <v>261</v>
      </c>
      <c r="AK2906" t="s">
        <v>261</v>
      </c>
      <c r="AM2906" t="s">
        <v>262</v>
      </c>
      <c r="AN2906" t="s">
        <v>7987</v>
      </c>
    </row>
    <row r="2907" spans="1:40" x14ac:dyDescent="0.35">
      <c r="A2907">
        <v>6759913</v>
      </c>
      <c r="B2907" t="s">
        <v>7699</v>
      </c>
      <c r="C2907" t="str">
        <f>"9783837651997"</f>
        <v>9783837651997</v>
      </c>
      <c r="D2907" t="str">
        <f>"9783839451991"</f>
        <v>9783839451991</v>
      </c>
      <c r="E2907" t="s">
        <v>7532</v>
      </c>
      <c r="F2907" t="s">
        <v>7533</v>
      </c>
      <c r="G2907" s="1">
        <v>44256</v>
      </c>
      <c r="H2907" s="1">
        <v>44567</v>
      </c>
      <c r="I2907" t="s">
        <v>189</v>
      </c>
      <c r="J2907">
        <v>1</v>
      </c>
      <c r="K2907" t="s">
        <v>7699</v>
      </c>
      <c r="L2907" t="s">
        <v>7988</v>
      </c>
      <c r="M2907" t="s">
        <v>329</v>
      </c>
      <c r="Q2907" t="s">
        <v>408</v>
      </c>
      <c r="R2907" t="s">
        <v>261</v>
      </c>
      <c r="S2907" t="s">
        <v>261</v>
      </c>
      <c r="T2907" t="s">
        <v>261</v>
      </c>
      <c r="U2907" t="s">
        <v>262</v>
      </c>
      <c r="V2907" t="s">
        <v>262</v>
      </c>
      <c r="W2907" t="s">
        <v>261</v>
      </c>
      <c r="X2907" t="s">
        <v>262</v>
      </c>
      <c r="Y2907" t="s">
        <v>261</v>
      </c>
      <c r="Z2907" t="s">
        <v>409</v>
      </c>
      <c r="AA2907" t="s">
        <v>409</v>
      </c>
      <c r="AB2907" t="s">
        <v>409</v>
      </c>
      <c r="AC2907" t="s">
        <v>409</v>
      </c>
      <c r="AD2907" t="s">
        <v>261</v>
      </c>
      <c r="AH2907" t="s">
        <v>262</v>
      </c>
      <c r="AI2907" t="s">
        <v>262</v>
      </c>
      <c r="AJ2907" t="s">
        <v>261</v>
      </c>
      <c r="AK2907" t="s">
        <v>261</v>
      </c>
      <c r="AM2907" t="s">
        <v>262</v>
      </c>
      <c r="AN2907" t="s">
        <v>7989</v>
      </c>
    </row>
    <row r="2908" spans="1:40" x14ac:dyDescent="0.35">
      <c r="A2908">
        <v>6759940</v>
      </c>
      <c r="B2908" t="s">
        <v>7990</v>
      </c>
      <c r="C2908" t="str">
        <f>"9783837651652"</f>
        <v>9783837651652</v>
      </c>
      <c r="D2908" t="str">
        <f>"9783839451656"</f>
        <v>9783839451656</v>
      </c>
      <c r="E2908" t="s">
        <v>7532</v>
      </c>
      <c r="F2908" t="s">
        <v>7533</v>
      </c>
      <c r="G2908" s="1">
        <v>43983</v>
      </c>
      <c r="H2908" s="1">
        <v>44567</v>
      </c>
      <c r="I2908" t="s">
        <v>189</v>
      </c>
      <c r="J2908">
        <v>1</v>
      </c>
      <c r="K2908" t="s">
        <v>7553</v>
      </c>
      <c r="L2908" t="s">
        <v>93</v>
      </c>
    </row>
    <row r="2909" spans="1:40" x14ac:dyDescent="0.35">
      <c r="A2909">
        <v>6759952</v>
      </c>
      <c r="B2909" t="s">
        <v>7991</v>
      </c>
      <c r="C2909" t="str">
        <f>"9783837655308"</f>
        <v>9783837655308</v>
      </c>
      <c r="D2909" t="str">
        <f>"9783839455302"</f>
        <v>9783839455302</v>
      </c>
      <c r="E2909" t="s">
        <v>7532</v>
      </c>
      <c r="F2909" t="s">
        <v>7533</v>
      </c>
      <c r="G2909" s="1">
        <v>44197</v>
      </c>
      <c r="H2909" s="1">
        <v>44567</v>
      </c>
      <c r="I2909" t="s">
        <v>189</v>
      </c>
      <c r="J2909">
        <v>1</v>
      </c>
      <c r="K2909" t="s">
        <v>7534</v>
      </c>
      <c r="L2909" t="s">
        <v>7992</v>
      </c>
      <c r="M2909" t="s">
        <v>219</v>
      </c>
      <c r="Q2909" t="s">
        <v>408</v>
      </c>
      <c r="R2909" t="s">
        <v>261</v>
      </c>
      <c r="S2909" t="s">
        <v>261</v>
      </c>
      <c r="T2909" t="s">
        <v>261</v>
      </c>
      <c r="U2909" t="s">
        <v>262</v>
      </c>
      <c r="V2909" t="s">
        <v>262</v>
      </c>
      <c r="W2909" t="s">
        <v>261</v>
      </c>
      <c r="X2909" t="s">
        <v>262</v>
      </c>
      <c r="Y2909" t="s">
        <v>261</v>
      </c>
      <c r="Z2909" t="s">
        <v>409</v>
      </c>
      <c r="AA2909" t="s">
        <v>409</v>
      </c>
      <c r="AB2909" t="s">
        <v>409</v>
      </c>
      <c r="AC2909" t="s">
        <v>409</v>
      </c>
      <c r="AD2909" t="s">
        <v>261</v>
      </c>
      <c r="AH2909" t="s">
        <v>262</v>
      </c>
      <c r="AI2909" t="s">
        <v>262</v>
      </c>
      <c r="AJ2909" t="s">
        <v>261</v>
      </c>
      <c r="AK2909" t="s">
        <v>261</v>
      </c>
      <c r="AM2909" t="s">
        <v>262</v>
      </c>
      <c r="AN2909" t="s">
        <v>7993</v>
      </c>
    </row>
    <row r="2910" spans="1:40" x14ac:dyDescent="0.35">
      <c r="A2910">
        <v>6760045</v>
      </c>
      <c r="B2910" t="s">
        <v>7994</v>
      </c>
      <c r="C2910" t="str">
        <f>"9783732851836"</f>
        <v>9783732851836</v>
      </c>
      <c r="D2910" t="str">
        <f>"9783839451830"</f>
        <v>9783839451830</v>
      </c>
      <c r="E2910" t="s">
        <v>7532</v>
      </c>
      <c r="F2910" t="s">
        <v>7533</v>
      </c>
      <c r="G2910" s="1">
        <v>43891</v>
      </c>
      <c r="H2910" s="1">
        <v>44567</v>
      </c>
      <c r="I2910" t="s">
        <v>189</v>
      </c>
      <c r="J2910">
        <v>1</v>
      </c>
      <c r="K2910" t="s">
        <v>7579</v>
      </c>
      <c r="L2910" t="s">
        <v>7995</v>
      </c>
      <c r="M2910" t="s">
        <v>210</v>
      </c>
      <c r="Q2910" t="s">
        <v>260</v>
      </c>
      <c r="R2910" t="s">
        <v>261</v>
      </c>
      <c r="S2910" t="s">
        <v>261</v>
      </c>
      <c r="T2910" t="s">
        <v>261</v>
      </c>
      <c r="U2910" t="s">
        <v>262</v>
      </c>
      <c r="V2910" t="s">
        <v>262</v>
      </c>
      <c r="W2910" t="s">
        <v>261</v>
      </c>
      <c r="X2910" t="s">
        <v>262</v>
      </c>
      <c r="Y2910" t="s">
        <v>261</v>
      </c>
      <c r="Z2910" t="s">
        <v>409</v>
      </c>
      <c r="AA2910" t="s">
        <v>409</v>
      </c>
      <c r="AB2910" t="s">
        <v>409</v>
      </c>
      <c r="AC2910" t="s">
        <v>409</v>
      </c>
      <c r="AD2910" t="s">
        <v>261</v>
      </c>
      <c r="AH2910" t="s">
        <v>262</v>
      </c>
      <c r="AI2910" t="s">
        <v>262</v>
      </c>
      <c r="AJ2910" t="s">
        <v>261</v>
      </c>
      <c r="AK2910" t="s">
        <v>261</v>
      </c>
      <c r="AM2910" t="s">
        <v>262</v>
      </c>
      <c r="AN2910" t="s">
        <v>7996</v>
      </c>
    </row>
    <row r="2911" spans="1:40" x14ac:dyDescent="0.35">
      <c r="A2911">
        <v>6760093</v>
      </c>
      <c r="B2911" t="s">
        <v>7997</v>
      </c>
      <c r="C2911" t="str">
        <f>"9783837654240"</f>
        <v>9783837654240</v>
      </c>
      <c r="D2911" t="str">
        <f>"9783839454244"</f>
        <v>9783839454244</v>
      </c>
      <c r="E2911" t="s">
        <v>7532</v>
      </c>
      <c r="F2911" t="s">
        <v>7533</v>
      </c>
      <c r="G2911" s="1">
        <v>44197</v>
      </c>
      <c r="H2911" s="1">
        <v>44567</v>
      </c>
      <c r="I2911" t="s">
        <v>189</v>
      </c>
      <c r="J2911">
        <v>1</v>
      </c>
      <c r="K2911" t="s">
        <v>7553</v>
      </c>
      <c r="L2911" t="s">
        <v>7998</v>
      </c>
      <c r="M2911" t="s">
        <v>329</v>
      </c>
      <c r="Q2911" t="s">
        <v>260</v>
      </c>
      <c r="R2911" t="s">
        <v>261</v>
      </c>
      <c r="S2911" t="s">
        <v>261</v>
      </c>
      <c r="T2911" t="s">
        <v>261</v>
      </c>
      <c r="U2911" t="s">
        <v>262</v>
      </c>
      <c r="V2911" t="s">
        <v>262</v>
      </c>
      <c r="W2911" t="s">
        <v>261</v>
      </c>
      <c r="X2911" t="s">
        <v>262</v>
      </c>
      <c r="Y2911" t="s">
        <v>261</v>
      </c>
      <c r="Z2911" t="s">
        <v>409</v>
      </c>
      <c r="AA2911" t="s">
        <v>409</v>
      </c>
      <c r="AB2911" t="s">
        <v>409</v>
      </c>
      <c r="AC2911" t="s">
        <v>409</v>
      </c>
      <c r="AD2911" t="s">
        <v>261</v>
      </c>
      <c r="AH2911" t="s">
        <v>262</v>
      </c>
      <c r="AI2911" t="s">
        <v>262</v>
      </c>
      <c r="AJ2911" t="s">
        <v>261</v>
      </c>
      <c r="AK2911" t="s">
        <v>261</v>
      </c>
      <c r="AM2911" t="s">
        <v>262</v>
      </c>
      <c r="AN2911" t="s">
        <v>7999</v>
      </c>
    </row>
    <row r="2912" spans="1:40" x14ac:dyDescent="0.35">
      <c r="A2912">
        <v>6760129</v>
      </c>
      <c r="B2912" t="s">
        <v>8000</v>
      </c>
      <c r="C2912" t="str">
        <f>"9783732853151"</f>
        <v>9783732853151</v>
      </c>
      <c r="D2912" t="str">
        <f>"9783839453155"</f>
        <v>9783839453155</v>
      </c>
      <c r="E2912" t="s">
        <v>7532</v>
      </c>
      <c r="F2912" t="s">
        <v>7533</v>
      </c>
      <c r="G2912" s="1">
        <v>44197</v>
      </c>
      <c r="H2912" s="1">
        <v>44567</v>
      </c>
      <c r="I2912" t="s">
        <v>189</v>
      </c>
      <c r="J2912">
        <v>1</v>
      </c>
      <c r="K2912" t="s">
        <v>7553</v>
      </c>
      <c r="L2912" t="s">
        <v>8001</v>
      </c>
    </row>
    <row r="2913" spans="1:40" x14ac:dyDescent="0.35">
      <c r="A2913">
        <v>6760392</v>
      </c>
      <c r="B2913" t="s">
        <v>8002</v>
      </c>
      <c r="C2913" t="str">
        <f>"9783837651713"</f>
        <v>9783837651713</v>
      </c>
      <c r="D2913" t="str">
        <f>"9783839451717"</f>
        <v>9783839451717</v>
      </c>
      <c r="E2913" t="s">
        <v>7532</v>
      </c>
      <c r="F2913" t="s">
        <v>7533</v>
      </c>
      <c r="G2913" s="1">
        <v>44013</v>
      </c>
      <c r="H2913" s="1">
        <v>44567</v>
      </c>
      <c r="I2913" t="s">
        <v>189</v>
      </c>
      <c r="J2913">
        <v>1</v>
      </c>
      <c r="K2913" t="s">
        <v>8003</v>
      </c>
      <c r="L2913" t="s">
        <v>8004</v>
      </c>
    </row>
    <row r="2914" spans="1:40" x14ac:dyDescent="0.35">
      <c r="A2914">
        <v>6760501</v>
      </c>
      <c r="B2914" t="s">
        <v>8005</v>
      </c>
      <c r="C2914" t="str">
        <f>"9783732850693"</f>
        <v>9783732850693</v>
      </c>
      <c r="D2914" t="str">
        <f>"9783839450697"</f>
        <v>9783839450697</v>
      </c>
      <c r="E2914" t="s">
        <v>7532</v>
      </c>
      <c r="F2914" t="s">
        <v>7533</v>
      </c>
      <c r="G2914" s="1">
        <v>44075</v>
      </c>
      <c r="H2914" s="1">
        <v>44567</v>
      </c>
      <c r="I2914" t="s">
        <v>189</v>
      </c>
      <c r="J2914">
        <v>1</v>
      </c>
      <c r="K2914" t="s">
        <v>7553</v>
      </c>
      <c r="L2914" t="s">
        <v>8006</v>
      </c>
    </row>
    <row r="2915" spans="1:40" x14ac:dyDescent="0.35">
      <c r="A2915">
        <v>6760536</v>
      </c>
      <c r="B2915" t="s">
        <v>8007</v>
      </c>
      <c r="C2915" t="str">
        <f>"9783837641325"</f>
        <v>9783837641325</v>
      </c>
      <c r="D2915" t="str">
        <f>"9783839441329"</f>
        <v>9783839441329</v>
      </c>
      <c r="E2915" t="s">
        <v>7532</v>
      </c>
      <c r="F2915" t="s">
        <v>7533</v>
      </c>
      <c r="G2915" s="1">
        <v>43405</v>
      </c>
      <c r="H2915" s="1">
        <v>44567</v>
      </c>
      <c r="I2915" t="s">
        <v>189</v>
      </c>
      <c r="J2915">
        <v>1</v>
      </c>
      <c r="K2915" t="s">
        <v>7587</v>
      </c>
      <c r="L2915" t="s">
        <v>8008</v>
      </c>
    </row>
    <row r="2916" spans="1:40" x14ac:dyDescent="0.35">
      <c r="A2916">
        <v>6760607</v>
      </c>
      <c r="B2916" t="s">
        <v>8009</v>
      </c>
      <c r="C2916" t="str">
        <f>"9783732851683"</f>
        <v>9783732851683</v>
      </c>
      <c r="D2916" t="str">
        <f>"9783839451687"</f>
        <v>9783839451687</v>
      </c>
      <c r="E2916" t="s">
        <v>7532</v>
      </c>
      <c r="F2916" t="s">
        <v>7533</v>
      </c>
      <c r="G2916" s="1">
        <v>43922</v>
      </c>
      <c r="H2916" s="1">
        <v>44567</v>
      </c>
      <c r="I2916" t="s">
        <v>189</v>
      </c>
      <c r="J2916">
        <v>1</v>
      </c>
      <c r="K2916" t="s">
        <v>7611</v>
      </c>
      <c r="L2916" t="s">
        <v>8010</v>
      </c>
      <c r="M2916" t="s">
        <v>219</v>
      </c>
      <c r="N2916" t="s">
        <v>8011</v>
      </c>
      <c r="Q2916" t="s">
        <v>408</v>
      </c>
      <c r="R2916" t="s">
        <v>261</v>
      </c>
      <c r="S2916" t="s">
        <v>261</v>
      </c>
      <c r="T2916" t="s">
        <v>261</v>
      </c>
      <c r="U2916" t="s">
        <v>262</v>
      </c>
      <c r="V2916" t="s">
        <v>262</v>
      </c>
      <c r="W2916" t="s">
        <v>261</v>
      </c>
      <c r="X2916" t="s">
        <v>262</v>
      </c>
      <c r="Y2916" t="s">
        <v>261</v>
      </c>
      <c r="Z2916" t="s">
        <v>409</v>
      </c>
      <c r="AA2916" t="s">
        <v>409</v>
      </c>
      <c r="AB2916" t="s">
        <v>409</v>
      </c>
      <c r="AC2916" t="s">
        <v>409</v>
      </c>
      <c r="AD2916" t="s">
        <v>261</v>
      </c>
      <c r="AH2916" t="s">
        <v>262</v>
      </c>
      <c r="AI2916" t="s">
        <v>262</v>
      </c>
      <c r="AJ2916" t="s">
        <v>261</v>
      </c>
      <c r="AK2916" t="s">
        <v>261</v>
      </c>
      <c r="AM2916" t="s">
        <v>262</v>
      </c>
      <c r="AN2916" t="s">
        <v>8012</v>
      </c>
    </row>
    <row r="2917" spans="1:40" x14ac:dyDescent="0.35">
      <c r="A2917">
        <v>6760727</v>
      </c>
      <c r="B2917" t="s">
        <v>8013</v>
      </c>
      <c r="C2917" t="str">
        <f>"9783837657388"</f>
        <v>9783837657388</v>
      </c>
      <c r="D2917" t="str">
        <f>"9783839457382"</f>
        <v>9783839457382</v>
      </c>
      <c r="E2917" t="s">
        <v>7532</v>
      </c>
      <c r="F2917" t="s">
        <v>7533</v>
      </c>
      <c r="G2917" s="1">
        <v>44228</v>
      </c>
      <c r="H2917" s="1">
        <v>44567</v>
      </c>
      <c r="I2917" t="s">
        <v>189</v>
      </c>
      <c r="J2917">
        <v>1</v>
      </c>
      <c r="K2917" t="s">
        <v>8014</v>
      </c>
      <c r="L2917" t="s">
        <v>8015</v>
      </c>
    </row>
    <row r="2918" spans="1:40" x14ac:dyDescent="0.35">
      <c r="A2918">
        <v>6760825</v>
      </c>
      <c r="B2918" t="s">
        <v>8016</v>
      </c>
      <c r="C2918" t="str">
        <f>"9783837644852"</f>
        <v>9783837644852</v>
      </c>
      <c r="D2918" t="str">
        <f>"9783839444856"</f>
        <v>9783839444856</v>
      </c>
      <c r="E2918" t="s">
        <v>7532</v>
      </c>
      <c r="F2918" t="s">
        <v>7533</v>
      </c>
      <c r="G2918" s="1">
        <v>43831</v>
      </c>
      <c r="H2918" s="1">
        <v>44567</v>
      </c>
      <c r="I2918" t="s">
        <v>189</v>
      </c>
      <c r="J2918">
        <v>1</v>
      </c>
      <c r="K2918" t="s">
        <v>7565</v>
      </c>
      <c r="L2918" t="s">
        <v>8017</v>
      </c>
      <c r="M2918" t="s">
        <v>323</v>
      </c>
      <c r="Q2918" t="s">
        <v>408</v>
      </c>
      <c r="R2918" t="s">
        <v>261</v>
      </c>
      <c r="S2918" t="s">
        <v>261</v>
      </c>
      <c r="T2918" t="s">
        <v>261</v>
      </c>
      <c r="U2918" t="s">
        <v>262</v>
      </c>
      <c r="V2918" t="s">
        <v>262</v>
      </c>
      <c r="W2918" t="s">
        <v>261</v>
      </c>
      <c r="X2918" t="s">
        <v>262</v>
      </c>
      <c r="Y2918" t="s">
        <v>261</v>
      </c>
      <c r="Z2918" t="s">
        <v>409</v>
      </c>
      <c r="AA2918" t="s">
        <v>409</v>
      </c>
      <c r="AB2918" t="s">
        <v>409</v>
      </c>
      <c r="AC2918" t="s">
        <v>409</v>
      </c>
      <c r="AD2918" t="s">
        <v>261</v>
      </c>
      <c r="AH2918" t="s">
        <v>262</v>
      </c>
      <c r="AI2918" t="s">
        <v>262</v>
      </c>
      <c r="AJ2918" t="s">
        <v>261</v>
      </c>
      <c r="AK2918" t="s">
        <v>261</v>
      </c>
      <c r="AM2918" t="s">
        <v>262</v>
      </c>
      <c r="AN2918" t="s">
        <v>8018</v>
      </c>
    </row>
    <row r="2919" spans="1:40" x14ac:dyDescent="0.35">
      <c r="A2919">
        <v>6760887</v>
      </c>
      <c r="B2919" t="s">
        <v>8019</v>
      </c>
      <c r="C2919" t="str">
        <f>"9783732853106"</f>
        <v>9783732853106</v>
      </c>
      <c r="D2919" t="str">
        <f>"9783839453100"</f>
        <v>9783839453100</v>
      </c>
      <c r="E2919" t="s">
        <v>7532</v>
      </c>
      <c r="F2919" t="s">
        <v>7533</v>
      </c>
      <c r="G2919" s="1">
        <v>44013</v>
      </c>
      <c r="H2919" s="1">
        <v>44567</v>
      </c>
      <c r="I2919" t="s">
        <v>189</v>
      </c>
      <c r="J2919">
        <v>1</v>
      </c>
      <c r="K2919" t="s">
        <v>7553</v>
      </c>
      <c r="L2919" t="s">
        <v>8020</v>
      </c>
      <c r="M2919" t="s">
        <v>210</v>
      </c>
      <c r="Q2919" t="s">
        <v>260</v>
      </c>
      <c r="R2919" t="s">
        <v>261</v>
      </c>
      <c r="S2919" t="s">
        <v>261</v>
      </c>
      <c r="T2919" t="s">
        <v>261</v>
      </c>
      <c r="U2919" t="s">
        <v>262</v>
      </c>
      <c r="V2919" t="s">
        <v>262</v>
      </c>
      <c r="W2919" t="s">
        <v>261</v>
      </c>
      <c r="X2919" t="s">
        <v>262</v>
      </c>
      <c r="Y2919" t="s">
        <v>261</v>
      </c>
      <c r="Z2919" t="s">
        <v>409</v>
      </c>
      <c r="AA2919" t="s">
        <v>409</v>
      </c>
      <c r="AB2919" t="s">
        <v>409</v>
      </c>
      <c r="AC2919" t="s">
        <v>409</v>
      </c>
      <c r="AD2919" t="s">
        <v>261</v>
      </c>
      <c r="AH2919" t="s">
        <v>262</v>
      </c>
      <c r="AI2919" t="s">
        <v>262</v>
      </c>
      <c r="AJ2919" t="s">
        <v>261</v>
      </c>
      <c r="AK2919" t="s">
        <v>261</v>
      </c>
      <c r="AM2919" t="s">
        <v>262</v>
      </c>
      <c r="AN2919" t="s">
        <v>8021</v>
      </c>
    </row>
    <row r="2920" spans="1:40" x14ac:dyDescent="0.35">
      <c r="A2920">
        <v>6760913</v>
      </c>
      <c r="B2920" t="s">
        <v>8022</v>
      </c>
      <c r="C2920" t="str">
        <f>"9783837651515"</f>
        <v>9783837651515</v>
      </c>
      <c r="D2920" t="str">
        <f>"9783839451519"</f>
        <v>9783839451519</v>
      </c>
      <c r="E2920" t="s">
        <v>7532</v>
      </c>
      <c r="F2920" t="s">
        <v>7533</v>
      </c>
      <c r="G2920" s="1">
        <v>43922</v>
      </c>
      <c r="H2920" s="1">
        <v>44567</v>
      </c>
      <c r="I2920" t="s">
        <v>189</v>
      </c>
      <c r="J2920">
        <v>1</v>
      </c>
      <c r="K2920" t="s">
        <v>7545</v>
      </c>
      <c r="L2920" t="s">
        <v>8023</v>
      </c>
      <c r="M2920" t="s">
        <v>329</v>
      </c>
      <c r="Q2920" t="s">
        <v>408</v>
      </c>
      <c r="R2920" t="s">
        <v>261</v>
      </c>
      <c r="S2920" t="s">
        <v>261</v>
      </c>
      <c r="T2920" t="s">
        <v>261</v>
      </c>
      <c r="U2920" t="s">
        <v>262</v>
      </c>
      <c r="V2920" t="s">
        <v>262</v>
      </c>
      <c r="W2920" t="s">
        <v>261</v>
      </c>
      <c r="X2920" t="s">
        <v>262</v>
      </c>
      <c r="Y2920" t="s">
        <v>261</v>
      </c>
      <c r="Z2920" t="s">
        <v>409</v>
      </c>
      <c r="AA2920" t="s">
        <v>409</v>
      </c>
      <c r="AB2920" t="s">
        <v>409</v>
      </c>
      <c r="AC2920" t="s">
        <v>409</v>
      </c>
      <c r="AD2920" t="s">
        <v>261</v>
      </c>
      <c r="AH2920" t="s">
        <v>262</v>
      </c>
      <c r="AI2920" t="s">
        <v>262</v>
      </c>
      <c r="AJ2920" t="s">
        <v>261</v>
      </c>
      <c r="AK2920" t="s">
        <v>261</v>
      </c>
      <c r="AM2920" t="s">
        <v>262</v>
      </c>
      <c r="AN2920" t="s">
        <v>8024</v>
      </c>
    </row>
    <row r="2921" spans="1:40" x14ac:dyDescent="0.35">
      <c r="A2921">
        <v>6760966</v>
      </c>
      <c r="B2921" t="s">
        <v>8025</v>
      </c>
      <c r="C2921" t="str">
        <f>"9783837641332"</f>
        <v>9783837641332</v>
      </c>
      <c r="D2921" t="str">
        <f>"9783839441336"</f>
        <v>9783839441336</v>
      </c>
      <c r="E2921" t="s">
        <v>7532</v>
      </c>
      <c r="F2921" t="s">
        <v>7533</v>
      </c>
      <c r="G2921" s="1">
        <v>43374</v>
      </c>
      <c r="H2921" s="1">
        <v>44567</v>
      </c>
      <c r="I2921" t="s">
        <v>189</v>
      </c>
      <c r="J2921">
        <v>1</v>
      </c>
      <c r="K2921" t="s">
        <v>7545</v>
      </c>
      <c r="L2921" t="s">
        <v>8026</v>
      </c>
      <c r="M2921" t="s">
        <v>329</v>
      </c>
      <c r="Q2921" t="s">
        <v>408</v>
      </c>
      <c r="R2921" t="s">
        <v>261</v>
      </c>
      <c r="S2921" t="s">
        <v>261</v>
      </c>
      <c r="T2921" t="s">
        <v>261</v>
      </c>
      <c r="U2921" t="s">
        <v>262</v>
      </c>
      <c r="V2921" t="s">
        <v>262</v>
      </c>
      <c r="W2921" t="s">
        <v>261</v>
      </c>
      <c r="X2921" t="s">
        <v>262</v>
      </c>
      <c r="Y2921" t="s">
        <v>261</v>
      </c>
      <c r="Z2921" t="s">
        <v>409</v>
      </c>
      <c r="AA2921" t="s">
        <v>409</v>
      </c>
      <c r="AB2921" t="s">
        <v>409</v>
      </c>
      <c r="AC2921" t="s">
        <v>409</v>
      </c>
      <c r="AD2921" t="s">
        <v>261</v>
      </c>
      <c r="AH2921" t="s">
        <v>262</v>
      </c>
      <c r="AI2921" t="s">
        <v>262</v>
      </c>
      <c r="AJ2921" t="s">
        <v>261</v>
      </c>
      <c r="AK2921" t="s">
        <v>261</v>
      </c>
      <c r="AM2921" t="s">
        <v>262</v>
      </c>
      <c r="AN2921" t="s">
        <v>8027</v>
      </c>
    </row>
    <row r="2922" spans="1:40" x14ac:dyDescent="0.35">
      <c r="A2922">
        <v>6761145</v>
      </c>
      <c r="B2922" t="s">
        <v>8028</v>
      </c>
      <c r="C2922" t="str">
        <f>"9783732850808"</f>
        <v>9783732850808</v>
      </c>
      <c r="D2922" t="str">
        <f>"9783839450802"</f>
        <v>9783839450802</v>
      </c>
      <c r="E2922" t="s">
        <v>7532</v>
      </c>
      <c r="F2922" t="s">
        <v>7533</v>
      </c>
      <c r="G2922" s="1">
        <v>44317</v>
      </c>
      <c r="H2922" s="1">
        <v>44567</v>
      </c>
      <c r="I2922" t="s">
        <v>189</v>
      </c>
      <c r="J2922">
        <v>1</v>
      </c>
      <c r="K2922" t="s">
        <v>7559</v>
      </c>
      <c r="L2922" t="s">
        <v>8029</v>
      </c>
      <c r="M2922" t="s">
        <v>329</v>
      </c>
      <c r="Q2922" t="s">
        <v>408</v>
      </c>
      <c r="R2922" t="s">
        <v>261</v>
      </c>
      <c r="S2922" t="s">
        <v>261</v>
      </c>
      <c r="T2922" t="s">
        <v>261</v>
      </c>
      <c r="U2922" t="s">
        <v>262</v>
      </c>
      <c r="V2922" t="s">
        <v>262</v>
      </c>
      <c r="W2922" t="s">
        <v>261</v>
      </c>
      <c r="X2922" t="s">
        <v>262</v>
      </c>
      <c r="Y2922" t="s">
        <v>261</v>
      </c>
      <c r="Z2922" t="s">
        <v>409</v>
      </c>
      <c r="AA2922" t="s">
        <v>409</v>
      </c>
      <c r="AB2922" t="s">
        <v>409</v>
      </c>
      <c r="AC2922" t="s">
        <v>409</v>
      </c>
      <c r="AD2922" t="s">
        <v>261</v>
      </c>
      <c r="AH2922" t="s">
        <v>262</v>
      </c>
      <c r="AI2922" t="s">
        <v>262</v>
      </c>
      <c r="AJ2922" t="s">
        <v>261</v>
      </c>
      <c r="AK2922" t="s">
        <v>261</v>
      </c>
      <c r="AM2922" t="s">
        <v>262</v>
      </c>
      <c r="AN2922" t="s">
        <v>8030</v>
      </c>
    </row>
    <row r="2923" spans="1:40" x14ac:dyDescent="0.35">
      <c r="A2923">
        <v>6761192</v>
      </c>
      <c r="B2923" t="s">
        <v>8031</v>
      </c>
      <c r="C2923" t="str">
        <f>"9783837655322"</f>
        <v>9783837655322</v>
      </c>
      <c r="D2923" t="str">
        <f>"9783839455326"</f>
        <v>9783839455326</v>
      </c>
      <c r="E2923" t="s">
        <v>7532</v>
      </c>
      <c r="F2923" t="s">
        <v>7533</v>
      </c>
      <c r="G2923" s="1">
        <v>44256</v>
      </c>
      <c r="H2923" s="1">
        <v>44567</v>
      </c>
      <c r="I2923" t="s">
        <v>189</v>
      </c>
      <c r="J2923">
        <v>1</v>
      </c>
      <c r="K2923" t="s">
        <v>7545</v>
      </c>
      <c r="L2923" t="s">
        <v>8032</v>
      </c>
      <c r="M2923" t="s">
        <v>329</v>
      </c>
      <c r="Q2923" t="s">
        <v>408</v>
      </c>
      <c r="R2923" t="s">
        <v>261</v>
      </c>
      <c r="S2923" t="s">
        <v>261</v>
      </c>
      <c r="T2923" t="s">
        <v>261</v>
      </c>
      <c r="U2923" t="s">
        <v>262</v>
      </c>
      <c r="V2923" t="s">
        <v>262</v>
      </c>
      <c r="W2923" t="s">
        <v>261</v>
      </c>
      <c r="X2923" t="s">
        <v>262</v>
      </c>
      <c r="Y2923" t="s">
        <v>261</v>
      </c>
      <c r="Z2923" t="s">
        <v>409</v>
      </c>
      <c r="AA2923" t="s">
        <v>409</v>
      </c>
      <c r="AB2923" t="s">
        <v>409</v>
      </c>
      <c r="AC2923" t="s">
        <v>409</v>
      </c>
      <c r="AD2923" t="s">
        <v>261</v>
      </c>
      <c r="AH2923" t="s">
        <v>262</v>
      </c>
      <c r="AI2923" t="s">
        <v>262</v>
      </c>
      <c r="AJ2923" t="s">
        <v>261</v>
      </c>
      <c r="AK2923" t="s">
        <v>261</v>
      </c>
      <c r="AM2923" t="s">
        <v>262</v>
      </c>
      <c r="AN2923" t="s">
        <v>8033</v>
      </c>
    </row>
    <row r="2924" spans="1:40" x14ac:dyDescent="0.35">
      <c r="A2924">
        <v>6761369</v>
      </c>
      <c r="B2924" t="s">
        <v>8034</v>
      </c>
      <c r="C2924" t="str">
        <f>"9783732850686"</f>
        <v>9783732850686</v>
      </c>
      <c r="D2924" t="str">
        <f>"9783839450680"</f>
        <v>9783839450680</v>
      </c>
      <c r="E2924" t="s">
        <v>7532</v>
      </c>
      <c r="F2924" t="s">
        <v>7533</v>
      </c>
      <c r="G2924" s="1">
        <v>43891</v>
      </c>
      <c r="H2924" s="1">
        <v>44567</v>
      </c>
      <c r="I2924" t="s">
        <v>189</v>
      </c>
      <c r="J2924">
        <v>1</v>
      </c>
      <c r="K2924" t="s">
        <v>7553</v>
      </c>
      <c r="L2924" t="s">
        <v>8035</v>
      </c>
      <c r="M2924" t="s">
        <v>239</v>
      </c>
      <c r="N2924" t="s">
        <v>8036</v>
      </c>
      <c r="Q2924" t="s">
        <v>408</v>
      </c>
      <c r="R2924" t="s">
        <v>261</v>
      </c>
      <c r="S2924" t="s">
        <v>261</v>
      </c>
      <c r="T2924" t="s">
        <v>261</v>
      </c>
      <c r="U2924" t="s">
        <v>262</v>
      </c>
      <c r="V2924" t="s">
        <v>262</v>
      </c>
      <c r="W2924" t="s">
        <v>261</v>
      </c>
      <c r="X2924" t="s">
        <v>262</v>
      </c>
      <c r="Y2924" t="s">
        <v>261</v>
      </c>
      <c r="Z2924" t="s">
        <v>409</v>
      </c>
      <c r="AA2924" t="s">
        <v>409</v>
      </c>
      <c r="AB2924" t="s">
        <v>409</v>
      </c>
      <c r="AC2924" t="s">
        <v>409</v>
      </c>
      <c r="AD2924" t="s">
        <v>261</v>
      </c>
      <c r="AH2924" t="s">
        <v>262</v>
      </c>
      <c r="AI2924" t="s">
        <v>262</v>
      </c>
      <c r="AJ2924" t="s">
        <v>261</v>
      </c>
      <c r="AK2924" t="s">
        <v>261</v>
      </c>
      <c r="AM2924" t="s">
        <v>262</v>
      </c>
      <c r="AN2924" t="s">
        <v>8037</v>
      </c>
    </row>
    <row r="2925" spans="1:40" x14ac:dyDescent="0.35">
      <c r="A2925">
        <v>6761397</v>
      </c>
      <c r="B2925" t="s">
        <v>8038</v>
      </c>
      <c r="C2925" t="str">
        <f>"9783732848881"</f>
        <v>9783732848881</v>
      </c>
      <c r="D2925" t="str">
        <f>"9783839448885"</f>
        <v>9783839448885</v>
      </c>
      <c r="E2925" t="s">
        <v>7532</v>
      </c>
      <c r="F2925" t="s">
        <v>7533</v>
      </c>
      <c r="G2925" s="1">
        <v>43862</v>
      </c>
      <c r="H2925" s="1">
        <v>44567</v>
      </c>
      <c r="I2925" t="s">
        <v>189</v>
      </c>
      <c r="J2925">
        <v>1</v>
      </c>
      <c r="K2925" t="s">
        <v>7655</v>
      </c>
      <c r="L2925" t="s">
        <v>8039</v>
      </c>
      <c r="M2925" t="s">
        <v>210</v>
      </c>
      <c r="N2925" t="s">
        <v>8040</v>
      </c>
      <c r="O2925" s="2">
        <v>3204912</v>
      </c>
      <c r="Q2925" t="s">
        <v>260</v>
      </c>
      <c r="R2925" t="s">
        <v>261</v>
      </c>
      <c r="S2925" t="s">
        <v>261</v>
      </c>
      <c r="T2925" t="s">
        <v>261</v>
      </c>
      <c r="U2925" t="s">
        <v>262</v>
      </c>
      <c r="V2925" t="s">
        <v>262</v>
      </c>
      <c r="W2925" t="s">
        <v>261</v>
      </c>
      <c r="X2925" t="s">
        <v>262</v>
      </c>
      <c r="Y2925" t="s">
        <v>261</v>
      </c>
      <c r="Z2925" t="s">
        <v>409</v>
      </c>
      <c r="AA2925" t="s">
        <v>409</v>
      </c>
      <c r="AB2925" t="s">
        <v>409</v>
      </c>
      <c r="AC2925" t="s">
        <v>409</v>
      </c>
      <c r="AD2925" t="s">
        <v>261</v>
      </c>
      <c r="AH2925" t="s">
        <v>262</v>
      </c>
      <c r="AI2925" t="s">
        <v>262</v>
      </c>
      <c r="AJ2925" t="s">
        <v>261</v>
      </c>
      <c r="AK2925" t="s">
        <v>261</v>
      </c>
      <c r="AM2925" t="s">
        <v>262</v>
      </c>
      <c r="AN2925" t="s">
        <v>8041</v>
      </c>
    </row>
    <row r="2926" spans="1:40" x14ac:dyDescent="0.35">
      <c r="A2926">
        <v>6761415</v>
      </c>
      <c r="B2926" t="s">
        <v>8042</v>
      </c>
      <c r="C2926" t="str">
        <f>"9783732854141"</f>
        <v>9783732854141</v>
      </c>
      <c r="D2926" t="str">
        <f>"9783839454145"</f>
        <v>9783839454145</v>
      </c>
      <c r="E2926" t="s">
        <v>7532</v>
      </c>
      <c r="F2926" t="s">
        <v>7533</v>
      </c>
      <c r="G2926" s="1">
        <v>44228</v>
      </c>
      <c r="H2926" s="1">
        <v>44567</v>
      </c>
      <c r="I2926" t="s">
        <v>189</v>
      </c>
      <c r="J2926">
        <v>1</v>
      </c>
      <c r="K2926" t="s">
        <v>7553</v>
      </c>
      <c r="L2926" t="s">
        <v>8043</v>
      </c>
    </row>
    <row r="2927" spans="1:40" x14ac:dyDescent="0.35">
      <c r="A2927">
        <v>6761564</v>
      </c>
      <c r="B2927" t="s">
        <v>8044</v>
      </c>
      <c r="C2927" t="str">
        <f>"9783837653755"</f>
        <v>9783837653755</v>
      </c>
      <c r="D2927" t="str">
        <f>"9783839453759"</f>
        <v>9783839453759</v>
      </c>
      <c r="E2927" t="s">
        <v>7532</v>
      </c>
      <c r="F2927" t="s">
        <v>7533</v>
      </c>
      <c r="G2927" s="1">
        <v>44105</v>
      </c>
      <c r="H2927" s="1">
        <v>44567</v>
      </c>
      <c r="I2927" t="s">
        <v>189</v>
      </c>
      <c r="J2927">
        <v>1</v>
      </c>
      <c r="K2927" t="s">
        <v>7678</v>
      </c>
      <c r="L2927" t="s">
        <v>8045</v>
      </c>
    </row>
    <row r="2928" spans="1:40" x14ac:dyDescent="0.35">
      <c r="A2928">
        <v>6761621</v>
      </c>
      <c r="B2928" t="s">
        <v>8046</v>
      </c>
      <c r="C2928" t="str">
        <f>""</f>
        <v/>
      </c>
      <c r="D2928" t="str">
        <f>"9783839445198"</f>
        <v>9783839445198</v>
      </c>
      <c r="E2928" t="s">
        <v>6766</v>
      </c>
      <c r="F2928" t="s">
        <v>6766</v>
      </c>
      <c r="G2928" s="1">
        <v>43774</v>
      </c>
      <c r="H2928" s="1">
        <v>44582</v>
      </c>
      <c r="I2928" t="s">
        <v>189</v>
      </c>
      <c r="J2928">
        <v>2</v>
      </c>
      <c r="K2928" t="s">
        <v>8047</v>
      </c>
      <c r="L2928" t="s">
        <v>8048</v>
      </c>
      <c r="M2928" t="s">
        <v>329</v>
      </c>
      <c r="Q2928" t="s">
        <v>260</v>
      </c>
      <c r="R2928" t="s">
        <v>261</v>
      </c>
      <c r="S2928" t="s">
        <v>261</v>
      </c>
      <c r="T2928" t="s">
        <v>261</v>
      </c>
      <c r="U2928" t="s">
        <v>262</v>
      </c>
      <c r="V2928" t="s">
        <v>262</v>
      </c>
      <c r="W2928" t="s">
        <v>261</v>
      </c>
      <c r="X2928" t="s">
        <v>262</v>
      </c>
      <c r="Y2928" t="s">
        <v>261</v>
      </c>
      <c r="Z2928" t="s">
        <v>409</v>
      </c>
      <c r="AB2928" t="s">
        <v>409</v>
      </c>
      <c r="AC2928" t="s">
        <v>409</v>
      </c>
      <c r="AD2928" t="s">
        <v>261</v>
      </c>
      <c r="AH2928" t="s">
        <v>262</v>
      </c>
      <c r="AI2928" t="s">
        <v>262</v>
      </c>
      <c r="AJ2928" t="s">
        <v>261</v>
      </c>
      <c r="AK2928" t="s">
        <v>261</v>
      </c>
      <c r="AM2928" t="s">
        <v>262</v>
      </c>
      <c r="AN2928" t="s">
        <v>8049</v>
      </c>
    </row>
    <row r="2929" spans="1:40" x14ac:dyDescent="0.35">
      <c r="A2929">
        <v>6761697</v>
      </c>
      <c r="B2929" t="s">
        <v>8050</v>
      </c>
      <c r="C2929" t="str">
        <f>"9783837656688"</f>
        <v>9783837656688</v>
      </c>
      <c r="D2929" t="str">
        <f>"9783839456682"</f>
        <v>9783839456682</v>
      </c>
      <c r="E2929" t="s">
        <v>7532</v>
      </c>
      <c r="F2929" t="s">
        <v>7533</v>
      </c>
      <c r="G2929" s="1">
        <v>44317</v>
      </c>
      <c r="H2929" s="1">
        <v>44567</v>
      </c>
      <c r="I2929" t="s">
        <v>189</v>
      </c>
      <c r="J2929">
        <v>1</v>
      </c>
      <c r="K2929" t="s">
        <v>7553</v>
      </c>
      <c r="L2929" t="s">
        <v>8051</v>
      </c>
    </row>
    <row r="2930" spans="1:40" x14ac:dyDescent="0.35">
      <c r="A2930">
        <v>6761723</v>
      </c>
      <c r="B2930" t="s">
        <v>8052</v>
      </c>
      <c r="C2930" t="str">
        <f>"9783837650488"</f>
        <v>9783837650488</v>
      </c>
      <c r="D2930" t="str">
        <f>"9783839450482"</f>
        <v>9783839450482</v>
      </c>
      <c r="E2930" t="s">
        <v>7532</v>
      </c>
      <c r="F2930" t="s">
        <v>7533</v>
      </c>
      <c r="G2930" s="1">
        <v>43922</v>
      </c>
      <c r="H2930" s="1">
        <v>44567</v>
      </c>
      <c r="I2930" t="s">
        <v>189</v>
      </c>
      <c r="J2930">
        <v>1</v>
      </c>
      <c r="K2930" t="s">
        <v>8053</v>
      </c>
      <c r="L2930" t="s">
        <v>8054</v>
      </c>
      <c r="M2930" t="s">
        <v>219</v>
      </c>
      <c r="N2930" t="s">
        <v>8055</v>
      </c>
      <c r="Q2930" t="s">
        <v>260</v>
      </c>
      <c r="R2930" t="s">
        <v>261</v>
      </c>
      <c r="S2930" t="s">
        <v>261</v>
      </c>
      <c r="T2930" t="s">
        <v>261</v>
      </c>
      <c r="U2930" t="s">
        <v>262</v>
      </c>
      <c r="V2930" t="s">
        <v>262</v>
      </c>
      <c r="W2930" t="s">
        <v>261</v>
      </c>
      <c r="X2930" t="s">
        <v>262</v>
      </c>
      <c r="Y2930" t="s">
        <v>261</v>
      </c>
      <c r="Z2930" t="s">
        <v>409</v>
      </c>
      <c r="AA2930" t="s">
        <v>409</v>
      </c>
      <c r="AB2930" t="s">
        <v>409</v>
      </c>
      <c r="AC2930" t="s">
        <v>409</v>
      </c>
      <c r="AD2930" t="s">
        <v>261</v>
      </c>
      <c r="AH2930" t="s">
        <v>262</v>
      </c>
      <c r="AI2930" t="s">
        <v>262</v>
      </c>
      <c r="AJ2930" t="s">
        <v>261</v>
      </c>
      <c r="AK2930" t="s">
        <v>261</v>
      </c>
      <c r="AM2930" t="s">
        <v>262</v>
      </c>
      <c r="AN2930" t="s">
        <v>8056</v>
      </c>
    </row>
    <row r="2931" spans="1:40" x14ac:dyDescent="0.35">
      <c r="A2931">
        <v>6761744</v>
      </c>
      <c r="B2931" t="s">
        <v>8057</v>
      </c>
      <c r="C2931" t="str">
        <f>"9783837657852"</f>
        <v>9783837657852</v>
      </c>
      <c r="D2931" t="str">
        <f>"9783839457856"</f>
        <v>9783839457856</v>
      </c>
      <c r="E2931" t="s">
        <v>7532</v>
      </c>
      <c r="F2931" t="s">
        <v>7533</v>
      </c>
      <c r="G2931" s="1">
        <v>44256</v>
      </c>
      <c r="H2931" s="1">
        <v>44567</v>
      </c>
      <c r="I2931" t="s">
        <v>189</v>
      </c>
      <c r="J2931">
        <v>1</v>
      </c>
      <c r="K2931" t="s">
        <v>8058</v>
      </c>
      <c r="L2931" t="s">
        <v>8059</v>
      </c>
      <c r="M2931" t="s">
        <v>389</v>
      </c>
      <c r="Q2931" t="s">
        <v>408</v>
      </c>
      <c r="R2931" t="s">
        <v>261</v>
      </c>
      <c r="S2931" t="s">
        <v>261</v>
      </c>
      <c r="T2931" t="s">
        <v>261</v>
      </c>
      <c r="U2931" t="s">
        <v>262</v>
      </c>
      <c r="V2931" t="s">
        <v>262</v>
      </c>
      <c r="W2931" t="s">
        <v>261</v>
      </c>
      <c r="X2931" t="s">
        <v>262</v>
      </c>
      <c r="Y2931" t="s">
        <v>261</v>
      </c>
      <c r="Z2931" t="s">
        <v>409</v>
      </c>
      <c r="AA2931" t="s">
        <v>409</v>
      </c>
      <c r="AB2931" t="s">
        <v>409</v>
      </c>
      <c r="AC2931" t="s">
        <v>409</v>
      </c>
      <c r="AD2931" t="s">
        <v>261</v>
      </c>
      <c r="AH2931" t="s">
        <v>262</v>
      </c>
      <c r="AI2931" t="s">
        <v>262</v>
      </c>
      <c r="AJ2931" t="s">
        <v>261</v>
      </c>
      <c r="AK2931" t="s">
        <v>261</v>
      </c>
      <c r="AM2931" t="s">
        <v>262</v>
      </c>
      <c r="AN2931" t="s">
        <v>8060</v>
      </c>
    </row>
    <row r="2932" spans="1:40" x14ac:dyDescent="0.35">
      <c r="A2932">
        <v>6761794</v>
      </c>
      <c r="B2932" t="s">
        <v>8061</v>
      </c>
      <c r="C2932" t="str">
        <f>"9783837654851"</f>
        <v>9783837654851</v>
      </c>
      <c r="D2932" t="str">
        <f>"9783839454855"</f>
        <v>9783839454855</v>
      </c>
      <c r="E2932" t="s">
        <v>7532</v>
      </c>
      <c r="F2932" t="s">
        <v>7533</v>
      </c>
      <c r="G2932" s="1">
        <v>44256</v>
      </c>
      <c r="H2932" s="1">
        <v>44567</v>
      </c>
      <c r="I2932" t="s">
        <v>189</v>
      </c>
      <c r="J2932">
        <v>1</v>
      </c>
      <c r="K2932" t="s">
        <v>7538</v>
      </c>
      <c r="L2932" t="s">
        <v>8062</v>
      </c>
      <c r="M2932" t="s">
        <v>389</v>
      </c>
      <c r="Q2932" t="s">
        <v>260</v>
      </c>
      <c r="R2932" t="s">
        <v>261</v>
      </c>
      <c r="S2932" t="s">
        <v>261</v>
      </c>
      <c r="T2932" t="s">
        <v>261</v>
      </c>
      <c r="U2932" t="s">
        <v>262</v>
      </c>
      <c r="V2932" t="s">
        <v>262</v>
      </c>
      <c r="W2932" t="s">
        <v>261</v>
      </c>
      <c r="X2932" t="s">
        <v>262</v>
      </c>
      <c r="Y2932" t="s">
        <v>261</v>
      </c>
      <c r="Z2932" t="s">
        <v>409</v>
      </c>
      <c r="AA2932" t="s">
        <v>409</v>
      </c>
      <c r="AB2932" t="s">
        <v>409</v>
      </c>
      <c r="AC2932" t="s">
        <v>409</v>
      </c>
      <c r="AD2932" t="s">
        <v>261</v>
      </c>
      <c r="AH2932" t="s">
        <v>262</v>
      </c>
      <c r="AI2932" t="s">
        <v>262</v>
      </c>
      <c r="AJ2932" t="s">
        <v>261</v>
      </c>
      <c r="AK2932" t="s">
        <v>261</v>
      </c>
      <c r="AM2932" t="s">
        <v>262</v>
      </c>
      <c r="AN2932" t="s">
        <v>8063</v>
      </c>
    </row>
    <row r="2933" spans="1:40" x14ac:dyDescent="0.35">
      <c r="A2933">
        <v>6761900</v>
      </c>
      <c r="B2933" t="s">
        <v>8064</v>
      </c>
      <c r="C2933" t="str">
        <f>"9783837648744"</f>
        <v>9783837648744</v>
      </c>
      <c r="D2933" t="str">
        <f>"9783839448748"</f>
        <v>9783839448748</v>
      </c>
      <c r="E2933" t="s">
        <v>7532</v>
      </c>
      <c r="F2933" t="s">
        <v>7533</v>
      </c>
      <c r="G2933" s="1">
        <v>44013</v>
      </c>
      <c r="H2933" s="1">
        <v>44567</v>
      </c>
      <c r="I2933" t="s">
        <v>189</v>
      </c>
      <c r="J2933">
        <v>1</v>
      </c>
      <c r="K2933" t="s">
        <v>8065</v>
      </c>
      <c r="L2933" t="s">
        <v>8066</v>
      </c>
    </row>
    <row r="2934" spans="1:40" x14ac:dyDescent="0.35">
      <c r="A2934">
        <v>6761923</v>
      </c>
      <c r="B2934" t="s">
        <v>8067</v>
      </c>
      <c r="C2934" t="str">
        <f>"9783837642162"</f>
        <v>9783837642162</v>
      </c>
      <c r="D2934" t="str">
        <f>"9783839442166"</f>
        <v>9783839442166</v>
      </c>
      <c r="E2934" t="s">
        <v>7532</v>
      </c>
      <c r="F2934" t="s">
        <v>7533</v>
      </c>
      <c r="G2934" s="1">
        <v>43191</v>
      </c>
      <c r="H2934" s="1">
        <v>44567</v>
      </c>
      <c r="I2934" t="s">
        <v>189</v>
      </c>
      <c r="J2934">
        <v>1</v>
      </c>
      <c r="K2934" t="s">
        <v>7611</v>
      </c>
      <c r="L2934" t="s">
        <v>8068</v>
      </c>
      <c r="M2934" t="s">
        <v>329</v>
      </c>
      <c r="Q2934" t="s">
        <v>408</v>
      </c>
      <c r="R2934" t="s">
        <v>261</v>
      </c>
      <c r="S2934" t="s">
        <v>261</v>
      </c>
      <c r="T2934" t="s">
        <v>261</v>
      </c>
      <c r="U2934" t="s">
        <v>262</v>
      </c>
      <c r="V2934" t="s">
        <v>262</v>
      </c>
      <c r="W2934" t="s">
        <v>261</v>
      </c>
      <c r="X2934" t="s">
        <v>262</v>
      </c>
      <c r="Y2934" t="s">
        <v>261</v>
      </c>
      <c r="Z2934" t="s">
        <v>409</v>
      </c>
      <c r="AA2934" t="s">
        <v>409</v>
      </c>
      <c r="AB2934" t="s">
        <v>409</v>
      </c>
      <c r="AC2934" t="s">
        <v>409</v>
      </c>
      <c r="AD2934" t="s">
        <v>261</v>
      </c>
      <c r="AH2934" t="s">
        <v>262</v>
      </c>
      <c r="AI2934" t="s">
        <v>262</v>
      </c>
      <c r="AJ2934" t="s">
        <v>261</v>
      </c>
      <c r="AK2934" t="s">
        <v>261</v>
      </c>
      <c r="AM2934" t="s">
        <v>262</v>
      </c>
      <c r="AN2934" t="s">
        <v>8069</v>
      </c>
    </row>
    <row r="2935" spans="1:40" x14ac:dyDescent="0.35">
      <c r="A2935">
        <v>6761967</v>
      </c>
      <c r="B2935" t="s">
        <v>8070</v>
      </c>
      <c r="C2935" t="str">
        <f>"9783837651263"</f>
        <v>9783837651263</v>
      </c>
      <c r="D2935" t="str">
        <f>"9783839451267"</f>
        <v>9783839451267</v>
      </c>
      <c r="E2935" t="s">
        <v>7532</v>
      </c>
      <c r="F2935" t="s">
        <v>7533</v>
      </c>
      <c r="G2935" s="1">
        <v>44256</v>
      </c>
      <c r="H2935" s="1">
        <v>44567</v>
      </c>
      <c r="I2935" t="s">
        <v>189</v>
      </c>
      <c r="J2935">
        <v>1</v>
      </c>
      <c r="K2935" t="s">
        <v>8071</v>
      </c>
      <c r="L2935" t="s">
        <v>8072</v>
      </c>
    </row>
    <row r="2936" spans="1:40" x14ac:dyDescent="0.35">
      <c r="A2936">
        <v>6761990</v>
      </c>
      <c r="B2936" t="s">
        <v>8073</v>
      </c>
      <c r="C2936" t="str">
        <f>"9783837653816"</f>
        <v>9783837653816</v>
      </c>
      <c r="D2936" t="str">
        <f>"9783839453810"</f>
        <v>9783839453810</v>
      </c>
      <c r="E2936" t="s">
        <v>7532</v>
      </c>
      <c r="F2936" t="s">
        <v>7533</v>
      </c>
      <c r="G2936" s="1">
        <v>43983</v>
      </c>
      <c r="H2936" s="1">
        <v>44567</v>
      </c>
      <c r="I2936" t="s">
        <v>189</v>
      </c>
      <c r="J2936">
        <v>1</v>
      </c>
      <c r="K2936" t="s">
        <v>7738</v>
      </c>
      <c r="L2936" t="s">
        <v>7739</v>
      </c>
    </row>
    <row r="2937" spans="1:40" x14ac:dyDescent="0.35">
      <c r="A2937">
        <v>6762011</v>
      </c>
      <c r="B2937" t="s">
        <v>8074</v>
      </c>
      <c r="C2937" t="str">
        <f>"9783837651164"</f>
        <v>9783837651164</v>
      </c>
      <c r="D2937" t="str">
        <f>"9783839451168"</f>
        <v>9783839451168</v>
      </c>
      <c r="E2937" t="s">
        <v>7532</v>
      </c>
      <c r="F2937" t="s">
        <v>7533</v>
      </c>
      <c r="G2937" s="1">
        <v>43891</v>
      </c>
      <c r="H2937" s="1">
        <v>44567</v>
      </c>
      <c r="I2937" t="s">
        <v>189</v>
      </c>
      <c r="J2937">
        <v>1</v>
      </c>
      <c r="K2937" t="s">
        <v>7545</v>
      </c>
      <c r="L2937" t="s">
        <v>8075</v>
      </c>
      <c r="M2937" t="s">
        <v>329</v>
      </c>
      <c r="Q2937" t="s">
        <v>408</v>
      </c>
      <c r="R2937" t="s">
        <v>261</v>
      </c>
      <c r="S2937" t="s">
        <v>261</v>
      </c>
      <c r="T2937" t="s">
        <v>261</v>
      </c>
      <c r="U2937" t="s">
        <v>262</v>
      </c>
      <c r="V2937" t="s">
        <v>262</v>
      </c>
      <c r="W2937" t="s">
        <v>261</v>
      </c>
      <c r="X2937" t="s">
        <v>262</v>
      </c>
      <c r="Y2937" t="s">
        <v>261</v>
      </c>
      <c r="Z2937" t="s">
        <v>409</v>
      </c>
      <c r="AA2937" t="s">
        <v>409</v>
      </c>
      <c r="AB2937" t="s">
        <v>409</v>
      </c>
      <c r="AC2937" t="s">
        <v>409</v>
      </c>
      <c r="AD2937" t="s">
        <v>261</v>
      </c>
      <c r="AH2937" t="s">
        <v>262</v>
      </c>
      <c r="AI2937" t="s">
        <v>262</v>
      </c>
      <c r="AJ2937" t="s">
        <v>261</v>
      </c>
      <c r="AK2937" t="s">
        <v>261</v>
      </c>
      <c r="AM2937" t="s">
        <v>262</v>
      </c>
      <c r="AN2937" t="s">
        <v>8076</v>
      </c>
    </row>
    <row r="2938" spans="1:40" x14ac:dyDescent="0.35">
      <c r="A2938">
        <v>6762098</v>
      </c>
      <c r="B2938" t="s">
        <v>8077</v>
      </c>
      <c r="C2938" t="str">
        <f>"9783732853762"</f>
        <v>9783732853762</v>
      </c>
      <c r="D2938" t="str">
        <f>"9783839453766"</f>
        <v>9783839453766</v>
      </c>
      <c r="E2938" t="s">
        <v>7532</v>
      </c>
      <c r="F2938" t="s">
        <v>7533</v>
      </c>
      <c r="G2938" s="1">
        <v>44166</v>
      </c>
      <c r="H2938" s="1">
        <v>44567</v>
      </c>
      <c r="I2938" t="s">
        <v>189</v>
      </c>
      <c r="J2938">
        <v>1</v>
      </c>
      <c r="K2938" t="s">
        <v>7553</v>
      </c>
      <c r="L2938" t="s">
        <v>8078</v>
      </c>
      <c r="M2938" t="s">
        <v>210</v>
      </c>
      <c r="Q2938" t="s">
        <v>408</v>
      </c>
      <c r="R2938" t="s">
        <v>261</v>
      </c>
      <c r="S2938" t="s">
        <v>261</v>
      </c>
      <c r="T2938" t="s">
        <v>261</v>
      </c>
      <c r="U2938" t="s">
        <v>262</v>
      </c>
      <c r="V2938" t="s">
        <v>262</v>
      </c>
      <c r="W2938" t="s">
        <v>261</v>
      </c>
      <c r="X2938" t="s">
        <v>262</v>
      </c>
      <c r="Y2938" t="s">
        <v>261</v>
      </c>
      <c r="Z2938" t="s">
        <v>409</v>
      </c>
      <c r="AA2938" t="s">
        <v>409</v>
      </c>
      <c r="AB2938" t="s">
        <v>409</v>
      </c>
      <c r="AC2938" t="s">
        <v>409</v>
      </c>
      <c r="AD2938" t="s">
        <v>261</v>
      </c>
      <c r="AH2938" t="s">
        <v>262</v>
      </c>
      <c r="AI2938" t="s">
        <v>262</v>
      </c>
      <c r="AJ2938" t="s">
        <v>261</v>
      </c>
      <c r="AK2938" t="s">
        <v>261</v>
      </c>
      <c r="AM2938" t="s">
        <v>262</v>
      </c>
      <c r="AN2938" t="s">
        <v>8079</v>
      </c>
    </row>
    <row r="2939" spans="1:40" x14ac:dyDescent="0.35">
      <c r="A2939">
        <v>6762133</v>
      </c>
      <c r="B2939" t="s">
        <v>8080</v>
      </c>
      <c r="C2939" t="str">
        <f>"9783732852055"</f>
        <v>9783732852055</v>
      </c>
      <c r="D2939" t="str">
        <f>"9783839452059"</f>
        <v>9783839452059</v>
      </c>
      <c r="E2939" t="s">
        <v>7532</v>
      </c>
      <c r="F2939" t="s">
        <v>7533</v>
      </c>
      <c r="G2939" s="1">
        <v>44105</v>
      </c>
      <c r="H2939" s="1">
        <v>44567</v>
      </c>
      <c r="I2939" t="s">
        <v>189</v>
      </c>
      <c r="J2939">
        <v>1</v>
      </c>
      <c r="K2939" t="s">
        <v>7734</v>
      </c>
      <c r="L2939" t="s">
        <v>8081</v>
      </c>
      <c r="M2939" t="s">
        <v>199</v>
      </c>
      <c r="Q2939" t="s">
        <v>408</v>
      </c>
      <c r="R2939" t="s">
        <v>261</v>
      </c>
      <c r="S2939" t="s">
        <v>261</v>
      </c>
      <c r="T2939" t="s">
        <v>261</v>
      </c>
      <c r="U2939" t="s">
        <v>262</v>
      </c>
      <c r="V2939" t="s">
        <v>262</v>
      </c>
      <c r="W2939" t="s">
        <v>261</v>
      </c>
      <c r="X2939" t="s">
        <v>262</v>
      </c>
      <c r="Y2939" t="s">
        <v>261</v>
      </c>
      <c r="Z2939" t="s">
        <v>409</v>
      </c>
      <c r="AA2939" t="s">
        <v>409</v>
      </c>
      <c r="AB2939" t="s">
        <v>409</v>
      </c>
      <c r="AC2939" t="s">
        <v>409</v>
      </c>
      <c r="AD2939" t="s">
        <v>261</v>
      </c>
      <c r="AH2939" t="s">
        <v>262</v>
      </c>
      <c r="AI2939" t="s">
        <v>262</v>
      </c>
      <c r="AJ2939" t="s">
        <v>261</v>
      </c>
      <c r="AK2939" t="s">
        <v>261</v>
      </c>
      <c r="AM2939" t="s">
        <v>262</v>
      </c>
      <c r="AN2939" t="s">
        <v>8082</v>
      </c>
    </row>
    <row r="2940" spans="1:40" x14ac:dyDescent="0.35">
      <c r="A2940">
        <v>6762324</v>
      </c>
      <c r="B2940" t="s">
        <v>8083</v>
      </c>
      <c r="C2940" t="str">
        <f>"9783837651140"</f>
        <v>9783837651140</v>
      </c>
      <c r="D2940" t="str">
        <f>"9783839451144"</f>
        <v>9783839451144</v>
      </c>
      <c r="E2940" t="s">
        <v>7532</v>
      </c>
      <c r="F2940" t="s">
        <v>7533</v>
      </c>
      <c r="G2940" s="1">
        <v>44075</v>
      </c>
      <c r="H2940" s="1">
        <v>44567</v>
      </c>
      <c r="I2940" t="s">
        <v>189</v>
      </c>
      <c r="J2940">
        <v>1</v>
      </c>
      <c r="K2940" t="s">
        <v>7916</v>
      </c>
      <c r="L2940" t="s">
        <v>8084</v>
      </c>
      <c r="M2940" t="s">
        <v>329</v>
      </c>
      <c r="Q2940" t="s">
        <v>260</v>
      </c>
      <c r="R2940" t="s">
        <v>261</v>
      </c>
      <c r="S2940" t="s">
        <v>261</v>
      </c>
      <c r="T2940" t="s">
        <v>261</v>
      </c>
      <c r="U2940" t="s">
        <v>262</v>
      </c>
      <c r="V2940" t="s">
        <v>262</v>
      </c>
      <c r="W2940" t="s">
        <v>261</v>
      </c>
      <c r="X2940" t="s">
        <v>262</v>
      </c>
      <c r="Y2940" t="s">
        <v>261</v>
      </c>
      <c r="Z2940" t="s">
        <v>409</v>
      </c>
      <c r="AA2940" t="s">
        <v>409</v>
      </c>
      <c r="AB2940" t="s">
        <v>409</v>
      </c>
      <c r="AC2940" t="s">
        <v>409</v>
      </c>
      <c r="AD2940" t="s">
        <v>261</v>
      </c>
      <c r="AH2940" t="s">
        <v>262</v>
      </c>
      <c r="AI2940" t="s">
        <v>262</v>
      </c>
      <c r="AJ2940" t="s">
        <v>261</v>
      </c>
      <c r="AK2940" t="s">
        <v>261</v>
      </c>
      <c r="AM2940" t="s">
        <v>262</v>
      </c>
      <c r="AN2940" t="s">
        <v>8085</v>
      </c>
    </row>
    <row r="2941" spans="1:40" x14ac:dyDescent="0.35">
      <c r="A2941">
        <v>6762371</v>
      </c>
      <c r="B2941" t="s">
        <v>8086</v>
      </c>
      <c r="C2941" t="str">
        <f>"9783732856480"</f>
        <v>9783732856480</v>
      </c>
      <c r="D2941" t="str">
        <f>"9783839456484"</f>
        <v>9783839456484</v>
      </c>
      <c r="E2941" t="s">
        <v>7532</v>
      </c>
      <c r="F2941" t="s">
        <v>7533</v>
      </c>
      <c r="G2941" s="1">
        <v>44287</v>
      </c>
      <c r="H2941" s="1">
        <v>44567</v>
      </c>
      <c r="I2941" t="s">
        <v>189</v>
      </c>
      <c r="J2941">
        <v>1</v>
      </c>
      <c r="K2941" t="s">
        <v>7593</v>
      </c>
      <c r="L2941" t="s">
        <v>8087</v>
      </c>
    </row>
    <row r="2942" spans="1:40" x14ac:dyDescent="0.35">
      <c r="A2942">
        <v>6762431</v>
      </c>
      <c r="B2942" t="s">
        <v>8088</v>
      </c>
      <c r="C2942" t="str">
        <f>"9783732856039"</f>
        <v>9783732856039</v>
      </c>
      <c r="D2942" t="str">
        <f>"9783839456033"</f>
        <v>9783839456033</v>
      </c>
      <c r="E2942" t="s">
        <v>7532</v>
      </c>
      <c r="F2942" t="s">
        <v>7533</v>
      </c>
      <c r="G2942" s="1">
        <v>44287</v>
      </c>
      <c r="H2942" s="1">
        <v>44567</v>
      </c>
      <c r="I2942" t="s">
        <v>189</v>
      </c>
      <c r="J2942">
        <v>1</v>
      </c>
      <c r="K2942" t="s">
        <v>7655</v>
      </c>
      <c r="L2942" t="s">
        <v>8089</v>
      </c>
      <c r="M2942" t="s">
        <v>329</v>
      </c>
      <c r="Q2942" t="s">
        <v>408</v>
      </c>
      <c r="R2942" t="s">
        <v>261</v>
      </c>
      <c r="S2942" t="s">
        <v>261</v>
      </c>
      <c r="T2942" t="s">
        <v>261</v>
      </c>
      <c r="U2942" t="s">
        <v>262</v>
      </c>
      <c r="V2942" t="s">
        <v>262</v>
      </c>
      <c r="W2942" t="s">
        <v>261</v>
      </c>
      <c r="X2942" t="s">
        <v>262</v>
      </c>
      <c r="Y2942" t="s">
        <v>261</v>
      </c>
      <c r="Z2942" t="s">
        <v>409</v>
      </c>
      <c r="AA2942" t="s">
        <v>409</v>
      </c>
      <c r="AB2942" t="s">
        <v>409</v>
      </c>
      <c r="AC2942" t="s">
        <v>409</v>
      </c>
      <c r="AD2942" t="s">
        <v>261</v>
      </c>
      <c r="AH2942" t="s">
        <v>262</v>
      </c>
      <c r="AI2942" t="s">
        <v>262</v>
      </c>
      <c r="AJ2942" t="s">
        <v>261</v>
      </c>
      <c r="AK2942" t="s">
        <v>261</v>
      </c>
      <c r="AM2942" t="s">
        <v>262</v>
      </c>
      <c r="AN2942" t="s">
        <v>8090</v>
      </c>
    </row>
    <row r="2943" spans="1:40" x14ac:dyDescent="0.35">
      <c r="A2943">
        <v>6762562</v>
      </c>
      <c r="B2943" t="s">
        <v>8091</v>
      </c>
      <c r="C2943" t="str">
        <f>"9783732853281"</f>
        <v>9783732853281</v>
      </c>
      <c r="D2943" t="str">
        <f>"9783839453285"</f>
        <v>9783839453285</v>
      </c>
      <c r="E2943" t="s">
        <v>7532</v>
      </c>
      <c r="F2943" t="s">
        <v>7533</v>
      </c>
      <c r="G2943" s="1">
        <v>44075</v>
      </c>
      <c r="H2943" s="1">
        <v>44567</v>
      </c>
      <c r="I2943" t="s">
        <v>189</v>
      </c>
      <c r="J2943">
        <v>1</v>
      </c>
      <c r="K2943" t="s">
        <v>7868</v>
      </c>
      <c r="L2943" t="s">
        <v>8092</v>
      </c>
    </row>
    <row r="2944" spans="1:40" x14ac:dyDescent="0.35">
      <c r="A2944">
        <v>6762654</v>
      </c>
      <c r="B2944" t="s">
        <v>8093</v>
      </c>
      <c r="C2944" t="str">
        <f>"9783732850723"</f>
        <v>9783732850723</v>
      </c>
      <c r="D2944" t="str">
        <f>"9783839450727"</f>
        <v>9783839450727</v>
      </c>
      <c r="E2944" t="s">
        <v>7532</v>
      </c>
      <c r="F2944" t="s">
        <v>7533</v>
      </c>
      <c r="G2944" s="1">
        <v>43952</v>
      </c>
      <c r="H2944" s="1">
        <v>44567</v>
      </c>
      <c r="I2944" t="s">
        <v>189</v>
      </c>
      <c r="J2944">
        <v>1</v>
      </c>
      <c r="L2944" t="s">
        <v>8094</v>
      </c>
    </row>
    <row r="2945" spans="1:40" x14ac:dyDescent="0.35">
      <c r="A2945">
        <v>6762657</v>
      </c>
      <c r="B2945" t="s">
        <v>8095</v>
      </c>
      <c r="C2945" t="str">
        <f>"9783837649086"</f>
        <v>9783837649086</v>
      </c>
      <c r="D2945" t="str">
        <f>"9783839449080"</f>
        <v>9783839449080</v>
      </c>
      <c r="E2945" t="s">
        <v>7532</v>
      </c>
      <c r="F2945" t="s">
        <v>7533</v>
      </c>
      <c r="G2945" s="1">
        <v>43952</v>
      </c>
      <c r="H2945" s="1">
        <v>44567</v>
      </c>
      <c r="I2945" t="s">
        <v>189</v>
      </c>
      <c r="J2945">
        <v>1</v>
      </c>
      <c r="K2945" t="s">
        <v>7587</v>
      </c>
      <c r="L2945" t="s">
        <v>8096</v>
      </c>
      <c r="M2945" t="s">
        <v>329</v>
      </c>
      <c r="Q2945" t="s">
        <v>408</v>
      </c>
      <c r="R2945" t="s">
        <v>261</v>
      </c>
      <c r="S2945" t="s">
        <v>261</v>
      </c>
      <c r="T2945" t="s">
        <v>261</v>
      </c>
      <c r="U2945" t="s">
        <v>262</v>
      </c>
      <c r="V2945" t="s">
        <v>262</v>
      </c>
      <c r="W2945" t="s">
        <v>261</v>
      </c>
      <c r="X2945" t="s">
        <v>262</v>
      </c>
      <c r="Y2945" t="s">
        <v>261</v>
      </c>
      <c r="Z2945" t="s">
        <v>409</v>
      </c>
      <c r="AA2945" t="s">
        <v>409</v>
      </c>
      <c r="AB2945" t="s">
        <v>409</v>
      </c>
      <c r="AC2945" t="s">
        <v>409</v>
      </c>
      <c r="AD2945" t="s">
        <v>261</v>
      </c>
      <c r="AH2945" t="s">
        <v>262</v>
      </c>
      <c r="AI2945" t="s">
        <v>262</v>
      </c>
      <c r="AJ2945" t="s">
        <v>261</v>
      </c>
      <c r="AK2945" t="s">
        <v>261</v>
      </c>
      <c r="AM2945" t="s">
        <v>262</v>
      </c>
      <c r="AN2945" t="s">
        <v>8097</v>
      </c>
    </row>
    <row r="2946" spans="1:40" x14ac:dyDescent="0.35">
      <c r="A2946">
        <v>6762764</v>
      </c>
      <c r="B2946" t="s">
        <v>8098</v>
      </c>
      <c r="C2946" t="str">
        <f>"9783837648270"</f>
        <v>9783837648270</v>
      </c>
      <c r="D2946" t="str">
        <f>"9783839448274"</f>
        <v>9783839448274</v>
      </c>
      <c r="E2946" t="s">
        <v>7532</v>
      </c>
      <c r="F2946" t="s">
        <v>7533</v>
      </c>
      <c r="G2946" s="1">
        <v>43952</v>
      </c>
      <c r="H2946" s="1">
        <v>44567</v>
      </c>
      <c r="I2946" t="s">
        <v>189</v>
      </c>
      <c r="J2946">
        <v>1</v>
      </c>
      <c r="K2946" t="s">
        <v>7559</v>
      </c>
      <c r="L2946" t="s">
        <v>8099</v>
      </c>
    </row>
    <row r="2947" spans="1:40" x14ac:dyDescent="0.35">
      <c r="A2947">
        <v>6762773</v>
      </c>
      <c r="B2947" t="s">
        <v>8100</v>
      </c>
      <c r="C2947" t="str">
        <f>"9783837655971"</f>
        <v>9783837655971</v>
      </c>
      <c r="D2947" t="str">
        <f>"9783839455975"</f>
        <v>9783839455975</v>
      </c>
      <c r="E2947" t="s">
        <v>7532</v>
      </c>
      <c r="F2947" t="s">
        <v>7533</v>
      </c>
      <c r="G2947" s="1">
        <v>44287</v>
      </c>
      <c r="H2947" s="1">
        <v>44567</v>
      </c>
      <c r="I2947" t="s">
        <v>189</v>
      </c>
      <c r="J2947">
        <v>1</v>
      </c>
      <c r="K2947" t="s">
        <v>7760</v>
      </c>
      <c r="L2947" t="s">
        <v>8101</v>
      </c>
      <c r="M2947" t="s">
        <v>329</v>
      </c>
      <c r="Q2947" t="s">
        <v>408</v>
      </c>
      <c r="R2947" t="s">
        <v>261</v>
      </c>
      <c r="S2947" t="s">
        <v>261</v>
      </c>
      <c r="T2947" t="s">
        <v>261</v>
      </c>
      <c r="U2947" t="s">
        <v>262</v>
      </c>
      <c r="V2947" t="s">
        <v>262</v>
      </c>
      <c r="W2947" t="s">
        <v>261</v>
      </c>
      <c r="X2947" t="s">
        <v>262</v>
      </c>
      <c r="Y2947" t="s">
        <v>261</v>
      </c>
      <c r="Z2947" t="s">
        <v>409</v>
      </c>
      <c r="AA2947" t="s">
        <v>409</v>
      </c>
      <c r="AB2947" t="s">
        <v>409</v>
      </c>
      <c r="AC2947" t="s">
        <v>409</v>
      </c>
      <c r="AD2947" t="s">
        <v>261</v>
      </c>
      <c r="AH2947" t="s">
        <v>262</v>
      </c>
      <c r="AI2947" t="s">
        <v>262</v>
      </c>
      <c r="AJ2947" t="s">
        <v>261</v>
      </c>
      <c r="AK2947" t="s">
        <v>261</v>
      </c>
      <c r="AM2947" t="s">
        <v>262</v>
      </c>
      <c r="AN2947" t="s">
        <v>8102</v>
      </c>
    </row>
    <row r="2948" spans="1:40" x14ac:dyDescent="0.35">
      <c r="A2948">
        <v>6762852</v>
      </c>
      <c r="B2948" t="s">
        <v>8103</v>
      </c>
      <c r="C2948" t="str">
        <f>"9783837641080"</f>
        <v>9783837641080</v>
      </c>
      <c r="D2948" t="str">
        <f>"9783839441084"</f>
        <v>9783839441084</v>
      </c>
      <c r="E2948" t="s">
        <v>7532</v>
      </c>
      <c r="F2948" t="s">
        <v>7533</v>
      </c>
      <c r="G2948" s="1">
        <v>43282</v>
      </c>
      <c r="H2948" s="1">
        <v>44567</v>
      </c>
      <c r="I2948" t="s">
        <v>189</v>
      </c>
      <c r="J2948">
        <v>1</v>
      </c>
      <c r="K2948" t="s">
        <v>7587</v>
      </c>
      <c r="L2948" t="s">
        <v>8104</v>
      </c>
      <c r="M2948" t="s">
        <v>329</v>
      </c>
      <c r="Q2948" t="s">
        <v>260</v>
      </c>
      <c r="R2948" t="s">
        <v>261</v>
      </c>
      <c r="S2948" t="s">
        <v>261</v>
      </c>
      <c r="T2948" t="s">
        <v>261</v>
      </c>
      <c r="U2948" t="s">
        <v>262</v>
      </c>
      <c r="V2948" t="s">
        <v>262</v>
      </c>
      <c r="W2948" t="s">
        <v>261</v>
      </c>
      <c r="X2948" t="s">
        <v>262</v>
      </c>
      <c r="Y2948" t="s">
        <v>261</v>
      </c>
      <c r="Z2948" t="s">
        <v>409</v>
      </c>
      <c r="AA2948" t="s">
        <v>409</v>
      </c>
      <c r="AB2948" t="s">
        <v>409</v>
      </c>
      <c r="AC2948" t="s">
        <v>409</v>
      </c>
      <c r="AD2948" t="s">
        <v>261</v>
      </c>
      <c r="AH2948" t="s">
        <v>262</v>
      </c>
      <c r="AI2948" t="s">
        <v>262</v>
      </c>
      <c r="AJ2948" t="s">
        <v>261</v>
      </c>
      <c r="AK2948" t="s">
        <v>261</v>
      </c>
      <c r="AM2948" t="s">
        <v>262</v>
      </c>
      <c r="AN2948" t="s">
        <v>8105</v>
      </c>
    </row>
    <row r="2949" spans="1:40" x14ac:dyDescent="0.35">
      <c r="A2949">
        <v>6762914</v>
      </c>
      <c r="B2949" t="s">
        <v>8106</v>
      </c>
      <c r="C2949" t="str">
        <f>"9783837656541"</f>
        <v>9783837656541</v>
      </c>
      <c r="D2949" t="str">
        <f>"9783839456545"</f>
        <v>9783839456545</v>
      </c>
      <c r="E2949" t="s">
        <v>7532</v>
      </c>
      <c r="F2949" t="s">
        <v>7533</v>
      </c>
      <c r="G2949" s="1">
        <v>44287</v>
      </c>
      <c r="H2949" s="1">
        <v>44567</v>
      </c>
      <c r="I2949" t="s">
        <v>189</v>
      </c>
      <c r="J2949">
        <v>1</v>
      </c>
      <c r="K2949" t="s">
        <v>7553</v>
      </c>
      <c r="L2949" t="s">
        <v>8107</v>
      </c>
    </row>
    <row r="2950" spans="1:40" x14ac:dyDescent="0.35">
      <c r="A2950">
        <v>6763086</v>
      </c>
      <c r="B2950" t="s">
        <v>8108</v>
      </c>
      <c r="C2950" t="str">
        <f>"9783837637939"</f>
        <v>9783837637939</v>
      </c>
      <c r="D2950" t="str">
        <f>"9783839437933"</f>
        <v>9783839437933</v>
      </c>
      <c r="E2950" t="s">
        <v>7532</v>
      </c>
      <c r="F2950" t="s">
        <v>7533</v>
      </c>
      <c r="G2950" s="1">
        <v>43282</v>
      </c>
      <c r="H2950" s="1">
        <v>44567</v>
      </c>
      <c r="I2950" t="s">
        <v>189</v>
      </c>
      <c r="J2950">
        <v>1</v>
      </c>
      <c r="K2950" t="s">
        <v>7534</v>
      </c>
      <c r="L2950" t="s">
        <v>8109</v>
      </c>
    </row>
    <row r="2951" spans="1:40" x14ac:dyDescent="0.35">
      <c r="A2951">
        <v>6763297</v>
      </c>
      <c r="B2951" t="s">
        <v>8110</v>
      </c>
      <c r="C2951" t="str">
        <f>"9783837657296"</f>
        <v>9783837657296</v>
      </c>
      <c r="D2951" t="str">
        <f>"9783839457290"</f>
        <v>9783839457290</v>
      </c>
      <c r="E2951" t="s">
        <v>7532</v>
      </c>
      <c r="F2951" t="s">
        <v>7533</v>
      </c>
      <c r="G2951" s="1">
        <v>44348</v>
      </c>
      <c r="H2951" s="1">
        <v>44567</v>
      </c>
      <c r="I2951" t="s">
        <v>189</v>
      </c>
      <c r="J2951">
        <v>1</v>
      </c>
      <c r="K2951" t="s">
        <v>8111</v>
      </c>
      <c r="L2951" t="s">
        <v>8112</v>
      </c>
      <c r="M2951" t="s">
        <v>219</v>
      </c>
      <c r="Q2951" t="s">
        <v>260</v>
      </c>
      <c r="R2951" t="s">
        <v>261</v>
      </c>
      <c r="S2951" t="s">
        <v>261</v>
      </c>
      <c r="T2951" t="s">
        <v>261</v>
      </c>
      <c r="U2951" t="s">
        <v>262</v>
      </c>
      <c r="V2951" t="s">
        <v>262</v>
      </c>
      <c r="W2951" t="s">
        <v>261</v>
      </c>
      <c r="X2951" t="s">
        <v>262</v>
      </c>
      <c r="Y2951" t="s">
        <v>261</v>
      </c>
      <c r="Z2951" t="s">
        <v>409</v>
      </c>
      <c r="AA2951" t="s">
        <v>409</v>
      </c>
      <c r="AB2951" t="s">
        <v>409</v>
      </c>
      <c r="AC2951" t="s">
        <v>409</v>
      </c>
      <c r="AD2951" t="s">
        <v>261</v>
      </c>
      <c r="AH2951" t="s">
        <v>262</v>
      </c>
      <c r="AI2951" t="s">
        <v>262</v>
      </c>
      <c r="AJ2951" t="s">
        <v>261</v>
      </c>
      <c r="AK2951" t="s">
        <v>261</v>
      </c>
      <c r="AM2951" t="s">
        <v>262</v>
      </c>
      <c r="AN2951" t="s">
        <v>8113</v>
      </c>
    </row>
    <row r="2952" spans="1:40" x14ac:dyDescent="0.35">
      <c r="A2952">
        <v>6763442</v>
      </c>
      <c r="B2952" t="s">
        <v>8114</v>
      </c>
      <c r="C2952" t="str">
        <f>"9783837655292"</f>
        <v>9783837655292</v>
      </c>
      <c r="D2952" t="str">
        <f>"9783839455296"</f>
        <v>9783839455296</v>
      </c>
      <c r="E2952" t="s">
        <v>7532</v>
      </c>
      <c r="F2952" t="s">
        <v>7533</v>
      </c>
      <c r="G2952" s="1">
        <v>44256</v>
      </c>
      <c r="H2952" s="1">
        <v>44510</v>
      </c>
      <c r="I2952" t="s">
        <v>189</v>
      </c>
      <c r="J2952">
        <v>1</v>
      </c>
      <c r="K2952" t="s">
        <v>8003</v>
      </c>
      <c r="L2952" t="s">
        <v>8115</v>
      </c>
    </row>
    <row r="2953" spans="1:40" x14ac:dyDescent="0.35">
      <c r="A2953">
        <v>6763648</v>
      </c>
      <c r="B2953" t="s">
        <v>8116</v>
      </c>
      <c r="C2953" t="str">
        <f>"9783732858224"</f>
        <v>9783732858224</v>
      </c>
      <c r="D2953" t="str">
        <f>"9783839458228"</f>
        <v>9783839458228</v>
      </c>
      <c r="E2953" t="s">
        <v>7532</v>
      </c>
      <c r="F2953" t="s">
        <v>7533</v>
      </c>
      <c r="G2953" s="1">
        <v>44348</v>
      </c>
      <c r="H2953" s="1">
        <v>44567</v>
      </c>
      <c r="I2953" t="s">
        <v>189</v>
      </c>
      <c r="J2953">
        <v>1</v>
      </c>
      <c r="K2953" t="s">
        <v>7553</v>
      </c>
      <c r="L2953" t="s">
        <v>8117</v>
      </c>
      <c r="M2953" t="s">
        <v>210</v>
      </c>
      <c r="Q2953" t="s">
        <v>408</v>
      </c>
      <c r="R2953" t="s">
        <v>261</v>
      </c>
      <c r="S2953" t="s">
        <v>261</v>
      </c>
      <c r="T2953" t="s">
        <v>261</v>
      </c>
      <c r="U2953" t="s">
        <v>262</v>
      </c>
      <c r="V2953" t="s">
        <v>262</v>
      </c>
      <c r="W2953" t="s">
        <v>261</v>
      </c>
      <c r="X2953" t="s">
        <v>262</v>
      </c>
      <c r="Y2953" t="s">
        <v>261</v>
      </c>
      <c r="Z2953" t="s">
        <v>409</v>
      </c>
      <c r="AA2953" t="s">
        <v>409</v>
      </c>
      <c r="AB2953" t="s">
        <v>409</v>
      </c>
      <c r="AC2953" t="s">
        <v>409</v>
      </c>
      <c r="AD2953" t="s">
        <v>261</v>
      </c>
      <c r="AH2953" t="s">
        <v>262</v>
      </c>
      <c r="AI2953" t="s">
        <v>262</v>
      </c>
      <c r="AJ2953" t="s">
        <v>261</v>
      </c>
      <c r="AK2953" t="s">
        <v>261</v>
      </c>
      <c r="AM2953" t="s">
        <v>262</v>
      </c>
      <c r="AN2953" t="s">
        <v>8118</v>
      </c>
    </row>
    <row r="2954" spans="1:40" x14ac:dyDescent="0.35">
      <c r="A2954">
        <v>6763705</v>
      </c>
      <c r="B2954" t="s">
        <v>8119</v>
      </c>
      <c r="C2954" t="str">
        <f>"9783837650792"</f>
        <v>9783837650792</v>
      </c>
      <c r="D2954" t="str">
        <f>"9783839450796"</f>
        <v>9783839450796</v>
      </c>
      <c r="E2954" t="s">
        <v>7532</v>
      </c>
      <c r="F2954" t="s">
        <v>7533</v>
      </c>
      <c r="G2954" s="1">
        <v>43831</v>
      </c>
      <c r="H2954" s="1">
        <v>44567</v>
      </c>
      <c r="I2954" t="s">
        <v>189</v>
      </c>
      <c r="J2954">
        <v>1</v>
      </c>
      <c r="K2954" t="s">
        <v>7545</v>
      </c>
      <c r="L2954" t="s">
        <v>8120</v>
      </c>
      <c r="M2954" t="s">
        <v>3181</v>
      </c>
    </row>
    <row r="2955" spans="1:40" x14ac:dyDescent="0.35">
      <c r="A2955">
        <v>6763725</v>
      </c>
      <c r="B2955" t="s">
        <v>8121</v>
      </c>
      <c r="C2955" t="str">
        <f>"9783837650099"</f>
        <v>9783837650099</v>
      </c>
      <c r="D2955" t="str">
        <f>"9783839450093"</f>
        <v>9783839450093</v>
      </c>
      <c r="E2955" t="s">
        <v>7532</v>
      </c>
      <c r="F2955" t="s">
        <v>7533</v>
      </c>
      <c r="G2955" s="1">
        <v>44075</v>
      </c>
      <c r="H2955" s="1">
        <v>44567</v>
      </c>
      <c r="I2955" t="s">
        <v>189</v>
      </c>
      <c r="J2955">
        <v>1</v>
      </c>
      <c r="K2955" t="s">
        <v>7545</v>
      </c>
      <c r="L2955" t="s">
        <v>8122</v>
      </c>
      <c r="M2955" t="s">
        <v>329</v>
      </c>
      <c r="Q2955" t="s">
        <v>408</v>
      </c>
      <c r="R2955" t="s">
        <v>261</v>
      </c>
      <c r="S2955" t="s">
        <v>261</v>
      </c>
      <c r="T2955" t="s">
        <v>261</v>
      </c>
      <c r="U2955" t="s">
        <v>262</v>
      </c>
      <c r="V2955" t="s">
        <v>262</v>
      </c>
      <c r="W2955" t="s">
        <v>261</v>
      </c>
      <c r="X2955" t="s">
        <v>262</v>
      </c>
      <c r="Y2955" t="s">
        <v>261</v>
      </c>
      <c r="Z2955" t="s">
        <v>409</v>
      </c>
      <c r="AA2955" t="s">
        <v>409</v>
      </c>
      <c r="AB2955" t="s">
        <v>409</v>
      </c>
      <c r="AC2955" t="s">
        <v>409</v>
      </c>
      <c r="AD2955" t="s">
        <v>261</v>
      </c>
      <c r="AH2955" t="s">
        <v>262</v>
      </c>
      <c r="AI2955" t="s">
        <v>262</v>
      </c>
      <c r="AJ2955" t="s">
        <v>261</v>
      </c>
      <c r="AK2955" t="s">
        <v>261</v>
      </c>
      <c r="AM2955" t="s">
        <v>262</v>
      </c>
      <c r="AN2955" t="s">
        <v>8123</v>
      </c>
    </row>
    <row r="2956" spans="1:40" x14ac:dyDescent="0.35">
      <c r="A2956">
        <v>6763800</v>
      </c>
      <c r="B2956" t="s">
        <v>8124</v>
      </c>
      <c r="C2956" t="str">
        <f>"9783837650457"</f>
        <v>9783837650457</v>
      </c>
      <c r="D2956" t="str">
        <f>"9783839450451"</f>
        <v>9783839450451</v>
      </c>
      <c r="E2956" t="s">
        <v>7532</v>
      </c>
      <c r="F2956" t="s">
        <v>7533</v>
      </c>
      <c r="G2956" s="1">
        <v>44105</v>
      </c>
      <c r="H2956" s="1">
        <v>44567</v>
      </c>
      <c r="I2956" t="s">
        <v>189</v>
      </c>
      <c r="J2956">
        <v>1</v>
      </c>
      <c r="K2956" t="s">
        <v>8125</v>
      </c>
      <c r="L2956" t="s">
        <v>8126</v>
      </c>
      <c r="M2956" t="s">
        <v>389</v>
      </c>
      <c r="N2956" t="s">
        <v>8127</v>
      </c>
      <c r="Q2956" t="s">
        <v>408</v>
      </c>
      <c r="R2956" t="s">
        <v>261</v>
      </c>
      <c r="S2956" t="s">
        <v>261</v>
      </c>
      <c r="T2956" t="s">
        <v>261</v>
      </c>
      <c r="U2956" t="s">
        <v>262</v>
      </c>
      <c r="V2956" t="s">
        <v>262</v>
      </c>
      <c r="W2956" t="s">
        <v>261</v>
      </c>
      <c r="X2956" t="s">
        <v>262</v>
      </c>
      <c r="Y2956" t="s">
        <v>261</v>
      </c>
      <c r="Z2956" t="s">
        <v>409</v>
      </c>
      <c r="AA2956" t="s">
        <v>409</v>
      </c>
      <c r="AB2956" t="s">
        <v>409</v>
      </c>
      <c r="AC2956" t="s">
        <v>409</v>
      </c>
      <c r="AD2956" t="s">
        <v>261</v>
      </c>
      <c r="AH2956" t="s">
        <v>262</v>
      </c>
      <c r="AI2956" t="s">
        <v>262</v>
      </c>
      <c r="AJ2956" t="s">
        <v>261</v>
      </c>
      <c r="AK2956" t="s">
        <v>261</v>
      </c>
      <c r="AM2956" t="s">
        <v>262</v>
      </c>
      <c r="AN2956" t="s">
        <v>8128</v>
      </c>
    </row>
    <row r="2957" spans="1:40" x14ac:dyDescent="0.35">
      <c r="A2957">
        <v>6764058</v>
      </c>
      <c r="B2957" t="s">
        <v>8129</v>
      </c>
      <c r="C2957" t="str">
        <f>"9783837652673"</f>
        <v>9783837652673</v>
      </c>
      <c r="D2957" t="str">
        <f>"9783839452677"</f>
        <v>9783839452677</v>
      </c>
      <c r="E2957" t="s">
        <v>7532</v>
      </c>
      <c r="F2957" t="s">
        <v>7533</v>
      </c>
      <c r="G2957" s="1">
        <v>44013</v>
      </c>
      <c r="H2957" s="1">
        <v>44567</v>
      </c>
      <c r="I2957" t="s">
        <v>189</v>
      </c>
      <c r="J2957">
        <v>1</v>
      </c>
      <c r="K2957" t="s">
        <v>7885</v>
      </c>
      <c r="L2957" t="s">
        <v>7886</v>
      </c>
    </row>
    <row r="2958" spans="1:40" x14ac:dyDescent="0.35">
      <c r="A2958">
        <v>6764155</v>
      </c>
      <c r="B2958" t="s">
        <v>8130</v>
      </c>
      <c r="C2958" t="str">
        <f>"9783837650136"</f>
        <v>9783837650136</v>
      </c>
      <c r="D2958" t="str">
        <f>"9783839450130"</f>
        <v>9783839450130</v>
      </c>
      <c r="E2958" t="s">
        <v>7532</v>
      </c>
      <c r="F2958" t="s">
        <v>7533</v>
      </c>
      <c r="G2958" s="1">
        <v>44075</v>
      </c>
      <c r="H2958" s="1">
        <v>44567</v>
      </c>
      <c r="I2958" t="s">
        <v>189</v>
      </c>
      <c r="J2958">
        <v>1</v>
      </c>
      <c r="K2958" t="s">
        <v>8131</v>
      </c>
      <c r="L2958" t="s">
        <v>8132</v>
      </c>
    </row>
    <row r="2959" spans="1:40" x14ac:dyDescent="0.35">
      <c r="A2959">
        <v>6764187</v>
      </c>
      <c r="B2959" t="s">
        <v>8133</v>
      </c>
      <c r="C2959" t="str">
        <f>"9783837655049"</f>
        <v>9783837655049</v>
      </c>
      <c r="D2959" t="str">
        <f>"9783839455043"</f>
        <v>9783839455043</v>
      </c>
      <c r="E2959" t="s">
        <v>7532</v>
      </c>
      <c r="F2959" t="s">
        <v>7533</v>
      </c>
      <c r="G2959" s="1">
        <v>44317</v>
      </c>
      <c r="H2959" s="1">
        <v>44567</v>
      </c>
      <c r="I2959" t="s">
        <v>189</v>
      </c>
      <c r="J2959">
        <v>1</v>
      </c>
      <c r="K2959" t="s">
        <v>7587</v>
      </c>
      <c r="L2959" t="s">
        <v>8134</v>
      </c>
    </row>
    <row r="2960" spans="1:40" x14ac:dyDescent="0.35">
      <c r="A2960">
        <v>6764223</v>
      </c>
      <c r="B2960" t="s">
        <v>8135</v>
      </c>
      <c r="C2960" t="str">
        <f>"9783837649178"</f>
        <v>9783837649178</v>
      </c>
      <c r="D2960" t="str">
        <f>"9783839449172"</f>
        <v>9783839449172</v>
      </c>
      <c r="E2960" t="s">
        <v>7532</v>
      </c>
      <c r="F2960" t="s">
        <v>7533</v>
      </c>
      <c r="G2960" s="1">
        <v>44256</v>
      </c>
      <c r="H2960" s="1">
        <v>44567</v>
      </c>
      <c r="I2960" t="s">
        <v>189</v>
      </c>
      <c r="J2960">
        <v>1</v>
      </c>
      <c r="K2960" t="s">
        <v>7901</v>
      </c>
      <c r="L2960" t="s">
        <v>8136</v>
      </c>
      <c r="M2960" t="s">
        <v>329</v>
      </c>
      <c r="Q2960" t="s">
        <v>260</v>
      </c>
      <c r="R2960" t="s">
        <v>261</v>
      </c>
      <c r="S2960" t="s">
        <v>261</v>
      </c>
      <c r="T2960" t="s">
        <v>261</v>
      </c>
      <c r="U2960" t="s">
        <v>262</v>
      </c>
      <c r="V2960" t="s">
        <v>262</v>
      </c>
      <c r="W2960" t="s">
        <v>261</v>
      </c>
      <c r="X2960" t="s">
        <v>262</v>
      </c>
      <c r="Y2960" t="s">
        <v>261</v>
      </c>
      <c r="Z2960" t="s">
        <v>409</v>
      </c>
      <c r="AA2960" t="s">
        <v>409</v>
      </c>
      <c r="AB2960" t="s">
        <v>409</v>
      </c>
      <c r="AC2960" t="s">
        <v>409</v>
      </c>
      <c r="AD2960" t="s">
        <v>261</v>
      </c>
      <c r="AH2960" t="s">
        <v>262</v>
      </c>
      <c r="AI2960" t="s">
        <v>262</v>
      </c>
      <c r="AJ2960" t="s">
        <v>261</v>
      </c>
      <c r="AK2960" t="s">
        <v>261</v>
      </c>
      <c r="AM2960" t="s">
        <v>262</v>
      </c>
      <c r="AN2960" t="s">
        <v>8137</v>
      </c>
    </row>
    <row r="2961" spans="1:40" x14ac:dyDescent="0.35">
      <c r="A2961">
        <v>6764384</v>
      </c>
      <c r="B2961" t="s">
        <v>8138</v>
      </c>
      <c r="C2961" t="str">
        <f>"9783732850716"</f>
        <v>9783732850716</v>
      </c>
      <c r="D2961" t="str">
        <f>"9783839450710"</f>
        <v>9783839450710</v>
      </c>
      <c r="E2961" t="s">
        <v>7532</v>
      </c>
      <c r="F2961" t="s">
        <v>7533</v>
      </c>
      <c r="G2961" s="1">
        <v>44013</v>
      </c>
      <c r="H2961" s="1">
        <v>44567</v>
      </c>
      <c r="I2961" t="s">
        <v>189</v>
      </c>
      <c r="J2961">
        <v>1</v>
      </c>
      <c r="K2961" t="s">
        <v>7553</v>
      </c>
      <c r="L2961" t="s">
        <v>8139</v>
      </c>
    </row>
    <row r="2962" spans="1:40" x14ac:dyDescent="0.35">
      <c r="A2962">
        <v>6764473</v>
      </c>
      <c r="B2962" t="s">
        <v>8140</v>
      </c>
      <c r="C2962" t="str">
        <f>"9783837643305"</f>
        <v>9783837643305</v>
      </c>
      <c r="D2962" t="str">
        <f>"9783839443309"</f>
        <v>9783839443309</v>
      </c>
      <c r="E2962" t="s">
        <v>7532</v>
      </c>
      <c r="F2962" t="s">
        <v>7533</v>
      </c>
      <c r="G2962" s="1">
        <v>43952</v>
      </c>
      <c r="H2962" s="1">
        <v>44567</v>
      </c>
      <c r="I2962" t="s">
        <v>189</v>
      </c>
      <c r="J2962">
        <v>1</v>
      </c>
      <c r="K2962" t="s">
        <v>7959</v>
      </c>
      <c r="L2962" t="s">
        <v>8141</v>
      </c>
    </row>
    <row r="2963" spans="1:40" x14ac:dyDescent="0.35">
      <c r="A2963">
        <v>6764529</v>
      </c>
      <c r="B2963" t="s">
        <v>8142</v>
      </c>
      <c r="C2963" t="str">
        <f>"9783837653526"</f>
        <v>9783837653526</v>
      </c>
      <c r="D2963" t="str">
        <f>"9783839453520"</f>
        <v>9783839453520</v>
      </c>
      <c r="E2963" t="s">
        <v>7532</v>
      </c>
      <c r="F2963" t="s">
        <v>7533</v>
      </c>
      <c r="G2963" s="1">
        <v>44013</v>
      </c>
      <c r="H2963" s="1">
        <v>44567</v>
      </c>
      <c r="I2963" t="s">
        <v>189</v>
      </c>
      <c r="J2963">
        <v>1</v>
      </c>
      <c r="K2963" t="s">
        <v>7663</v>
      </c>
      <c r="L2963" t="s">
        <v>8143</v>
      </c>
      <c r="M2963" t="s">
        <v>578</v>
      </c>
      <c r="Q2963" t="s">
        <v>260</v>
      </c>
      <c r="R2963" t="s">
        <v>261</v>
      </c>
      <c r="S2963" t="s">
        <v>261</v>
      </c>
      <c r="T2963" t="s">
        <v>261</v>
      </c>
      <c r="U2963" t="s">
        <v>262</v>
      </c>
      <c r="V2963" t="s">
        <v>262</v>
      </c>
      <c r="W2963" t="s">
        <v>261</v>
      </c>
      <c r="X2963" t="s">
        <v>262</v>
      </c>
      <c r="Y2963" t="s">
        <v>261</v>
      </c>
      <c r="Z2963" t="s">
        <v>409</v>
      </c>
      <c r="AA2963" t="s">
        <v>409</v>
      </c>
      <c r="AB2963" t="s">
        <v>409</v>
      </c>
      <c r="AC2963" t="s">
        <v>409</v>
      </c>
      <c r="AD2963" t="s">
        <v>261</v>
      </c>
      <c r="AH2963" t="s">
        <v>262</v>
      </c>
      <c r="AI2963" t="s">
        <v>262</v>
      </c>
      <c r="AJ2963" t="s">
        <v>261</v>
      </c>
      <c r="AK2963" t="s">
        <v>261</v>
      </c>
      <c r="AM2963" t="s">
        <v>262</v>
      </c>
      <c r="AN2963" t="s">
        <v>8144</v>
      </c>
    </row>
    <row r="2964" spans="1:40" x14ac:dyDescent="0.35">
      <c r="A2964">
        <v>6764540</v>
      </c>
      <c r="B2964" t="s">
        <v>8145</v>
      </c>
      <c r="C2964" t="str">
        <f>""</f>
        <v/>
      </c>
      <c r="D2964" t="str">
        <f>"9780824882402"</f>
        <v>9780824882402</v>
      </c>
      <c r="E2964" t="s">
        <v>7764</v>
      </c>
      <c r="F2964" t="s">
        <v>7764</v>
      </c>
      <c r="G2964" s="1">
        <v>29465</v>
      </c>
      <c r="H2964" s="1">
        <v>44567</v>
      </c>
      <c r="I2964" t="s">
        <v>189</v>
      </c>
      <c r="J2964">
        <v>1</v>
      </c>
      <c r="L2964" t="s">
        <v>8146</v>
      </c>
      <c r="M2964" t="s">
        <v>239</v>
      </c>
    </row>
    <row r="2965" spans="1:40" x14ac:dyDescent="0.35">
      <c r="A2965">
        <v>6764561</v>
      </c>
      <c r="B2965" t="s">
        <v>8147</v>
      </c>
      <c r="C2965" t="str">
        <f>"9783837657470"</f>
        <v>9783837657470</v>
      </c>
      <c r="D2965" t="str">
        <f>"9783839457474"</f>
        <v>9783839457474</v>
      </c>
      <c r="E2965" t="s">
        <v>7532</v>
      </c>
      <c r="F2965" t="s">
        <v>7533</v>
      </c>
      <c r="G2965" s="1">
        <v>44348</v>
      </c>
      <c r="H2965" s="1">
        <v>44567</v>
      </c>
      <c r="I2965" t="s">
        <v>189</v>
      </c>
      <c r="J2965">
        <v>1</v>
      </c>
      <c r="K2965" t="s">
        <v>8003</v>
      </c>
      <c r="L2965" t="s">
        <v>8148</v>
      </c>
    </row>
    <row r="2966" spans="1:40" x14ac:dyDescent="0.35">
      <c r="A2966">
        <v>6764610</v>
      </c>
      <c r="B2966" t="s">
        <v>8149</v>
      </c>
      <c r="C2966" t="str">
        <f>"9783837654028"</f>
        <v>9783837654028</v>
      </c>
      <c r="D2966" t="str">
        <f>"9783839454022"</f>
        <v>9783839454022</v>
      </c>
      <c r="E2966" t="s">
        <v>7532</v>
      </c>
      <c r="F2966" t="s">
        <v>7533</v>
      </c>
      <c r="G2966" s="1">
        <v>44256</v>
      </c>
      <c r="H2966" s="1">
        <v>44567</v>
      </c>
      <c r="I2966" t="s">
        <v>189</v>
      </c>
      <c r="J2966">
        <v>1</v>
      </c>
      <c r="K2966" t="s">
        <v>7872</v>
      </c>
      <c r="L2966" t="s">
        <v>8150</v>
      </c>
    </row>
    <row r="2967" spans="1:40" x14ac:dyDescent="0.35">
      <c r="A2967">
        <v>6764846</v>
      </c>
      <c r="B2967" t="s">
        <v>8151</v>
      </c>
      <c r="C2967" t="str">
        <f>"9783732852819"</f>
        <v>9783732852819</v>
      </c>
      <c r="D2967" t="str">
        <f>"9783839452813"</f>
        <v>9783839452813</v>
      </c>
      <c r="E2967" t="s">
        <v>7532</v>
      </c>
      <c r="F2967" t="s">
        <v>7533</v>
      </c>
      <c r="G2967" s="1">
        <v>44348</v>
      </c>
      <c r="H2967" s="1">
        <v>44567</v>
      </c>
      <c r="I2967" t="s">
        <v>189</v>
      </c>
      <c r="J2967">
        <v>1</v>
      </c>
      <c r="K2967" t="s">
        <v>7611</v>
      </c>
      <c r="L2967" t="s">
        <v>8152</v>
      </c>
    </row>
    <row r="2968" spans="1:40" x14ac:dyDescent="0.35">
      <c r="A2968">
        <v>6765017</v>
      </c>
      <c r="B2968" t="s">
        <v>8153</v>
      </c>
      <c r="C2968" t="str">
        <f>"9783837655698"</f>
        <v>9783837655698</v>
      </c>
      <c r="D2968" t="str">
        <f>"9783839455692"</f>
        <v>9783839455692</v>
      </c>
      <c r="E2968" t="s">
        <v>7532</v>
      </c>
      <c r="F2968" t="s">
        <v>7533</v>
      </c>
      <c r="G2968" s="1">
        <v>44197</v>
      </c>
      <c r="H2968" s="1">
        <v>44567</v>
      </c>
      <c r="I2968" t="s">
        <v>189</v>
      </c>
      <c r="J2968">
        <v>1</v>
      </c>
      <c r="K2968" t="s">
        <v>8154</v>
      </c>
      <c r="L2968" t="s">
        <v>8155</v>
      </c>
    </row>
    <row r="2969" spans="1:40" x14ac:dyDescent="0.35">
      <c r="A2969">
        <v>6765039</v>
      </c>
      <c r="B2969" t="s">
        <v>8156</v>
      </c>
      <c r="C2969" t="str">
        <f>"9783837641790"</f>
        <v>9783837641790</v>
      </c>
      <c r="D2969" t="str">
        <f>"9783839441794"</f>
        <v>9783839441794</v>
      </c>
      <c r="E2969" t="s">
        <v>7532</v>
      </c>
      <c r="F2969" t="s">
        <v>7533</v>
      </c>
      <c r="G2969" s="1">
        <v>43160</v>
      </c>
      <c r="H2969" s="1">
        <v>44567</v>
      </c>
      <c r="I2969" t="s">
        <v>189</v>
      </c>
      <c r="J2969">
        <v>1</v>
      </c>
      <c r="K2969" t="s">
        <v>7678</v>
      </c>
      <c r="L2969" t="s">
        <v>8157</v>
      </c>
    </row>
    <row r="2970" spans="1:40" x14ac:dyDescent="0.35">
      <c r="A2970">
        <v>6765082</v>
      </c>
      <c r="B2970" t="s">
        <v>8158</v>
      </c>
      <c r="C2970" t="str">
        <f>"9783837651942"</f>
        <v>9783837651942</v>
      </c>
      <c r="D2970" t="str">
        <f>"9783839451946"</f>
        <v>9783839451946</v>
      </c>
      <c r="E2970" t="s">
        <v>7532</v>
      </c>
      <c r="F2970" t="s">
        <v>7533</v>
      </c>
      <c r="G2970" s="1">
        <v>44013</v>
      </c>
      <c r="H2970" s="1">
        <v>44567</v>
      </c>
      <c r="I2970" t="s">
        <v>189</v>
      </c>
      <c r="J2970">
        <v>1</v>
      </c>
      <c r="K2970" t="s">
        <v>7760</v>
      </c>
      <c r="L2970" t="s">
        <v>8159</v>
      </c>
      <c r="M2970" t="s">
        <v>329</v>
      </c>
      <c r="Q2970" t="s">
        <v>408</v>
      </c>
      <c r="R2970" t="s">
        <v>261</v>
      </c>
      <c r="S2970" t="s">
        <v>261</v>
      </c>
      <c r="T2970" t="s">
        <v>261</v>
      </c>
      <c r="U2970" t="s">
        <v>262</v>
      </c>
      <c r="V2970" t="s">
        <v>262</v>
      </c>
      <c r="W2970" t="s">
        <v>261</v>
      </c>
      <c r="X2970" t="s">
        <v>262</v>
      </c>
      <c r="Y2970" t="s">
        <v>261</v>
      </c>
      <c r="Z2970" t="s">
        <v>409</v>
      </c>
      <c r="AA2970" t="s">
        <v>409</v>
      </c>
      <c r="AB2970" t="s">
        <v>409</v>
      </c>
      <c r="AC2970" t="s">
        <v>409</v>
      </c>
      <c r="AD2970" t="s">
        <v>261</v>
      </c>
      <c r="AH2970" t="s">
        <v>262</v>
      </c>
      <c r="AI2970" t="s">
        <v>262</v>
      </c>
      <c r="AJ2970" t="s">
        <v>261</v>
      </c>
      <c r="AK2970" t="s">
        <v>261</v>
      </c>
      <c r="AM2970" t="s">
        <v>262</v>
      </c>
      <c r="AN2970" t="s">
        <v>8160</v>
      </c>
    </row>
    <row r="2971" spans="1:40" x14ac:dyDescent="0.35">
      <c r="A2971">
        <v>6765249</v>
      </c>
      <c r="B2971" t="s">
        <v>8161</v>
      </c>
      <c r="C2971" t="str">
        <f>"9783837652024"</f>
        <v>9783837652024</v>
      </c>
      <c r="D2971" t="str">
        <f>"9783839452028"</f>
        <v>9783839452028</v>
      </c>
      <c r="E2971" t="s">
        <v>7532</v>
      </c>
      <c r="F2971" t="s">
        <v>7533</v>
      </c>
      <c r="G2971" s="1">
        <v>44256</v>
      </c>
      <c r="H2971" s="1">
        <v>44567</v>
      </c>
      <c r="I2971" t="s">
        <v>189</v>
      </c>
      <c r="J2971">
        <v>1</v>
      </c>
      <c r="K2971" t="s">
        <v>7545</v>
      </c>
      <c r="L2971" t="s">
        <v>8162</v>
      </c>
    </row>
    <row r="2972" spans="1:40" x14ac:dyDescent="0.35">
      <c r="A2972">
        <v>6765256</v>
      </c>
      <c r="B2972" t="s">
        <v>8163</v>
      </c>
      <c r="C2972" t="str">
        <f>"9783837650082"</f>
        <v>9783837650082</v>
      </c>
      <c r="D2972" t="str">
        <f>"9783839450086"</f>
        <v>9783839450086</v>
      </c>
      <c r="E2972" t="s">
        <v>7532</v>
      </c>
      <c r="F2972" t="s">
        <v>7533</v>
      </c>
      <c r="G2972" s="1">
        <v>43952</v>
      </c>
      <c r="H2972" s="1">
        <v>44567</v>
      </c>
      <c r="I2972" t="s">
        <v>189</v>
      </c>
      <c r="J2972">
        <v>1</v>
      </c>
      <c r="K2972" t="s">
        <v>7587</v>
      </c>
      <c r="L2972" t="s">
        <v>8164</v>
      </c>
      <c r="M2972" t="s">
        <v>578</v>
      </c>
      <c r="Q2972" t="s">
        <v>408</v>
      </c>
      <c r="R2972" t="s">
        <v>261</v>
      </c>
      <c r="S2972" t="s">
        <v>261</v>
      </c>
      <c r="T2972" t="s">
        <v>261</v>
      </c>
      <c r="U2972" t="s">
        <v>262</v>
      </c>
      <c r="V2972" t="s">
        <v>262</v>
      </c>
      <c r="W2972" t="s">
        <v>261</v>
      </c>
      <c r="X2972" t="s">
        <v>262</v>
      </c>
      <c r="Y2972" t="s">
        <v>261</v>
      </c>
      <c r="Z2972" t="s">
        <v>409</v>
      </c>
      <c r="AA2972" t="s">
        <v>409</v>
      </c>
      <c r="AB2972" t="s">
        <v>409</v>
      </c>
      <c r="AC2972" t="s">
        <v>409</v>
      </c>
      <c r="AD2972" t="s">
        <v>261</v>
      </c>
      <c r="AH2972" t="s">
        <v>262</v>
      </c>
      <c r="AI2972" t="s">
        <v>262</v>
      </c>
      <c r="AJ2972" t="s">
        <v>261</v>
      </c>
      <c r="AK2972" t="s">
        <v>261</v>
      </c>
      <c r="AM2972" t="s">
        <v>262</v>
      </c>
      <c r="AN2972" t="s">
        <v>8165</v>
      </c>
    </row>
    <row r="2973" spans="1:40" x14ac:dyDescent="0.35">
      <c r="A2973">
        <v>6765400</v>
      </c>
      <c r="B2973" t="s">
        <v>8166</v>
      </c>
      <c r="C2973" t="str">
        <f>"9783732856060"</f>
        <v>9783732856060</v>
      </c>
      <c r="D2973" t="str">
        <f>"9783839456064"</f>
        <v>9783839456064</v>
      </c>
      <c r="E2973" t="s">
        <v>7532</v>
      </c>
      <c r="F2973" t="s">
        <v>7533</v>
      </c>
      <c r="G2973" s="1">
        <v>44287</v>
      </c>
      <c r="H2973" s="1">
        <v>44567</v>
      </c>
      <c r="I2973" t="s">
        <v>189</v>
      </c>
      <c r="J2973">
        <v>1</v>
      </c>
      <c r="K2973" t="s">
        <v>7625</v>
      </c>
      <c r="L2973" t="s">
        <v>8167</v>
      </c>
      <c r="M2973" t="s">
        <v>329</v>
      </c>
      <c r="Q2973" t="s">
        <v>408</v>
      </c>
      <c r="R2973" t="s">
        <v>261</v>
      </c>
      <c r="S2973" t="s">
        <v>261</v>
      </c>
      <c r="T2973" t="s">
        <v>261</v>
      </c>
      <c r="U2973" t="s">
        <v>262</v>
      </c>
      <c r="V2973" t="s">
        <v>262</v>
      </c>
      <c r="W2973" t="s">
        <v>261</v>
      </c>
      <c r="X2973" t="s">
        <v>262</v>
      </c>
      <c r="Y2973" t="s">
        <v>261</v>
      </c>
      <c r="Z2973" t="s">
        <v>409</v>
      </c>
      <c r="AA2973" t="s">
        <v>409</v>
      </c>
      <c r="AB2973" t="s">
        <v>409</v>
      </c>
      <c r="AC2973" t="s">
        <v>409</v>
      </c>
      <c r="AD2973" t="s">
        <v>261</v>
      </c>
      <c r="AH2973" t="s">
        <v>262</v>
      </c>
      <c r="AI2973" t="s">
        <v>262</v>
      </c>
      <c r="AJ2973" t="s">
        <v>261</v>
      </c>
      <c r="AK2973" t="s">
        <v>261</v>
      </c>
      <c r="AM2973" t="s">
        <v>262</v>
      </c>
      <c r="AN2973" t="s">
        <v>8168</v>
      </c>
    </row>
    <row r="2974" spans="1:40" x14ac:dyDescent="0.35">
      <c r="A2974">
        <v>6765436</v>
      </c>
      <c r="B2974" t="s">
        <v>8169</v>
      </c>
      <c r="C2974" t="str">
        <f>"9783732831265"</f>
        <v>9783732831265</v>
      </c>
      <c r="D2974" t="str">
        <f>"9783839431269"</f>
        <v>9783839431269</v>
      </c>
      <c r="E2974" t="s">
        <v>7532</v>
      </c>
      <c r="F2974" t="s">
        <v>7533</v>
      </c>
      <c r="G2974" s="1">
        <v>43009</v>
      </c>
      <c r="H2974" s="1">
        <v>44567</v>
      </c>
      <c r="I2974" t="s">
        <v>189</v>
      </c>
      <c r="J2974">
        <v>1</v>
      </c>
      <c r="K2974" t="s">
        <v>8170</v>
      </c>
      <c r="L2974" t="s">
        <v>8171</v>
      </c>
    </row>
    <row r="2975" spans="1:40" x14ac:dyDescent="0.35">
      <c r="A2975">
        <v>6765780</v>
      </c>
      <c r="B2975" t="s">
        <v>8172</v>
      </c>
      <c r="C2975" t="str">
        <f>"9783732854677"</f>
        <v>9783732854677</v>
      </c>
      <c r="D2975" t="str">
        <f>"9783839454671"</f>
        <v>9783839454671</v>
      </c>
      <c r="E2975" t="s">
        <v>7532</v>
      </c>
      <c r="F2975" t="s">
        <v>7533</v>
      </c>
      <c r="G2975" s="1">
        <v>44256</v>
      </c>
      <c r="H2975" s="1">
        <v>44567</v>
      </c>
      <c r="I2975" t="s">
        <v>189</v>
      </c>
      <c r="J2975">
        <v>1</v>
      </c>
      <c r="K2975" t="s">
        <v>7638</v>
      </c>
      <c r="L2975" t="s">
        <v>8173</v>
      </c>
      <c r="M2975" t="s">
        <v>329</v>
      </c>
      <c r="Q2975" t="s">
        <v>408</v>
      </c>
      <c r="R2975" t="s">
        <v>261</v>
      </c>
      <c r="S2975" t="s">
        <v>261</v>
      </c>
      <c r="T2975" t="s">
        <v>261</v>
      </c>
      <c r="U2975" t="s">
        <v>262</v>
      </c>
      <c r="V2975" t="s">
        <v>262</v>
      </c>
      <c r="W2975" t="s">
        <v>261</v>
      </c>
      <c r="X2975" t="s">
        <v>262</v>
      </c>
      <c r="Y2975" t="s">
        <v>261</v>
      </c>
      <c r="Z2975" t="s">
        <v>409</v>
      </c>
      <c r="AA2975" t="s">
        <v>409</v>
      </c>
      <c r="AB2975" t="s">
        <v>409</v>
      </c>
      <c r="AC2975" t="s">
        <v>409</v>
      </c>
      <c r="AD2975" t="s">
        <v>261</v>
      </c>
      <c r="AH2975" t="s">
        <v>262</v>
      </c>
      <c r="AI2975" t="s">
        <v>262</v>
      </c>
      <c r="AJ2975" t="s">
        <v>261</v>
      </c>
      <c r="AK2975" t="s">
        <v>261</v>
      </c>
      <c r="AM2975" t="s">
        <v>262</v>
      </c>
      <c r="AN2975" t="s">
        <v>8174</v>
      </c>
    </row>
    <row r="2976" spans="1:40" x14ac:dyDescent="0.35">
      <c r="A2976">
        <v>6765781</v>
      </c>
      <c r="B2976" t="s">
        <v>8175</v>
      </c>
      <c r="C2976" t="str">
        <f>"9783732855278"</f>
        <v>9783732855278</v>
      </c>
      <c r="D2976" t="str">
        <f>"9783839455272"</f>
        <v>9783839455272</v>
      </c>
      <c r="E2976" t="s">
        <v>7532</v>
      </c>
      <c r="F2976" t="s">
        <v>7533</v>
      </c>
      <c r="G2976" s="1">
        <v>44166</v>
      </c>
      <c r="H2976" s="1">
        <v>44567</v>
      </c>
      <c r="I2976" t="s">
        <v>189</v>
      </c>
      <c r="J2976">
        <v>1</v>
      </c>
      <c r="K2976" t="s">
        <v>7823</v>
      </c>
      <c r="L2976" t="s">
        <v>8176</v>
      </c>
      <c r="M2976" t="s">
        <v>578</v>
      </c>
      <c r="Q2976" t="s">
        <v>408</v>
      </c>
      <c r="R2976" t="s">
        <v>261</v>
      </c>
      <c r="S2976" t="s">
        <v>261</v>
      </c>
      <c r="T2976" t="s">
        <v>261</v>
      </c>
      <c r="U2976" t="s">
        <v>262</v>
      </c>
      <c r="V2976" t="s">
        <v>262</v>
      </c>
      <c r="W2976" t="s">
        <v>261</v>
      </c>
      <c r="X2976" t="s">
        <v>262</v>
      </c>
      <c r="Y2976" t="s">
        <v>261</v>
      </c>
      <c r="Z2976" t="s">
        <v>409</v>
      </c>
      <c r="AA2976" t="s">
        <v>409</v>
      </c>
      <c r="AB2976" t="s">
        <v>409</v>
      </c>
      <c r="AC2976" t="s">
        <v>409</v>
      </c>
      <c r="AD2976" t="s">
        <v>261</v>
      </c>
      <c r="AH2976" t="s">
        <v>262</v>
      </c>
      <c r="AI2976" t="s">
        <v>262</v>
      </c>
      <c r="AJ2976" t="s">
        <v>261</v>
      </c>
      <c r="AK2976" t="s">
        <v>261</v>
      </c>
      <c r="AM2976" t="s">
        <v>262</v>
      </c>
      <c r="AN2976" t="s">
        <v>8177</v>
      </c>
    </row>
    <row r="2977" spans="1:40" x14ac:dyDescent="0.35">
      <c r="A2977">
        <v>6765917</v>
      </c>
      <c r="B2977" t="s">
        <v>8178</v>
      </c>
      <c r="C2977" t="str">
        <f>"9783732856336"</f>
        <v>9783732856336</v>
      </c>
      <c r="D2977" t="str">
        <f>"9783839456330"</f>
        <v>9783839456330</v>
      </c>
      <c r="E2977" t="s">
        <v>7532</v>
      </c>
      <c r="F2977" t="s">
        <v>7533</v>
      </c>
      <c r="G2977" s="1">
        <v>44287</v>
      </c>
      <c r="H2977" s="1">
        <v>44567</v>
      </c>
      <c r="I2977" t="s">
        <v>189</v>
      </c>
      <c r="J2977">
        <v>1</v>
      </c>
      <c r="K2977" t="s">
        <v>8125</v>
      </c>
      <c r="L2977" t="s">
        <v>8179</v>
      </c>
      <c r="M2977" t="s">
        <v>329</v>
      </c>
      <c r="Q2977" t="s">
        <v>408</v>
      </c>
      <c r="R2977" t="s">
        <v>261</v>
      </c>
      <c r="S2977" t="s">
        <v>261</v>
      </c>
      <c r="T2977" t="s">
        <v>261</v>
      </c>
      <c r="U2977" t="s">
        <v>262</v>
      </c>
      <c r="V2977" t="s">
        <v>262</v>
      </c>
      <c r="W2977" t="s">
        <v>261</v>
      </c>
      <c r="X2977" t="s">
        <v>262</v>
      </c>
      <c r="Y2977" t="s">
        <v>261</v>
      </c>
      <c r="Z2977" t="s">
        <v>409</v>
      </c>
      <c r="AA2977" t="s">
        <v>409</v>
      </c>
      <c r="AB2977" t="s">
        <v>409</v>
      </c>
      <c r="AC2977" t="s">
        <v>409</v>
      </c>
      <c r="AD2977" t="s">
        <v>261</v>
      </c>
      <c r="AH2977" t="s">
        <v>262</v>
      </c>
      <c r="AI2977" t="s">
        <v>262</v>
      </c>
      <c r="AJ2977" t="s">
        <v>261</v>
      </c>
      <c r="AK2977" t="s">
        <v>261</v>
      </c>
      <c r="AM2977" t="s">
        <v>262</v>
      </c>
      <c r="AN2977" t="s">
        <v>8180</v>
      </c>
    </row>
    <row r="2978" spans="1:40" x14ac:dyDescent="0.35">
      <c r="A2978">
        <v>6766014</v>
      </c>
      <c r="B2978" t="s">
        <v>8181</v>
      </c>
      <c r="C2978" t="str">
        <f>"9783837632484"</f>
        <v>9783837632484</v>
      </c>
      <c r="D2978" t="str">
        <f>"9783839432488"</f>
        <v>9783839432488</v>
      </c>
      <c r="E2978" t="s">
        <v>7532</v>
      </c>
      <c r="F2978" t="s">
        <v>7533</v>
      </c>
      <c r="G2978" s="1">
        <v>43252</v>
      </c>
      <c r="H2978" s="1">
        <v>44567</v>
      </c>
      <c r="I2978" t="s">
        <v>189</v>
      </c>
      <c r="J2978">
        <v>1</v>
      </c>
      <c r="K2978" t="s">
        <v>7534</v>
      </c>
      <c r="L2978" t="s">
        <v>8182</v>
      </c>
    </row>
    <row r="2979" spans="1:40" x14ac:dyDescent="0.35">
      <c r="A2979">
        <v>6766025</v>
      </c>
      <c r="B2979" t="s">
        <v>8183</v>
      </c>
      <c r="C2979" t="str">
        <f>"9783837656350"</f>
        <v>9783837656350</v>
      </c>
      <c r="D2979" t="str">
        <f>"9783839456354"</f>
        <v>9783839456354</v>
      </c>
      <c r="E2979" t="s">
        <v>7532</v>
      </c>
      <c r="F2979" t="s">
        <v>7533</v>
      </c>
      <c r="G2979" s="1">
        <v>44287</v>
      </c>
      <c r="H2979" s="1">
        <v>44567</v>
      </c>
      <c r="I2979" t="s">
        <v>189</v>
      </c>
      <c r="J2979">
        <v>1</v>
      </c>
      <c r="K2979" t="s">
        <v>7553</v>
      </c>
      <c r="L2979" t="s">
        <v>8184</v>
      </c>
    </row>
    <row r="2980" spans="1:40" x14ac:dyDescent="0.35">
      <c r="A2980">
        <v>6766045</v>
      </c>
      <c r="B2980" t="s">
        <v>8185</v>
      </c>
      <c r="C2980" t="str">
        <f>"9783837655711"</f>
        <v>9783837655711</v>
      </c>
      <c r="D2980" t="str">
        <f>"9783839455715"</f>
        <v>9783839455715</v>
      </c>
      <c r="E2980" t="s">
        <v>7532</v>
      </c>
      <c r="F2980" t="s">
        <v>7533</v>
      </c>
      <c r="G2980" s="1">
        <v>44166</v>
      </c>
      <c r="H2980" s="1">
        <v>44567</v>
      </c>
      <c r="I2980" t="s">
        <v>189</v>
      </c>
      <c r="J2980">
        <v>1</v>
      </c>
      <c r="K2980" t="s">
        <v>7655</v>
      </c>
      <c r="L2980" t="s">
        <v>8186</v>
      </c>
    </row>
    <row r="2981" spans="1:40" x14ac:dyDescent="0.35">
      <c r="A2981">
        <v>6766061</v>
      </c>
      <c r="B2981" t="s">
        <v>8187</v>
      </c>
      <c r="C2981" t="str">
        <f>"9783837646405"</f>
        <v>9783837646405</v>
      </c>
      <c r="D2981" t="str">
        <f>"9783839446409"</f>
        <v>9783839446409</v>
      </c>
      <c r="E2981" t="s">
        <v>7532</v>
      </c>
      <c r="F2981" t="s">
        <v>7533</v>
      </c>
      <c r="G2981" s="1">
        <v>44105</v>
      </c>
      <c r="H2981" s="1">
        <v>44537</v>
      </c>
      <c r="I2981" t="s">
        <v>189</v>
      </c>
      <c r="J2981">
        <v>1</v>
      </c>
      <c r="K2981" t="s">
        <v>7638</v>
      </c>
      <c r="L2981" t="s">
        <v>8188</v>
      </c>
    </row>
    <row r="2982" spans="1:40" x14ac:dyDescent="0.35">
      <c r="A2982">
        <v>6766187</v>
      </c>
      <c r="B2982" t="s">
        <v>8189</v>
      </c>
      <c r="C2982" t="str">
        <f>"9783837651973"</f>
        <v>9783837651973</v>
      </c>
      <c r="D2982" t="str">
        <f>"9783839451977"</f>
        <v>9783839451977</v>
      </c>
      <c r="E2982" t="s">
        <v>7532</v>
      </c>
      <c r="F2982" t="s">
        <v>7533</v>
      </c>
      <c r="G2982" s="1">
        <v>44166</v>
      </c>
      <c r="H2982" s="1">
        <v>44537</v>
      </c>
      <c r="I2982" t="s">
        <v>189</v>
      </c>
      <c r="J2982">
        <v>1</v>
      </c>
      <c r="K2982" t="s">
        <v>8065</v>
      </c>
      <c r="L2982" t="s">
        <v>8190</v>
      </c>
      <c r="M2982" t="s">
        <v>1578</v>
      </c>
      <c r="Q2982" t="s">
        <v>408</v>
      </c>
      <c r="R2982" t="s">
        <v>261</v>
      </c>
      <c r="S2982" t="s">
        <v>261</v>
      </c>
      <c r="T2982" t="s">
        <v>261</v>
      </c>
      <c r="U2982" t="s">
        <v>262</v>
      </c>
      <c r="V2982" t="s">
        <v>262</v>
      </c>
      <c r="W2982" t="s">
        <v>261</v>
      </c>
      <c r="X2982" t="s">
        <v>262</v>
      </c>
      <c r="Y2982" t="s">
        <v>261</v>
      </c>
      <c r="Z2982" t="s">
        <v>409</v>
      </c>
      <c r="AA2982" t="s">
        <v>409</v>
      </c>
      <c r="AB2982" t="s">
        <v>409</v>
      </c>
      <c r="AC2982" t="s">
        <v>409</v>
      </c>
      <c r="AD2982" t="s">
        <v>261</v>
      </c>
      <c r="AH2982" t="s">
        <v>262</v>
      </c>
      <c r="AI2982" t="s">
        <v>262</v>
      </c>
      <c r="AJ2982" t="s">
        <v>261</v>
      </c>
      <c r="AK2982" t="s">
        <v>261</v>
      </c>
      <c r="AM2982" t="s">
        <v>262</v>
      </c>
      <c r="AN2982" t="s">
        <v>8191</v>
      </c>
    </row>
    <row r="2983" spans="1:40" x14ac:dyDescent="0.35">
      <c r="A2983">
        <v>6768315</v>
      </c>
      <c r="B2983" t="s">
        <v>8192</v>
      </c>
      <c r="C2983" t="str">
        <f>"9789811227875"</f>
        <v>9789811227875</v>
      </c>
      <c r="D2983" t="str">
        <f>"9789811227882"</f>
        <v>9789811227882</v>
      </c>
      <c r="E2983" t="s">
        <v>3954</v>
      </c>
      <c r="F2983" t="s">
        <v>8193</v>
      </c>
      <c r="G2983" s="1">
        <v>44306</v>
      </c>
      <c r="H2983" s="1">
        <v>44488</v>
      </c>
      <c r="I2983" t="s">
        <v>189</v>
      </c>
      <c r="L2983" t="s">
        <v>8194</v>
      </c>
    </row>
    <row r="2984" spans="1:40" x14ac:dyDescent="0.35">
      <c r="A2984">
        <v>6768316</v>
      </c>
      <c r="B2984" t="s">
        <v>8195</v>
      </c>
      <c r="C2984" t="str">
        <f>"9789811232695"</f>
        <v>9789811232695</v>
      </c>
      <c r="D2984" t="str">
        <f>"9789811232701"</f>
        <v>9789811232701</v>
      </c>
      <c r="E2984" t="s">
        <v>3954</v>
      </c>
      <c r="F2984" t="s">
        <v>3955</v>
      </c>
      <c r="G2984" s="1">
        <v>44159</v>
      </c>
      <c r="H2984" s="1">
        <v>44490</v>
      </c>
      <c r="I2984" t="s">
        <v>189</v>
      </c>
      <c r="L2984" t="s">
        <v>4467</v>
      </c>
    </row>
    <row r="2985" spans="1:40" x14ac:dyDescent="0.35">
      <c r="A2985">
        <v>6768937</v>
      </c>
      <c r="B2985" t="s">
        <v>8196</v>
      </c>
      <c r="C2985" t="str">
        <f>"9780939512416"</f>
        <v>9780939512416</v>
      </c>
      <c r="D2985" t="str">
        <f>"9780472880027"</f>
        <v>9780472880027</v>
      </c>
      <c r="E2985" t="s">
        <v>6163</v>
      </c>
      <c r="F2985" t="s">
        <v>6163</v>
      </c>
      <c r="G2985" s="1">
        <v>33178</v>
      </c>
      <c r="H2985" s="1">
        <v>44491</v>
      </c>
      <c r="I2985" t="s">
        <v>189</v>
      </c>
      <c r="K2985" t="s">
        <v>8197</v>
      </c>
      <c r="L2985" t="s">
        <v>8198</v>
      </c>
      <c r="M2985" t="s">
        <v>219</v>
      </c>
      <c r="N2985" t="s">
        <v>8199</v>
      </c>
      <c r="O2985" t="s">
        <v>8200</v>
      </c>
      <c r="Q2985" t="s">
        <v>260</v>
      </c>
      <c r="R2985" t="s">
        <v>261</v>
      </c>
      <c r="S2985" t="s">
        <v>261</v>
      </c>
      <c r="T2985" t="s">
        <v>261</v>
      </c>
      <c r="U2985" t="s">
        <v>261</v>
      </c>
      <c r="V2985" t="s">
        <v>262</v>
      </c>
      <c r="W2985" t="s">
        <v>261</v>
      </c>
      <c r="X2985" t="s">
        <v>261</v>
      </c>
      <c r="Y2985" t="s">
        <v>261</v>
      </c>
      <c r="AA2985" t="s">
        <v>409</v>
      </c>
      <c r="AB2985" t="s">
        <v>409</v>
      </c>
      <c r="AC2985" t="s">
        <v>409</v>
      </c>
      <c r="AD2985" t="s">
        <v>261</v>
      </c>
      <c r="AH2985" t="s">
        <v>262</v>
      </c>
      <c r="AI2985" t="s">
        <v>262</v>
      </c>
      <c r="AJ2985" t="s">
        <v>261</v>
      </c>
      <c r="AK2985" t="s">
        <v>261</v>
      </c>
      <c r="AM2985" t="s">
        <v>262</v>
      </c>
      <c r="AN2985" t="s">
        <v>8201</v>
      </c>
    </row>
    <row r="2986" spans="1:40" x14ac:dyDescent="0.35">
      <c r="A2986">
        <v>6784231</v>
      </c>
      <c r="B2986" t="s">
        <v>8202</v>
      </c>
      <c r="C2986" t="str">
        <f>"9783658343033"</f>
        <v>9783658343033</v>
      </c>
      <c r="D2986" t="str">
        <f>"9783658343040"</f>
        <v>9783658343040</v>
      </c>
      <c r="E2986" t="s">
        <v>3972</v>
      </c>
      <c r="F2986" t="s">
        <v>3998</v>
      </c>
      <c r="G2986" s="1">
        <v>44485</v>
      </c>
      <c r="H2986" s="1">
        <v>44676</v>
      </c>
      <c r="I2986" t="s">
        <v>189</v>
      </c>
      <c r="K2986" t="s">
        <v>8203</v>
      </c>
      <c r="L2986" t="s">
        <v>8204</v>
      </c>
    </row>
    <row r="2987" spans="1:40" x14ac:dyDescent="0.35">
      <c r="A2987">
        <v>6784232</v>
      </c>
      <c r="B2987" t="s">
        <v>8205</v>
      </c>
      <c r="C2987" t="str">
        <f>"9783658343347"</f>
        <v>9783658343347</v>
      </c>
      <c r="D2987" t="str">
        <f>"9783658343354"</f>
        <v>9783658343354</v>
      </c>
      <c r="E2987" t="s">
        <v>3972</v>
      </c>
      <c r="F2987" t="s">
        <v>3998</v>
      </c>
      <c r="G2987" s="1">
        <v>44485</v>
      </c>
      <c r="H2987" s="1">
        <v>44676</v>
      </c>
      <c r="I2987" t="s">
        <v>189</v>
      </c>
      <c r="L2987" t="s">
        <v>8206</v>
      </c>
    </row>
    <row r="2988" spans="1:40" x14ac:dyDescent="0.35">
      <c r="A2988">
        <v>6786043</v>
      </c>
      <c r="B2988" t="s">
        <v>8207</v>
      </c>
      <c r="C2988" t="str">
        <f>"9783865277824"</f>
        <v>9783865277824</v>
      </c>
      <c r="D2988" t="str">
        <f>"9783954871070"</f>
        <v>9783954871070</v>
      </c>
      <c r="E2988" t="s">
        <v>8208</v>
      </c>
      <c r="F2988" t="s">
        <v>8208</v>
      </c>
      <c r="G2988" s="1">
        <v>41275</v>
      </c>
      <c r="H2988" s="1">
        <v>44537</v>
      </c>
      <c r="I2988" t="s">
        <v>189</v>
      </c>
      <c r="J2988">
        <v>1</v>
      </c>
      <c r="K2988" t="s">
        <v>8209</v>
      </c>
      <c r="L2988" t="s">
        <v>8210</v>
      </c>
      <c r="M2988" t="s">
        <v>210</v>
      </c>
      <c r="Q2988" t="s">
        <v>408</v>
      </c>
      <c r="R2988" t="s">
        <v>261</v>
      </c>
      <c r="S2988" t="s">
        <v>261</v>
      </c>
      <c r="T2988" t="s">
        <v>261</v>
      </c>
      <c r="U2988" t="s">
        <v>261</v>
      </c>
      <c r="V2988" t="s">
        <v>262</v>
      </c>
      <c r="W2988" t="s">
        <v>261</v>
      </c>
      <c r="X2988" t="s">
        <v>261</v>
      </c>
      <c r="Y2988" t="s">
        <v>261</v>
      </c>
      <c r="AC2988" t="s">
        <v>409</v>
      </c>
      <c r="AD2988" t="s">
        <v>261</v>
      </c>
      <c r="AH2988" t="s">
        <v>262</v>
      </c>
      <c r="AI2988" t="s">
        <v>262</v>
      </c>
      <c r="AJ2988" t="s">
        <v>261</v>
      </c>
      <c r="AK2988" t="s">
        <v>261</v>
      </c>
      <c r="AM2988" t="s">
        <v>262</v>
      </c>
      <c r="AN2988" t="s">
        <v>8211</v>
      </c>
    </row>
    <row r="2989" spans="1:40" x14ac:dyDescent="0.35">
      <c r="A2989">
        <v>6787726</v>
      </c>
      <c r="B2989" t="s">
        <v>8212</v>
      </c>
      <c r="C2989" t="str">
        <f>"9789811640940"</f>
        <v>9789811640940</v>
      </c>
      <c r="D2989" t="str">
        <f>"9789811640957"</f>
        <v>9789811640957</v>
      </c>
      <c r="E2989" t="s">
        <v>3404</v>
      </c>
      <c r="F2989" t="s">
        <v>2290</v>
      </c>
      <c r="G2989" s="1">
        <v>44489</v>
      </c>
      <c r="H2989" s="1">
        <v>44676</v>
      </c>
      <c r="I2989" t="s">
        <v>189</v>
      </c>
      <c r="L2989" t="s">
        <v>8213</v>
      </c>
    </row>
    <row r="2990" spans="1:40" x14ac:dyDescent="0.35">
      <c r="A2990">
        <v>6789170</v>
      </c>
      <c r="B2990" t="s">
        <v>8214</v>
      </c>
      <c r="C2990" t="str">
        <f>""</f>
        <v/>
      </c>
      <c r="D2990" t="str">
        <f>"9781789249118"</f>
        <v>9781789249118</v>
      </c>
      <c r="E2990" t="s">
        <v>4355</v>
      </c>
      <c r="F2990" t="s">
        <v>4355</v>
      </c>
      <c r="G2990" s="1">
        <v>44499</v>
      </c>
      <c r="H2990" s="1">
        <v>44620</v>
      </c>
      <c r="I2990" t="s">
        <v>189</v>
      </c>
      <c r="L2990" t="s">
        <v>8215</v>
      </c>
    </row>
    <row r="2991" spans="1:40" x14ac:dyDescent="0.35">
      <c r="A2991">
        <v>6789405</v>
      </c>
      <c r="B2991" t="s">
        <v>8216</v>
      </c>
      <c r="C2991" t="str">
        <f>"9781800642553"</f>
        <v>9781800642553</v>
      </c>
      <c r="D2991" t="str">
        <f>"9781800642560"</f>
        <v>9781800642560</v>
      </c>
      <c r="E2991" t="s">
        <v>1807</v>
      </c>
      <c r="F2991" t="s">
        <v>1807</v>
      </c>
      <c r="G2991" s="1">
        <v>44454</v>
      </c>
      <c r="H2991" s="1">
        <v>44492</v>
      </c>
      <c r="I2991" t="s">
        <v>189</v>
      </c>
      <c r="J2991">
        <v>1</v>
      </c>
      <c r="L2991" t="s">
        <v>8217</v>
      </c>
      <c r="M2991" t="s">
        <v>219</v>
      </c>
    </row>
    <row r="2992" spans="1:40" x14ac:dyDescent="0.35">
      <c r="A2992">
        <v>6789406</v>
      </c>
      <c r="B2992" t="s">
        <v>8218</v>
      </c>
      <c r="C2992" t="str">
        <f>"9781800641471"</f>
        <v>9781800641471</v>
      </c>
      <c r="D2992" t="str">
        <f>"9781800641488"</f>
        <v>9781800641488</v>
      </c>
      <c r="E2992" t="s">
        <v>1807</v>
      </c>
      <c r="F2992" t="s">
        <v>1807</v>
      </c>
      <c r="G2992" s="1">
        <v>44464</v>
      </c>
      <c r="H2992" s="1">
        <v>44492</v>
      </c>
      <c r="I2992" t="s">
        <v>189</v>
      </c>
      <c r="J2992">
        <v>1</v>
      </c>
      <c r="L2992" t="s">
        <v>8219</v>
      </c>
    </row>
    <row r="2993" spans="1:40" x14ac:dyDescent="0.35">
      <c r="A2993">
        <v>6789514</v>
      </c>
      <c r="B2993" t="s">
        <v>8220</v>
      </c>
      <c r="C2993" t="str">
        <f>""</f>
        <v/>
      </c>
      <c r="D2993" t="str">
        <f>"9789048544950"</f>
        <v>9789048544950</v>
      </c>
      <c r="E2993" t="s">
        <v>361</v>
      </c>
      <c r="F2993" t="s">
        <v>361</v>
      </c>
      <c r="G2993" s="1">
        <v>44501</v>
      </c>
      <c r="H2993" s="1">
        <v>44492</v>
      </c>
      <c r="I2993" t="s">
        <v>189</v>
      </c>
      <c r="J2993">
        <v>1</v>
      </c>
      <c r="K2993" t="s">
        <v>8221</v>
      </c>
      <c r="L2993" t="s">
        <v>8222</v>
      </c>
    </row>
    <row r="2994" spans="1:40" x14ac:dyDescent="0.35">
      <c r="A2994">
        <v>6789528</v>
      </c>
      <c r="B2994" t="s">
        <v>8223</v>
      </c>
      <c r="C2994" t="str">
        <f>"9783030885823"</f>
        <v>9783030885823</v>
      </c>
      <c r="D2994" t="str">
        <f>"9783030885830"</f>
        <v>9783030885830</v>
      </c>
      <c r="E2994" t="s">
        <v>2289</v>
      </c>
      <c r="F2994" t="s">
        <v>2290</v>
      </c>
      <c r="G2994" s="1">
        <v>44492</v>
      </c>
      <c r="H2994" s="1">
        <v>44676</v>
      </c>
      <c r="I2994" t="s">
        <v>189</v>
      </c>
      <c r="K2994" t="s">
        <v>4306</v>
      </c>
      <c r="L2994" t="s">
        <v>6921</v>
      </c>
    </row>
    <row r="2995" spans="1:40" x14ac:dyDescent="0.35">
      <c r="A2995">
        <v>6789529</v>
      </c>
      <c r="B2995" t="s">
        <v>8224</v>
      </c>
      <c r="C2995" t="str">
        <f>"9783662632857"</f>
        <v>9783662632857</v>
      </c>
      <c r="D2995" t="str">
        <f>"9783662632864"</f>
        <v>9783662632864</v>
      </c>
      <c r="E2995" t="s">
        <v>4047</v>
      </c>
      <c r="F2995" t="s">
        <v>2290</v>
      </c>
      <c r="G2995" s="1">
        <v>44492</v>
      </c>
      <c r="H2995" s="1">
        <v>44676</v>
      </c>
      <c r="I2995" t="s">
        <v>189</v>
      </c>
      <c r="L2995" t="s">
        <v>8225</v>
      </c>
    </row>
    <row r="2996" spans="1:40" x14ac:dyDescent="0.35">
      <c r="A2996">
        <v>6789530</v>
      </c>
      <c r="B2996" t="s">
        <v>8226</v>
      </c>
      <c r="C2996" t="str">
        <f>"9789811606793"</f>
        <v>9789811606793</v>
      </c>
      <c r="D2996" t="str">
        <f>"9789811606809"</f>
        <v>9789811606809</v>
      </c>
      <c r="E2996" t="s">
        <v>2290</v>
      </c>
      <c r="F2996" t="s">
        <v>2290</v>
      </c>
      <c r="G2996" s="1">
        <v>44492</v>
      </c>
      <c r="H2996" s="1">
        <v>44676</v>
      </c>
      <c r="I2996" t="s">
        <v>189</v>
      </c>
      <c r="L2996" t="s">
        <v>8227</v>
      </c>
    </row>
    <row r="2997" spans="1:40" x14ac:dyDescent="0.35">
      <c r="A2997">
        <v>6789986</v>
      </c>
      <c r="B2997" t="s">
        <v>8228</v>
      </c>
      <c r="C2997" t="str">
        <f>"9783030843427"</f>
        <v>9783030843427</v>
      </c>
      <c r="D2997" t="str">
        <f>"9783030843434"</f>
        <v>9783030843434</v>
      </c>
      <c r="E2997" t="s">
        <v>2289</v>
      </c>
      <c r="F2997" t="s">
        <v>4450</v>
      </c>
      <c r="G2997" s="1">
        <v>44492</v>
      </c>
      <c r="H2997" s="1">
        <v>44676</v>
      </c>
      <c r="I2997" t="s">
        <v>189</v>
      </c>
      <c r="K2997" t="s">
        <v>8229</v>
      </c>
      <c r="L2997" t="s">
        <v>8230</v>
      </c>
      <c r="M2997" t="s">
        <v>323</v>
      </c>
      <c r="N2997" t="s">
        <v>5339</v>
      </c>
      <c r="O2997" s="2">
        <v>3713301</v>
      </c>
      <c r="Q2997" t="s">
        <v>260</v>
      </c>
      <c r="R2997" t="s">
        <v>261</v>
      </c>
      <c r="S2997" t="s">
        <v>261</v>
      </c>
      <c r="T2997" t="s">
        <v>261</v>
      </c>
      <c r="U2997" t="s">
        <v>262</v>
      </c>
      <c r="V2997" t="s">
        <v>262</v>
      </c>
      <c r="W2997" t="s">
        <v>261</v>
      </c>
      <c r="X2997" t="s">
        <v>262</v>
      </c>
      <c r="Y2997" t="s">
        <v>261</v>
      </c>
      <c r="Z2997" t="s">
        <v>409</v>
      </c>
      <c r="AA2997" t="s">
        <v>409</v>
      </c>
      <c r="AB2997" t="s">
        <v>409</v>
      </c>
      <c r="AC2997" t="s">
        <v>409</v>
      </c>
      <c r="AD2997" t="s">
        <v>261</v>
      </c>
      <c r="AH2997" t="s">
        <v>262</v>
      </c>
      <c r="AI2997" t="s">
        <v>262</v>
      </c>
      <c r="AJ2997" t="s">
        <v>261</v>
      </c>
      <c r="AK2997" t="s">
        <v>261</v>
      </c>
      <c r="AM2997" t="s">
        <v>262</v>
      </c>
      <c r="AN2997" t="s">
        <v>8231</v>
      </c>
    </row>
    <row r="2998" spans="1:40" x14ac:dyDescent="0.35">
      <c r="A2998">
        <v>6790369</v>
      </c>
      <c r="B2998" t="s">
        <v>8232</v>
      </c>
      <c r="C2998" t="str">
        <f>""</f>
        <v/>
      </c>
      <c r="D2998" t="str">
        <f>"9789179290214"</f>
        <v>9789179290214</v>
      </c>
      <c r="E2998" t="s">
        <v>3642</v>
      </c>
      <c r="F2998" t="s">
        <v>3642</v>
      </c>
      <c r="G2998" s="1">
        <v>44426</v>
      </c>
      <c r="H2998" s="1">
        <v>44494</v>
      </c>
      <c r="I2998" t="s">
        <v>189</v>
      </c>
      <c r="J2998">
        <v>1</v>
      </c>
      <c r="L2998" t="s">
        <v>8233</v>
      </c>
      <c r="Q2998" t="s">
        <v>260</v>
      </c>
      <c r="R2998" t="s">
        <v>261</v>
      </c>
      <c r="S2998" t="s">
        <v>261</v>
      </c>
      <c r="T2998" t="s">
        <v>261</v>
      </c>
      <c r="U2998" t="s">
        <v>261</v>
      </c>
      <c r="V2998" t="s">
        <v>262</v>
      </c>
      <c r="W2998" t="s">
        <v>261</v>
      </c>
      <c r="X2998" t="s">
        <v>261</v>
      </c>
      <c r="Y2998" t="s">
        <v>261</v>
      </c>
      <c r="AD2998" t="s">
        <v>261</v>
      </c>
      <c r="AH2998" t="s">
        <v>262</v>
      </c>
      <c r="AI2998" t="s">
        <v>261</v>
      </c>
      <c r="AJ2998" t="s">
        <v>261</v>
      </c>
      <c r="AK2998" t="s">
        <v>261</v>
      </c>
      <c r="AM2998" t="s">
        <v>262</v>
      </c>
      <c r="AN2998" t="s">
        <v>8234</v>
      </c>
    </row>
    <row r="2999" spans="1:40" x14ac:dyDescent="0.35">
      <c r="A2999">
        <v>6790370</v>
      </c>
      <c r="B2999" t="s">
        <v>8235</v>
      </c>
      <c r="C2999" t="str">
        <f>""</f>
        <v/>
      </c>
      <c r="D2999" t="str">
        <f>"9789179290382"</f>
        <v>9789179290382</v>
      </c>
      <c r="E2999" t="s">
        <v>3642</v>
      </c>
      <c r="F2999" t="s">
        <v>3642</v>
      </c>
      <c r="G2999" s="1">
        <v>44475</v>
      </c>
      <c r="H2999" s="1">
        <v>44494</v>
      </c>
      <c r="I2999" t="s">
        <v>189</v>
      </c>
      <c r="J2999">
        <v>1</v>
      </c>
      <c r="L2999" t="s">
        <v>8236</v>
      </c>
      <c r="Q2999" t="s">
        <v>260</v>
      </c>
      <c r="R2999" t="s">
        <v>261</v>
      </c>
      <c r="S2999" t="s">
        <v>261</v>
      </c>
      <c r="T2999" t="s">
        <v>261</v>
      </c>
      <c r="U2999" t="s">
        <v>261</v>
      </c>
      <c r="V2999" t="s">
        <v>262</v>
      </c>
      <c r="W2999" t="s">
        <v>261</v>
      </c>
      <c r="X2999" t="s">
        <v>261</v>
      </c>
      <c r="Y2999" t="s">
        <v>261</v>
      </c>
      <c r="AD2999" t="s">
        <v>261</v>
      </c>
      <c r="AH2999" t="s">
        <v>262</v>
      </c>
      <c r="AI2999" t="s">
        <v>261</v>
      </c>
      <c r="AJ2999" t="s">
        <v>261</v>
      </c>
      <c r="AK2999" t="s">
        <v>261</v>
      </c>
      <c r="AM2999" t="s">
        <v>262</v>
      </c>
      <c r="AN2999" t="s">
        <v>8237</v>
      </c>
    </row>
    <row r="3000" spans="1:40" x14ac:dyDescent="0.35">
      <c r="A3000">
        <v>6790372</v>
      </c>
      <c r="B3000" t="s">
        <v>8238</v>
      </c>
      <c r="C3000" t="str">
        <f>""</f>
        <v/>
      </c>
      <c r="D3000" t="str">
        <f>"9789179290979"</f>
        <v>9789179290979</v>
      </c>
      <c r="E3000" t="s">
        <v>3642</v>
      </c>
      <c r="F3000" t="s">
        <v>3642</v>
      </c>
      <c r="G3000" s="1">
        <v>44487</v>
      </c>
      <c r="H3000" s="1">
        <v>44494</v>
      </c>
      <c r="I3000" t="s">
        <v>189</v>
      </c>
      <c r="J3000">
        <v>1</v>
      </c>
      <c r="L3000" t="s">
        <v>8239</v>
      </c>
      <c r="Q3000" t="s">
        <v>260</v>
      </c>
      <c r="R3000" t="s">
        <v>261</v>
      </c>
      <c r="S3000" t="s">
        <v>261</v>
      </c>
      <c r="T3000" t="s">
        <v>261</v>
      </c>
      <c r="U3000" t="s">
        <v>261</v>
      </c>
      <c r="V3000" t="s">
        <v>262</v>
      </c>
      <c r="W3000" t="s">
        <v>261</v>
      </c>
      <c r="X3000" t="s">
        <v>261</v>
      </c>
      <c r="Y3000" t="s">
        <v>261</v>
      </c>
      <c r="AD3000" t="s">
        <v>261</v>
      </c>
      <c r="AH3000" t="s">
        <v>262</v>
      </c>
      <c r="AI3000" t="s">
        <v>261</v>
      </c>
      <c r="AJ3000" t="s">
        <v>261</v>
      </c>
      <c r="AK3000" t="s">
        <v>261</v>
      </c>
      <c r="AM3000" t="s">
        <v>262</v>
      </c>
      <c r="AN3000" t="s">
        <v>8240</v>
      </c>
    </row>
    <row r="3001" spans="1:40" x14ac:dyDescent="0.35">
      <c r="A3001">
        <v>6790373</v>
      </c>
      <c r="B3001" t="s">
        <v>8241</v>
      </c>
      <c r="C3001" t="str">
        <f>""</f>
        <v/>
      </c>
      <c r="D3001" t="str">
        <f>"9789179290405"</f>
        <v>9789179290405</v>
      </c>
      <c r="E3001" t="s">
        <v>3642</v>
      </c>
      <c r="F3001" t="s">
        <v>3642</v>
      </c>
      <c r="G3001" s="1">
        <v>44491</v>
      </c>
      <c r="H3001" s="1">
        <v>44494</v>
      </c>
      <c r="I3001" t="s">
        <v>189</v>
      </c>
      <c r="J3001">
        <v>1</v>
      </c>
      <c r="L3001" t="s">
        <v>8242</v>
      </c>
      <c r="Q3001" t="s">
        <v>260</v>
      </c>
      <c r="R3001" t="s">
        <v>261</v>
      </c>
      <c r="S3001" t="s">
        <v>261</v>
      </c>
      <c r="T3001" t="s">
        <v>261</v>
      </c>
      <c r="U3001" t="s">
        <v>261</v>
      </c>
      <c r="V3001" t="s">
        <v>262</v>
      </c>
      <c r="W3001" t="s">
        <v>261</v>
      </c>
      <c r="X3001" t="s">
        <v>261</v>
      </c>
      <c r="Y3001" t="s">
        <v>261</v>
      </c>
      <c r="AD3001" t="s">
        <v>261</v>
      </c>
      <c r="AH3001" t="s">
        <v>262</v>
      </c>
      <c r="AI3001" t="s">
        <v>261</v>
      </c>
      <c r="AJ3001" t="s">
        <v>261</v>
      </c>
      <c r="AK3001" t="s">
        <v>261</v>
      </c>
      <c r="AM3001" t="s">
        <v>262</v>
      </c>
      <c r="AN3001" t="s">
        <v>8243</v>
      </c>
    </row>
    <row r="3002" spans="1:40" x14ac:dyDescent="0.35">
      <c r="A3002">
        <v>6790720</v>
      </c>
      <c r="B3002" t="s">
        <v>8244</v>
      </c>
      <c r="C3002" t="str">
        <f>"9789811652479"</f>
        <v>9789811652479</v>
      </c>
      <c r="D3002" t="str">
        <f>"9789811652486"</f>
        <v>9789811652486</v>
      </c>
      <c r="E3002" t="s">
        <v>2290</v>
      </c>
      <c r="F3002" t="s">
        <v>2290</v>
      </c>
      <c r="G3002" s="1">
        <v>44493</v>
      </c>
      <c r="H3002" s="1">
        <v>44676</v>
      </c>
      <c r="I3002" t="s">
        <v>189</v>
      </c>
      <c r="L3002" t="s">
        <v>8245</v>
      </c>
    </row>
    <row r="3003" spans="1:40" x14ac:dyDescent="0.35">
      <c r="A3003">
        <v>6790721</v>
      </c>
      <c r="B3003" t="s">
        <v>8246</v>
      </c>
      <c r="C3003" t="str">
        <f>"9783030783334"</f>
        <v>9783030783334</v>
      </c>
      <c r="D3003" t="str">
        <f>"9783030783341"</f>
        <v>9783030783341</v>
      </c>
      <c r="E3003" t="s">
        <v>2289</v>
      </c>
      <c r="F3003" t="s">
        <v>2290</v>
      </c>
      <c r="G3003" s="1">
        <v>44493</v>
      </c>
      <c r="H3003" s="1">
        <v>44676</v>
      </c>
      <c r="I3003" t="s">
        <v>189</v>
      </c>
      <c r="K3003" t="s">
        <v>8247</v>
      </c>
      <c r="L3003" t="s">
        <v>8248</v>
      </c>
    </row>
    <row r="3004" spans="1:40" x14ac:dyDescent="0.35">
      <c r="A3004">
        <v>6791473</v>
      </c>
      <c r="B3004" t="s">
        <v>8249</v>
      </c>
      <c r="C3004" t="str">
        <f>"9789633864111"</f>
        <v>9789633864111</v>
      </c>
      <c r="D3004" t="str">
        <f>"9789633864128"</f>
        <v>9789633864128</v>
      </c>
      <c r="E3004" t="s">
        <v>1797</v>
      </c>
      <c r="F3004" t="s">
        <v>1797</v>
      </c>
      <c r="G3004" s="1">
        <v>44545</v>
      </c>
      <c r="H3004" s="1">
        <v>44536</v>
      </c>
      <c r="I3004" t="s">
        <v>189</v>
      </c>
      <c r="J3004">
        <v>1</v>
      </c>
      <c r="L3004" t="s">
        <v>6425</v>
      </c>
    </row>
    <row r="3005" spans="1:40" x14ac:dyDescent="0.35">
      <c r="A3005">
        <v>6792516</v>
      </c>
      <c r="B3005" t="s">
        <v>8250</v>
      </c>
      <c r="C3005" t="str">
        <f>"9783030729363"</f>
        <v>9783030729363</v>
      </c>
      <c r="D3005" t="str">
        <f>"9783030729370"</f>
        <v>9783030729370</v>
      </c>
      <c r="E3005" t="s">
        <v>2289</v>
      </c>
      <c r="F3005" t="s">
        <v>2663</v>
      </c>
      <c r="G3005" s="1">
        <v>44495</v>
      </c>
      <c r="H3005" s="1">
        <v>44676</v>
      </c>
      <c r="I3005" t="s">
        <v>189</v>
      </c>
      <c r="K3005" t="s">
        <v>8251</v>
      </c>
      <c r="L3005" t="s">
        <v>8252</v>
      </c>
      <c r="M3005" t="s">
        <v>329</v>
      </c>
    </row>
    <row r="3006" spans="1:40" x14ac:dyDescent="0.35">
      <c r="A3006">
        <v>6792517</v>
      </c>
      <c r="B3006" t="s">
        <v>8253</v>
      </c>
      <c r="C3006" t="str">
        <f>"9783658357108"</f>
        <v>9783658357108</v>
      </c>
      <c r="D3006" t="str">
        <f>"9783658357115"</f>
        <v>9783658357115</v>
      </c>
      <c r="E3006" t="s">
        <v>3972</v>
      </c>
      <c r="F3006" t="s">
        <v>3998</v>
      </c>
      <c r="G3006" s="1">
        <v>44495</v>
      </c>
      <c r="H3006" s="1">
        <v>44676</v>
      </c>
      <c r="I3006" t="s">
        <v>189</v>
      </c>
      <c r="L3006" t="s">
        <v>8254</v>
      </c>
      <c r="M3006" t="s">
        <v>329</v>
      </c>
      <c r="N3006" t="s">
        <v>8255</v>
      </c>
      <c r="Q3006" t="s">
        <v>408</v>
      </c>
      <c r="R3006" t="s">
        <v>261</v>
      </c>
      <c r="S3006" t="s">
        <v>261</v>
      </c>
      <c r="T3006" t="s">
        <v>261</v>
      </c>
      <c r="U3006" t="s">
        <v>262</v>
      </c>
      <c r="V3006" t="s">
        <v>262</v>
      </c>
      <c r="W3006" t="s">
        <v>261</v>
      </c>
      <c r="X3006" t="s">
        <v>262</v>
      </c>
      <c r="Y3006" t="s">
        <v>261</v>
      </c>
      <c r="Z3006" t="s">
        <v>409</v>
      </c>
      <c r="AA3006" t="s">
        <v>409</v>
      </c>
      <c r="AB3006" t="s">
        <v>409</v>
      </c>
      <c r="AC3006" t="s">
        <v>409</v>
      </c>
      <c r="AD3006" t="s">
        <v>261</v>
      </c>
      <c r="AH3006" t="s">
        <v>262</v>
      </c>
      <c r="AI3006" t="s">
        <v>262</v>
      </c>
      <c r="AJ3006" t="s">
        <v>261</v>
      </c>
      <c r="AK3006" t="s">
        <v>261</v>
      </c>
      <c r="AM3006" t="s">
        <v>262</v>
      </c>
      <c r="AN3006" t="s">
        <v>8256</v>
      </c>
    </row>
    <row r="3007" spans="1:40" x14ac:dyDescent="0.35">
      <c r="A3007">
        <v>6792518</v>
      </c>
      <c r="B3007" t="s">
        <v>8257</v>
      </c>
      <c r="C3007" t="str">
        <f>"9783030771263"</f>
        <v>9783030771263</v>
      </c>
      <c r="D3007" t="str">
        <f>"9783030771270"</f>
        <v>9783030771270</v>
      </c>
      <c r="E3007" t="s">
        <v>2289</v>
      </c>
      <c r="F3007" t="s">
        <v>2290</v>
      </c>
      <c r="G3007" s="1">
        <v>44495</v>
      </c>
      <c r="H3007" s="1">
        <v>44676</v>
      </c>
      <c r="I3007" t="s">
        <v>189</v>
      </c>
      <c r="L3007" t="s">
        <v>8258</v>
      </c>
    </row>
    <row r="3008" spans="1:40" x14ac:dyDescent="0.35">
      <c r="A3008">
        <v>6792519</v>
      </c>
      <c r="B3008" t="s">
        <v>8259</v>
      </c>
      <c r="C3008" t="str">
        <f>"9783662620434"</f>
        <v>9783662620434</v>
      </c>
      <c r="D3008" t="str">
        <f>"9783662620441"</f>
        <v>9783662620441</v>
      </c>
      <c r="E3008" t="s">
        <v>4047</v>
      </c>
      <c r="F3008" t="s">
        <v>2290</v>
      </c>
      <c r="G3008" s="1">
        <v>44495</v>
      </c>
      <c r="H3008" s="1">
        <v>44676</v>
      </c>
      <c r="I3008" t="s">
        <v>189</v>
      </c>
      <c r="L3008" t="s">
        <v>8260</v>
      </c>
      <c r="M3008" t="s">
        <v>339</v>
      </c>
      <c r="N3008" t="s">
        <v>8261</v>
      </c>
      <c r="Q3008" t="s">
        <v>408</v>
      </c>
      <c r="R3008" t="s">
        <v>261</v>
      </c>
      <c r="S3008" t="s">
        <v>261</v>
      </c>
      <c r="T3008" t="s">
        <v>261</v>
      </c>
      <c r="U3008" t="s">
        <v>261</v>
      </c>
      <c r="V3008" t="s">
        <v>262</v>
      </c>
      <c r="W3008" t="s">
        <v>261</v>
      </c>
      <c r="X3008" t="s">
        <v>261</v>
      </c>
      <c r="Y3008" t="s">
        <v>261</v>
      </c>
      <c r="Z3008" t="s">
        <v>409</v>
      </c>
      <c r="AA3008" t="s">
        <v>409</v>
      </c>
      <c r="AB3008" t="s">
        <v>409</v>
      </c>
      <c r="AC3008" t="s">
        <v>409</v>
      </c>
      <c r="AD3008" t="s">
        <v>261</v>
      </c>
      <c r="AH3008" t="s">
        <v>262</v>
      </c>
      <c r="AI3008" t="s">
        <v>262</v>
      </c>
      <c r="AJ3008" t="s">
        <v>261</v>
      </c>
      <c r="AK3008" t="s">
        <v>261</v>
      </c>
      <c r="AM3008" t="s">
        <v>262</v>
      </c>
      <c r="AN3008" t="s">
        <v>8262</v>
      </c>
    </row>
    <row r="3009" spans="1:40" x14ac:dyDescent="0.35">
      <c r="A3009">
        <v>6792520</v>
      </c>
      <c r="B3009" t="s">
        <v>8263</v>
      </c>
      <c r="C3009" t="str">
        <f>"9783030839246"</f>
        <v>9783030839246</v>
      </c>
      <c r="D3009" t="str">
        <f>"9783030839253"</f>
        <v>9783030839253</v>
      </c>
      <c r="E3009" t="s">
        <v>2289</v>
      </c>
      <c r="F3009" t="s">
        <v>2663</v>
      </c>
      <c r="G3009" s="1">
        <v>44495</v>
      </c>
      <c r="H3009" s="1">
        <v>44676</v>
      </c>
      <c r="I3009" t="s">
        <v>189</v>
      </c>
      <c r="L3009" t="s">
        <v>8264</v>
      </c>
      <c r="M3009" t="s">
        <v>323</v>
      </c>
    </row>
    <row r="3010" spans="1:40" x14ac:dyDescent="0.35">
      <c r="A3010">
        <v>6794040</v>
      </c>
      <c r="B3010" t="s">
        <v>8265</v>
      </c>
      <c r="C3010" t="str">
        <f>"9783662639283"</f>
        <v>9783662639283</v>
      </c>
      <c r="D3010" t="str">
        <f>"9783662639290"</f>
        <v>9783662639290</v>
      </c>
      <c r="E3010" t="s">
        <v>4047</v>
      </c>
      <c r="F3010" t="s">
        <v>2290</v>
      </c>
      <c r="G3010" s="1">
        <v>44495</v>
      </c>
      <c r="H3010" s="1">
        <v>44676</v>
      </c>
      <c r="I3010" t="s">
        <v>189</v>
      </c>
      <c r="L3010" t="s">
        <v>8266</v>
      </c>
    </row>
    <row r="3011" spans="1:40" x14ac:dyDescent="0.35">
      <c r="A3011">
        <v>6794041</v>
      </c>
      <c r="B3011" t="s">
        <v>8267</v>
      </c>
      <c r="C3011" t="str">
        <f>"9783030831134"</f>
        <v>9783030831134</v>
      </c>
      <c r="D3011" t="str">
        <f>"9783030831141"</f>
        <v>9783030831141</v>
      </c>
      <c r="E3011" t="s">
        <v>2289</v>
      </c>
      <c r="F3011" t="s">
        <v>2290</v>
      </c>
      <c r="G3011" s="1">
        <v>44497</v>
      </c>
      <c r="H3011" s="1">
        <v>44676</v>
      </c>
      <c r="I3011" t="s">
        <v>189</v>
      </c>
      <c r="L3011" t="s">
        <v>8268</v>
      </c>
    </row>
    <row r="3012" spans="1:40" x14ac:dyDescent="0.35">
      <c r="A3012">
        <v>6794662</v>
      </c>
      <c r="B3012" t="s">
        <v>8269</v>
      </c>
      <c r="C3012" t="str">
        <f>"9781478010630"</f>
        <v>9781478010630</v>
      </c>
      <c r="D3012" t="str">
        <f>"9781478091707"</f>
        <v>9781478091707</v>
      </c>
      <c r="E3012" t="s">
        <v>687</v>
      </c>
      <c r="F3012" t="s">
        <v>687</v>
      </c>
      <c r="G3012" s="1">
        <v>44323</v>
      </c>
      <c r="H3012" s="1">
        <v>44504</v>
      </c>
      <c r="I3012" t="s">
        <v>189</v>
      </c>
      <c r="J3012">
        <v>1</v>
      </c>
      <c r="K3012" t="s">
        <v>2452</v>
      </c>
      <c r="L3012" t="s">
        <v>8270</v>
      </c>
      <c r="M3012" t="s">
        <v>389</v>
      </c>
      <c r="N3012" t="s">
        <v>8271</v>
      </c>
      <c r="O3012" s="2">
        <v>261709629</v>
      </c>
      <c r="Q3012" t="s">
        <v>260</v>
      </c>
      <c r="R3012" t="s">
        <v>261</v>
      </c>
      <c r="S3012" t="s">
        <v>261</v>
      </c>
      <c r="T3012" t="s">
        <v>261</v>
      </c>
      <c r="U3012" t="s">
        <v>261</v>
      </c>
      <c r="V3012" t="s">
        <v>262</v>
      </c>
      <c r="W3012" t="s">
        <v>261</v>
      </c>
      <c r="X3012" t="s">
        <v>261</v>
      </c>
      <c r="Y3012" t="s">
        <v>261</v>
      </c>
      <c r="AC3012" t="s">
        <v>409</v>
      </c>
      <c r="AD3012" t="s">
        <v>261</v>
      </c>
      <c r="AH3012" t="s">
        <v>262</v>
      </c>
      <c r="AI3012" t="s">
        <v>262</v>
      </c>
      <c r="AJ3012" t="s">
        <v>261</v>
      </c>
      <c r="AK3012" t="s">
        <v>261</v>
      </c>
      <c r="AM3012" t="s">
        <v>262</v>
      </c>
      <c r="AN3012" t="s">
        <v>8272</v>
      </c>
    </row>
    <row r="3013" spans="1:40" x14ac:dyDescent="0.35">
      <c r="A3013">
        <v>6794664</v>
      </c>
      <c r="B3013" t="s">
        <v>8273</v>
      </c>
      <c r="C3013" t="str">
        <f>"9781478013594"</f>
        <v>9781478013594</v>
      </c>
      <c r="D3013" t="str">
        <f>"9781478091745"</f>
        <v>9781478091745</v>
      </c>
      <c r="E3013" t="s">
        <v>687</v>
      </c>
      <c r="F3013" t="s">
        <v>687</v>
      </c>
      <c r="G3013" s="1">
        <v>44491</v>
      </c>
      <c r="H3013" s="1">
        <v>44504</v>
      </c>
      <c r="I3013" t="s">
        <v>189</v>
      </c>
      <c r="J3013">
        <v>1</v>
      </c>
      <c r="L3013" t="s">
        <v>8274</v>
      </c>
      <c r="M3013" t="s">
        <v>219</v>
      </c>
      <c r="N3013" t="s">
        <v>538</v>
      </c>
      <c r="O3013" s="2">
        <v>8109896073009040</v>
      </c>
      <c r="Q3013" t="s">
        <v>260</v>
      </c>
      <c r="R3013" t="s">
        <v>261</v>
      </c>
      <c r="S3013" t="s">
        <v>261</v>
      </c>
      <c r="T3013" t="s">
        <v>261</v>
      </c>
      <c r="U3013" t="s">
        <v>261</v>
      </c>
      <c r="V3013" t="s">
        <v>262</v>
      </c>
      <c r="W3013" t="s">
        <v>261</v>
      </c>
      <c r="X3013" t="s">
        <v>261</v>
      </c>
      <c r="Y3013" t="s">
        <v>261</v>
      </c>
      <c r="AC3013" t="s">
        <v>409</v>
      </c>
      <c r="AD3013" t="s">
        <v>261</v>
      </c>
      <c r="AH3013" t="s">
        <v>262</v>
      </c>
      <c r="AI3013" t="s">
        <v>262</v>
      </c>
      <c r="AJ3013" t="s">
        <v>261</v>
      </c>
      <c r="AK3013" t="s">
        <v>261</v>
      </c>
      <c r="AM3013" t="s">
        <v>262</v>
      </c>
      <c r="AN3013" t="s">
        <v>8275</v>
      </c>
    </row>
    <row r="3014" spans="1:40" x14ac:dyDescent="0.35">
      <c r="A3014">
        <v>6795398</v>
      </c>
      <c r="B3014" t="s">
        <v>8276</v>
      </c>
      <c r="C3014" t="str">
        <f>"9783030785505"</f>
        <v>9783030785505</v>
      </c>
      <c r="D3014" t="str">
        <f>"9783030785512"</f>
        <v>9783030785512</v>
      </c>
      <c r="E3014" t="s">
        <v>2289</v>
      </c>
      <c r="F3014" t="s">
        <v>2290</v>
      </c>
      <c r="G3014" s="1">
        <v>44497</v>
      </c>
      <c r="H3014" s="1">
        <v>44676</v>
      </c>
      <c r="I3014" t="s">
        <v>189</v>
      </c>
      <c r="L3014" t="s">
        <v>8277</v>
      </c>
    </row>
    <row r="3015" spans="1:40" x14ac:dyDescent="0.35">
      <c r="A3015">
        <v>6795399</v>
      </c>
      <c r="B3015" t="s">
        <v>8278</v>
      </c>
      <c r="C3015" t="str">
        <f>"9783658328481"</f>
        <v>9783658328481</v>
      </c>
      <c r="D3015" t="str">
        <f>"9783658328498"</f>
        <v>9783658328498</v>
      </c>
      <c r="E3015" t="s">
        <v>3972</v>
      </c>
      <c r="F3015" t="s">
        <v>3998</v>
      </c>
      <c r="G3015" s="1">
        <v>44497</v>
      </c>
      <c r="H3015" s="1">
        <v>44652</v>
      </c>
      <c r="I3015" t="s">
        <v>189</v>
      </c>
      <c r="L3015" t="s">
        <v>8279</v>
      </c>
      <c r="M3015" t="s">
        <v>323</v>
      </c>
      <c r="N3015" t="s">
        <v>5339</v>
      </c>
      <c r="Q3015" t="s">
        <v>408</v>
      </c>
      <c r="R3015" t="s">
        <v>261</v>
      </c>
      <c r="S3015" t="s">
        <v>261</v>
      </c>
      <c r="T3015" t="s">
        <v>261</v>
      </c>
      <c r="U3015" t="s">
        <v>261</v>
      </c>
      <c r="V3015" t="s">
        <v>262</v>
      </c>
      <c r="W3015" t="s">
        <v>261</v>
      </c>
      <c r="X3015" t="s">
        <v>261</v>
      </c>
      <c r="Y3015" t="s">
        <v>261</v>
      </c>
      <c r="Z3015" t="s">
        <v>409</v>
      </c>
      <c r="AA3015" t="s">
        <v>409</v>
      </c>
      <c r="AB3015" t="s">
        <v>409</v>
      </c>
      <c r="AC3015" t="s">
        <v>409</v>
      </c>
      <c r="AD3015" t="s">
        <v>261</v>
      </c>
      <c r="AH3015" t="s">
        <v>262</v>
      </c>
      <c r="AI3015" t="s">
        <v>262</v>
      </c>
      <c r="AJ3015" t="s">
        <v>261</v>
      </c>
      <c r="AK3015" t="s">
        <v>261</v>
      </c>
      <c r="AM3015" t="s">
        <v>262</v>
      </c>
      <c r="AN3015" t="s">
        <v>8280</v>
      </c>
    </row>
    <row r="3016" spans="1:40" x14ac:dyDescent="0.35">
      <c r="A3016">
        <v>6795858</v>
      </c>
      <c r="B3016" t="s">
        <v>8281</v>
      </c>
      <c r="C3016" t="str">
        <f>""</f>
        <v/>
      </c>
      <c r="D3016" t="str">
        <f>"9782759234394"</f>
        <v>9782759234394</v>
      </c>
      <c r="E3016" t="s">
        <v>1928</v>
      </c>
      <c r="F3016" t="s">
        <v>1928</v>
      </c>
      <c r="G3016" s="1">
        <v>44497</v>
      </c>
      <c r="H3016" s="1">
        <v>44537</v>
      </c>
      <c r="I3016" t="s">
        <v>189</v>
      </c>
      <c r="K3016" t="s">
        <v>7323</v>
      </c>
      <c r="L3016" t="s">
        <v>8282</v>
      </c>
      <c r="M3016" t="s">
        <v>210</v>
      </c>
    </row>
    <row r="3017" spans="1:40" x14ac:dyDescent="0.35">
      <c r="A3017">
        <v>6796033</v>
      </c>
      <c r="B3017" t="s">
        <v>8283</v>
      </c>
      <c r="C3017" t="str">
        <f>"9781478010357"</f>
        <v>9781478010357</v>
      </c>
      <c r="D3017" t="str">
        <f>"9781478012993"</f>
        <v>9781478012993</v>
      </c>
      <c r="E3017" t="s">
        <v>687</v>
      </c>
      <c r="F3017" t="s">
        <v>687</v>
      </c>
      <c r="G3017" s="1">
        <v>44211</v>
      </c>
      <c r="H3017" s="1">
        <v>44504</v>
      </c>
      <c r="I3017" t="s">
        <v>189</v>
      </c>
      <c r="J3017">
        <v>1</v>
      </c>
      <c r="K3017" t="s">
        <v>730</v>
      </c>
      <c r="L3017" t="s">
        <v>8284</v>
      </c>
      <c r="M3017" t="s">
        <v>210</v>
      </c>
      <c r="N3017" t="s">
        <v>8285</v>
      </c>
      <c r="O3017" s="2">
        <v>3271273086609040</v>
      </c>
      <c r="Q3017" t="s">
        <v>260</v>
      </c>
      <c r="R3017" t="s">
        <v>261</v>
      </c>
      <c r="S3017" t="s">
        <v>261</v>
      </c>
      <c r="T3017" t="s">
        <v>261</v>
      </c>
      <c r="U3017" t="s">
        <v>261</v>
      </c>
      <c r="V3017" t="s">
        <v>262</v>
      </c>
      <c r="W3017" t="s">
        <v>261</v>
      </c>
      <c r="X3017" t="s">
        <v>261</v>
      </c>
      <c r="Y3017" t="s">
        <v>261</v>
      </c>
      <c r="Z3017" t="s">
        <v>409</v>
      </c>
      <c r="AB3017" t="s">
        <v>409</v>
      </c>
      <c r="AC3017" t="s">
        <v>409</v>
      </c>
      <c r="AD3017" t="s">
        <v>261</v>
      </c>
      <c r="AH3017" t="s">
        <v>262</v>
      </c>
      <c r="AI3017" t="s">
        <v>262</v>
      </c>
      <c r="AJ3017" t="s">
        <v>261</v>
      </c>
      <c r="AK3017" t="s">
        <v>261</v>
      </c>
      <c r="AM3017" t="s">
        <v>262</v>
      </c>
      <c r="AN3017" t="s">
        <v>8286</v>
      </c>
    </row>
    <row r="3018" spans="1:40" x14ac:dyDescent="0.35">
      <c r="A3018">
        <v>6796034</v>
      </c>
      <c r="B3018" t="s">
        <v>8287</v>
      </c>
      <c r="C3018" t="str">
        <f>"9781478013624"</f>
        <v>9781478013624</v>
      </c>
      <c r="D3018" t="str">
        <f>"9781478092636"</f>
        <v>9781478092636</v>
      </c>
      <c r="E3018" t="s">
        <v>687</v>
      </c>
      <c r="F3018" t="s">
        <v>687</v>
      </c>
      <c r="G3018" s="1">
        <v>44491</v>
      </c>
      <c r="H3018" s="1">
        <v>44499</v>
      </c>
      <c r="I3018" t="s">
        <v>189</v>
      </c>
      <c r="J3018">
        <v>1</v>
      </c>
      <c r="K3018" t="s">
        <v>2497</v>
      </c>
      <c r="L3018" t="s">
        <v>8288</v>
      </c>
      <c r="M3018" t="s">
        <v>219</v>
      </c>
      <c r="N3018" t="s">
        <v>841</v>
      </c>
      <c r="O3018" s="2">
        <v>80993352996</v>
      </c>
      <c r="Q3018" t="s">
        <v>260</v>
      </c>
      <c r="R3018" t="s">
        <v>261</v>
      </c>
      <c r="S3018" t="s">
        <v>261</v>
      </c>
      <c r="T3018" t="s">
        <v>261</v>
      </c>
      <c r="U3018" t="s">
        <v>261</v>
      </c>
      <c r="V3018" t="s">
        <v>262</v>
      </c>
      <c r="W3018" t="s">
        <v>261</v>
      </c>
      <c r="X3018" t="s">
        <v>261</v>
      </c>
      <c r="Y3018" t="s">
        <v>261</v>
      </c>
      <c r="Z3018" t="s">
        <v>409</v>
      </c>
      <c r="AB3018" t="s">
        <v>409</v>
      </c>
      <c r="AC3018" t="s">
        <v>409</v>
      </c>
      <c r="AD3018" t="s">
        <v>261</v>
      </c>
      <c r="AH3018" t="s">
        <v>262</v>
      </c>
      <c r="AI3018" t="s">
        <v>262</v>
      </c>
      <c r="AJ3018" t="s">
        <v>261</v>
      </c>
      <c r="AK3018" t="s">
        <v>261</v>
      </c>
      <c r="AM3018" t="s">
        <v>262</v>
      </c>
      <c r="AN3018" t="s">
        <v>8289</v>
      </c>
    </row>
    <row r="3019" spans="1:40" x14ac:dyDescent="0.35">
      <c r="A3019">
        <v>6796035</v>
      </c>
      <c r="B3019" t="s">
        <v>8290</v>
      </c>
      <c r="C3019" t="str">
        <f>"9781478010722"</f>
        <v>9781478010722</v>
      </c>
      <c r="D3019" t="str">
        <f>"9781478091714"</f>
        <v>9781478091714</v>
      </c>
      <c r="E3019" t="s">
        <v>687</v>
      </c>
      <c r="F3019" t="s">
        <v>687</v>
      </c>
      <c r="G3019" s="1">
        <v>44351</v>
      </c>
      <c r="H3019" s="1">
        <v>44504</v>
      </c>
      <c r="I3019" t="s">
        <v>189</v>
      </c>
      <c r="J3019">
        <v>1</v>
      </c>
      <c r="K3019" t="s">
        <v>3592</v>
      </c>
      <c r="L3019" t="s">
        <v>8291</v>
      </c>
      <c r="M3019" t="s">
        <v>249</v>
      </c>
    </row>
    <row r="3020" spans="1:40" x14ac:dyDescent="0.35">
      <c r="A3020">
        <v>6796069</v>
      </c>
      <c r="B3020" t="s">
        <v>8292</v>
      </c>
      <c r="C3020" t="str">
        <f>"9783030820510"</f>
        <v>9783030820510</v>
      </c>
      <c r="D3020" t="str">
        <f>"9783030820527"</f>
        <v>9783030820527</v>
      </c>
      <c r="E3020" t="s">
        <v>2289</v>
      </c>
      <c r="F3020" t="s">
        <v>2290</v>
      </c>
      <c r="G3020" s="1">
        <v>44498</v>
      </c>
      <c r="H3020" s="1">
        <v>44676</v>
      </c>
      <c r="I3020" t="s">
        <v>189</v>
      </c>
      <c r="L3020" t="s">
        <v>5860</v>
      </c>
    </row>
    <row r="3021" spans="1:40" x14ac:dyDescent="0.35">
      <c r="A3021">
        <v>6796354</v>
      </c>
      <c r="B3021" t="s">
        <v>8293</v>
      </c>
      <c r="C3021" t="str">
        <f>"9789402421149"</f>
        <v>9789402421149</v>
      </c>
      <c r="D3021" t="str">
        <f>"9789402421156"</f>
        <v>9789402421156</v>
      </c>
      <c r="E3021" t="s">
        <v>4164</v>
      </c>
      <c r="F3021" t="s">
        <v>2290</v>
      </c>
      <c r="G3021" s="1">
        <v>44491</v>
      </c>
      <c r="H3021" s="1">
        <v>44676</v>
      </c>
      <c r="I3021" t="s">
        <v>189</v>
      </c>
      <c r="L3021" t="s">
        <v>8294</v>
      </c>
      <c r="M3021" t="s">
        <v>535</v>
      </c>
      <c r="N3021" t="s">
        <v>8295</v>
      </c>
      <c r="Q3021" t="s">
        <v>260</v>
      </c>
      <c r="R3021" t="s">
        <v>261</v>
      </c>
      <c r="S3021" t="s">
        <v>261</v>
      </c>
      <c r="T3021" t="s">
        <v>261</v>
      </c>
      <c r="U3021" t="s">
        <v>262</v>
      </c>
      <c r="V3021" t="s">
        <v>262</v>
      </c>
      <c r="W3021" t="s">
        <v>261</v>
      </c>
      <c r="X3021" t="s">
        <v>262</v>
      </c>
      <c r="Y3021" t="s">
        <v>261</v>
      </c>
      <c r="Z3021" t="s">
        <v>409</v>
      </c>
      <c r="AA3021" t="s">
        <v>409</v>
      </c>
      <c r="AB3021" t="s">
        <v>409</v>
      </c>
      <c r="AC3021" t="s">
        <v>409</v>
      </c>
      <c r="AD3021" t="s">
        <v>261</v>
      </c>
      <c r="AH3021" t="s">
        <v>262</v>
      </c>
      <c r="AI3021" t="s">
        <v>262</v>
      </c>
      <c r="AJ3021" t="s">
        <v>261</v>
      </c>
      <c r="AK3021" t="s">
        <v>261</v>
      </c>
      <c r="AM3021" t="s">
        <v>262</v>
      </c>
      <c r="AN3021" t="s">
        <v>8296</v>
      </c>
    </row>
    <row r="3022" spans="1:40" x14ac:dyDescent="0.35">
      <c r="A3022">
        <v>6796362</v>
      </c>
      <c r="B3022" t="s">
        <v>8297</v>
      </c>
      <c r="C3022" t="str">
        <f>""</f>
        <v/>
      </c>
      <c r="D3022" t="str">
        <f>"9789179290436"</f>
        <v>9789179290436</v>
      </c>
      <c r="E3022" t="s">
        <v>3642</v>
      </c>
      <c r="F3022" t="s">
        <v>3642</v>
      </c>
      <c r="G3022" s="1">
        <v>44497</v>
      </c>
      <c r="H3022" s="1">
        <v>44508</v>
      </c>
      <c r="I3022" t="s">
        <v>189</v>
      </c>
      <c r="J3022">
        <v>1</v>
      </c>
      <c r="L3022" t="s">
        <v>8298</v>
      </c>
      <c r="Q3022" t="s">
        <v>260</v>
      </c>
      <c r="R3022" t="s">
        <v>261</v>
      </c>
      <c r="S3022" t="s">
        <v>261</v>
      </c>
      <c r="T3022" t="s">
        <v>261</v>
      </c>
      <c r="U3022" t="s">
        <v>261</v>
      </c>
      <c r="V3022" t="s">
        <v>262</v>
      </c>
      <c r="W3022" t="s">
        <v>261</v>
      </c>
      <c r="X3022" t="s">
        <v>261</v>
      </c>
      <c r="Y3022" t="s">
        <v>261</v>
      </c>
      <c r="AD3022" t="s">
        <v>261</v>
      </c>
      <c r="AH3022" t="s">
        <v>262</v>
      </c>
      <c r="AI3022" t="s">
        <v>261</v>
      </c>
      <c r="AJ3022" t="s">
        <v>261</v>
      </c>
      <c r="AK3022" t="s">
        <v>261</v>
      </c>
      <c r="AM3022" t="s">
        <v>262</v>
      </c>
      <c r="AN3022" t="s">
        <v>8299</v>
      </c>
    </row>
    <row r="3023" spans="1:40" x14ac:dyDescent="0.35">
      <c r="A3023">
        <v>6796365</v>
      </c>
      <c r="B3023" t="s">
        <v>8300</v>
      </c>
      <c r="C3023" t="str">
        <f>""</f>
        <v/>
      </c>
      <c r="D3023" t="str">
        <f>"9789179290092"</f>
        <v>9789179290092</v>
      </c>
      <c r="E3023" t="s">
        <v>3642</v>
      </c>
      <c r="F3023" t="s">
        <v>3642</v>
      </c>
      <c r="G3023" s="1">
        <v>44494</v>
      </c>
      <c r="H3023" s="1">
        <v>44501</v>
      </c>
      <c r="I3023" t="s">
        <v>189</v>
      </c>
      <c r="J3023">
        <v>1</v>
      </c>
      <c r="L3023" t="s">
        <v>8301</v>
      </c>
      <c r="Q3023" t="s">
        <v>260</v>
      </c>
      <c r="R3023" t="s">
        <v>261</v>
      </c>
      <c r="S3023" t="s">
        <v>261</v>
      </c>
      <c r="T3023" t="s">
        <v>261</v>
      </c>
      <c r="U3023" t="s">
        <v>261</v>
      </c>
      <c r="V3023" t="s">
        <v>262</v>
      </c>
      <c r="W3023" t="s">
        <v>261</v>
      </c>
      <c r="X3023" t="s">
        <v>261</v>
      </c>
      <c r="Y3023" t="s">
        <v>261</v>
      </c>
      <c r="AD3023" t="s">
        <v>261</v>
      </c>
      <c r="AH3023" t="s">
        <v>262</v>
      </c>
      <c r="AI3023" t="s">
        <v>261</v>
      </c>
      <c r="AJ3023" t="s">
        <v>261</v>
      </c>
      <c r="AK3023" t="s">
        <v>261</v>
      </c>
      <c r="AM3023" t="s">
        <v>262</v>
      </c>
      <c r="AN3023" t="s">
        <v>8302</v>
      </c>
    </row>
    <row r="3024" spans="1:40" x14ac:dyDescent="0.35">
      <c r="A3024">
        <v>6796477</v>
      </c>
      <c r="B3024" t="s">
        <v>8303</v>
      </c>
      <c r="C3024" t="str">
        <f>"9783030821661"</f>
        <v>9783030821661</v>
      </c>
      <c r="D3024" t="str">
        <f>"9783030821678"</f>
        <v>9783030821678</v>
      </c>
      <c r="E3024" t="s">
        <v>2289</v>
      </c>
      <c r="F3024" t="s">
        <v>2290</v>
      </c>
      <c r="G3024" s="1">
        <v>44500</v>
      </c>
      <c r="H3024" s="1">
        <v>44694</v>
      </c>
      <c r="I3024" t="s">
        <v>189</v>
      </c>
      <c r="K3024" t="s">
        <v>5061</v>
      </c>
      <c r="L3024" t="s">
        <v>8304</v>
      </c>
    </row>
    <row r="3025" spans="1:40" x14ac:dyDescent="0.35">
      <c r="A3025">
        <v>6796478</v>
      </c>
      <c r="B3025" t="s">
        <v>8305</v>
      </c>
      <c r="C3025" t="str">
        <f>"9783030807900"</f>
        <v>9783030807900</v>
      </c>
      <c r="D3025" t="str">
        <f>"9783030807917"</f>
        <v>9783030807917</v>
      </c>
      <c r="E3025" t="s">
        <v>2289</v>
      </c>
      <c r="F3025" t="s">
        <v>2663</v>
      </c>
      <c r="G3025" s="1">
        <v>44501</v>
      </c>
      <c r="H3025" s="1">
        <v>44676</v>
      </c>
      <c r="I3025" t="s">
        <v>189</v>
      </c>
      <c r="L3025" t="s">
        <v>8306</v>
      </c>
    </row>
    <row r="3026" spans="1:40" x14ac:dyDescent="0.35">
      <c r="A3026">
        <v>6796479</v>
      </c>
      <c r="B3026" t="s">
        <v>8307</v>
      </c>
      <c r="C3026" t="str">
        <f>"9783030803018"</f>
        <v>9783030803018</v>
      </c>
      <c r="D3026" t="str">
        <f>"9783030803025"</f>
        <v>9783030803025</v>
      </c>
      <c r="E3026" t="s">
        <v>2289</v>
      </c>
      <c r="F3026" t="s">
        <v>2290</v>
      </c>
      <c r="G3026" s="1">
        <v>44501</v>
      </c>
      <c r="H3026" s="1">
        <v>44676</v>
      </c>
      <c r="I3026" t="s">
        <v>189</v>
      </c>
      <c r="L3026" t="s">
        <v>8308</v>
      </c>
      <c r="M3026" t="s">
        <v>329</v>
      </c>
      <c r="N3026" t="s">
        <v>8309</v>
      </c>
      <c r="Q3026" t="s">
        <v>260</v>
      </c>
      <c r="R3026" t="s">
        <v>261</v>
      </c>
      <c r="S3026" t="s">
        <v>261</v>
      </c>
      <c r="T3026" t="s">
        <v>261</v>
      </c>
      <c r="U3026" t="s">
        <v>261</v>
      </c>
      <c r="V3026" t="s">
        <v>262</v>
      </c>
      <c r="W3026" t="s">
        <v>261</v>
      </c>
      <c r="X3026" t="s">
        <v>261</v>
      </c>
      <c r="Y3026" t="s">
        <v>261</v>
      </c>
      <c r="Z3026" t="s">
        <v>409</v>
      </c>
      <c r="AA3026" t="s">
        <v>409</v>
      </c>
      <c r="AB3026" t="s">
        <v>409</v>
      </c>
      <c r="AC3026" t="s">
        <v>409</v>
      </c>
      <c r="AD3026" t="s">
        <v>261</v>
      </c>
      <c r="AH3026" t="s">
        <v>262</v>
      </c>
      <c r="AI3026" t="s">
        <v>262</v>
      </c>
      <c r="AJ3026" t="s">
        <v>261</v>
      </c>
      <c r="AK3026" t="s">
        <v>261</v>
      </c>
      <c r="AM3026" t="s">
        <v>262</v>
      </c>
      <c r="AN3026" t="s">
        <v>8310</v>
      </c>
    </row>
    <row r="3027" spans="1:40" x14ac:dyDescent="0.35">
      <c r="A3027">
        <v>6797321</v>
      </c>
      <c r="B3027" t="s">
        <v>8311</v>
      </c>
      <c r="C3027" t="str">
        <f>"9780472130313"</f>
        <v>9780472130313</v>
      </c>
      <c r="D3027" t="str">
        <f>"9780472900756"</f>
        <v>9780472900756</v>
      </c>
      <c r="E3027" t="s">
        <v>2090</v>
      </c>
      <c r="F3027" t="s">
        <v>2090</v>
      </c>
      <c r="G3027" s="1">
        <v>42795</v>
      </c>
      <c r="H3027" s="1">
        <v>44504</v>
      </c>
      <c r="I3027" t="s">
        <v>189</v>
      </c>
      <c r="L3027" t="s">
        <v>8312</v>
      </c>
    </row>
    <row r="3028" spans="1:40" x14ac:dyDescent="0.35">
      <c r="A3028">
        <v>6798120</v>
      </c>
      <c r="B3028" t="s">
        <v>8313</v>
      </c>
      <c r="C3028" t="str">
        <f>"9783030892357"</f>
        <v>9783030892357</v>
      </c>
      <c r="D3028" t="str">
        <f>"9783030892364"</f>
        <v>9783030892364</v>
      </c>
      <c r="E3028" t="s">
        <v>2289</v>
      </c>
      <c r="F3028" t="s">
        <v>2663</v>
      </c>
      <c r="G3028" s="1">
        <v>44503</v>
      </c>
      <c r="H3028" s="1">
        <v>44676</v>
      </c>
      <c r="I3028" t="s">
        <v>189</v>
      </c>
      <c r="L3028" t="s">
        <v>8314</v>
      </c>
    </row>
    <row r="3029" spans="1:40" x14ac:dyDescent="0.35">
      <c r="A3029">
        <v>6798731</v>
      </c>
      <c r="B3029" t="s">
        <v>8315</v>
      </c>
      <c r="C3029" t="str">
        <f>"9783030885120"</f>
        <v>9783030885120</v>
      </c>
      <c r="D3029" t="str">
        <f>"9783030885137"</f>
        <v>9783030885137</v>
      </c>
      <c r="E3029" t="s">
        <v>2289</v>
      </c>
      <c r="F3029" t="s">
        <v>2663</v>
      </c>
      <c r="G3029" s="1">
        <v>44504</v>
      </c>
      <c r="H3029" s="1">
        <v>44676</v>
      </c>
      <c r="I3029" t="s">
        <v>189</v>
      </c>
      <c r="L3029" t="s">
        <v>8316</v>
      </c>
    </row>
    <row r="3030" spans="1:40" x14ac:dyDescent="0.35">
      <c r="A3030">
        <v>6798732</v>
      </c>
      <c r="B3030" t="s">
        <v>8317</v>
      </c>
      <c r="C3030" t="str">
        <f>"9783030714567"</f>
        <v>9783030714567</v>
      </c>
      <c r="D3030" t="str">
        <f>"9783030714574"</f>
        <v>9783030714574</v>
      </c>
      <c r="E3030" t="s">
        <v>2289</v>
      </c>
      <c r="F3030" t="s">
        <v>2663</v>
      </c>
      <c r="G3030" s="1">
        <v>44504</v>
      </c>
      <c r="H3030" s="1">
        <v>44676</v>
      </c>
      <c r="I3030" t="s">
        <v>189</v>
      </c>
      <c r="K3030" t="s">
        <v>8318</v>
      </c>
      <c r="L3030" t="s">
        <v>8319</v>
      </c>
    </row>
    <row r="3031" spans="1:40" x14ac:dyDescent="0.35">
      <c r="A3031">
        <v>6798733</v>
      </c>
      <c r="B3031" t="s">
        <v>8320</v>
      </c>
      <c r="C3031" t="str">
        <f>"9783030805180"</f>
        <v>9783030805180</v>
      </c>
      <c r="D3031" t="str">
        <f>"9783030805197"</f>
        <v>9783030805197</v>
      </c>
      <c r="E3031" t="s">
        <v>2289</v>
      </c>
      <c r="F3031" t="s">
        <v>2290</v>
      </c>
      <c r="G3031" s="1">
        <v>44504</v>
      </c>
      <c r="H3031" s="1">
        <v>44694</v>
      </c>
      <c r="I3031" t="s">
        <v>189</v>
      </c>
      <c r="K3031" t="s">
        <v>7152</v>
      </c>
      <c r="L3031" t="s">
        <v>8321</v>
      </c>
    </row>
    <row r="3032" spans="1:40" x14ac:dyDescent="0.35">
      <c r="A3032">
        <v>6798965</v>
      </c>
      <c r="B3032" t="s">
        <v>8322</v>
      </c>
      <c r="C3032" t="str">
        <f>"9789633863718"</f>
        <v>9789633863718</v>
      </c>
      <c r="D3032" t="str">
        <f>"9789633863701"</f>
        <v>9789633863701</v>
      </c>
      <c r="E3032" t="s">
        <v>1797</v>
      </c>
      <c r="F3032" t="s">
        <v>1797</v>
      </c>
      <c r="G3032" s="1">
        <v>44151</v>
      </c>
      <c r="H3032" s="1">
        <v>44536</v>
      </c>
      <c r="I3032" t="s">
        <v>189</v>
      </c>
      <c r="J3032">
        <v>1</v>
      </c>
      <c r="L3032" t="s">
        <v>8323</v>
      </c>
    </row>
    <row r="3033" spans="1:40" x14ac:dyDescent="0.35">
      <c r="A3033">
        <v>6798966</v>
      </c>
      <c r="B3033" t="s">
        <v>8324</v>
      </c>
      <c r="C3033" t="str">
        <f>"9789633863695"</f>
        <v>9789633863695</v>
      </c>
      <c r="D3033" t="str">
        <f>"9789633863688"</f>
        <v>9789633863688</v>
      </c>
      <c r="E3033" t="s">
        <v>1797</v>
      </c>
      <c r="F3033" t="s">
        <v>1797</v>
      </c>
      <c r="G3033" s="1">
        <v>44316</v>
      </c>
      <c r="H3033" s="1">
        <v>44536</v>
      </c>
      <c r="I3033" t="s">
        <v>189</v>
      </c>
      <c r="J3033">
        <v>1</v>
      </c>
      <c r="K3033" t="s">
        <v>8325</v>
      </c>
      <c r="L3033" t="s">
        <v>8326</v>
      </c>
      <c r="M3033" t="s">
        <v>239</v>
      </c>
    </row>
    <row r="3034" spans="1:40" x14ac:dyDescent="0.35">
      <c r="A3034">
        <v>6798967</v>
      </c>
      <c r="B3034" t="s">
        <v>8327</v>
      </c>
      <c r="C3034" t="str">
        <f>"9789633863657"</f>
        <v>9789633863657</v>
      </c>
      <c r="D3034" t="str">
        <f>"9789633863640"</f>
        <v>9789633863640</v>
      </c>
      <c r="E3034" t="s">
        <v>1797</v>
      </c>
      <c r="F3034" t="s">
        <v>1797</v>
      </c>
      <c r="G3034" s="1">
        <v>44347</v>
      </c>
      <c r="H3034" s="1">
        <v>44536</v>
      </c>
      <c r="I3034" t="s">
        <v>189</v>
      </c>
      <c r="J3034">
        <v>1</v>
      </c>
      <c r="K3034" t="s">
        <v>8328</v>
      </c>
      <c r="L3034" t="s">
        <v>8329</v>
      </c>
    </row>
    <row r="3035" spans="1:40" x14ac:dyDescent="0.35">
      <c r="A3035">
        <v>6798968</v>
      </c>
      <c r="B3035" t="s">
        <v>8330</v>
      </c>
      <c r="C3035" t="str">
        <f>"9789633863671"</f>
        <v>9789633863671</v>
      </c>
      <c r="D3035" t="str">
        <f>"9789633863664"</f>
        <v>9789633863664</v>
      </c>
      <c r="E3035" t="s">
        <v>1797</v>
      </c>
      <c r="F3035" t="s">
        <v>1797</v>
      </c>
      <c r="G3035" s="1">
        <v>44270</v>
      </c>
      <c r="H3035" s="1">
        <v>44536</v>
      </c>
      <c r="I3035" t="s">
        <v>189</v>
      </c>
      <c r="J3035">
        <v>1</v>
      </c>
      <c r="L3035" t="s">
        <v>8331</v>
      </c>
    </row>
    <row r="3036" spans="1:40" x14ac:dyDescent="0.35">
      <c r="A3036">
        <v>6799160</v>
      </c>
      <c r="B3036" t="s">
        <v>8332</v>
      </c>
      <c r="C3036" t="str">
        <f>"9781800641952"</f>
        <v>9781800641952</v>
      </c>
      <c r="D3036" t="str">
        <f>"9781800641969"</f>
        <v>9781800641969</v>
      </c>
      <c r="E3036" t="s">
        <v>1807</v>
      </c>
      <c r="F3036" t="s">
        <v>1807</v>
      </c>
      <c r="G3036" s="1">
        <v>44447</v>
      </c>
      <c r="H3036" s="1">
        <v>44506</v>
      </c>
      <c r="I3036" t="s">
        <v>189</v>
      </c>
      <c r="J3036">
        <v>1</v>
      </c>
      <c r="K3036" t="s">
        <v>2992</v>
      </c>
      <c r="L3036" t="s">
        <v>8333</v>
      </c>
    </row>
    <row r="3037" spans="1:40" x14ac:dyDescent="0.35">
      <c r="A3037">
        <v>6799161</v>
      </c>
      <c r="B3037" t="s">
        <v>8334</v>
      </c>
      <c r="C3037" t="str">
        <f>"9781800642195"</f>
        <v>9781800642195</v>
      </c>
      <c r="D3037" t="str">
        <f>"9781800642201"</f>
        <v>9781800642201</v>
      </c>
      <c r="E3037" t="s">
        <v>1807</v>
      </c>
      <c r="F3037" t="s">
        <v>1807</v>
      </c>
      <c r="G3037" s="1">
        <v>44502</v>
      </c>
      <c r="H3037" s="1">
        <v>44506</v>
      </c>
      <c r="I3037" t="s">
        <v>189</v>
      </c>
      <c r="J3037">
        <v>1</v>
      </c>
      <c r="L3037" t="s">
        <v>8335</v>
      </c>
      <c r="M3037" t="s">
        <v>329</v>
      </c>
    </row>
    <row r="3038" spans="1:40" x14ac:dyDescent="0.35">
      <c r="A3038">
        <v>6799468</v>
      </c>
      <c r="B3038" t="s">
        <v>8336</v>
      </c>
      <c r="C3038" t="str">
        <f>"9783662636343"</f>
        <v>9783662636343</v>
      </c>
      <c r="D3038" t="str">
        <f>"9783662636350"</f>
        <v>9783662636350</v>
      </c>
      <c r="E3038" t="s">
        <v>4047</v>
      </c>
      <c r="F3038" t="s">
        <v>2290</v>
      </c>
      <c r="G3038" s="1">
        <v>44506</v>
      </c>
      <c r="H3038" s="1">
        <v>44676</v>
      </c>
      <c r="I3038" t="s">
        <v>189</v>
      </c>
      <c r="K3038" t="s">
        <v>4702</v>
      </c>
      <c r="L3038" t="s">
        <v>4703</v>
      </c>
    </row>
    <row r="3039" spans="1:40" x14ac:dyDescent="0.35">
      <c r="A3039">
        <v>6799470</v>
      </c>
      <c r="B3039" t="s">
        <v>8337</v>
      </c>
      <c r="C3039" t="str">
        <f>""</f>
        <v/>
      </c>
      <c r="D3039" t="str">
        <f>"9789179290955"</f>
        <v>9789179290955</v>
      </c>
      <c r="E3039" t="s">
        <v>3642</v>
      </c>
      <c r="F3039" t="s">
        <v>3642</v>
      </c>
      <c r="G3039" s="1">
        <v>44494</v>
      </c>
      <c r="H3039" s="1">
        <v>44515</v>
      </c>
      <c r="I3039" t="s">
        <v>189</v>
      </c>
      <c r="J3039">
        <v>1</v>
      </c>
      <c r="L3039" t="s">
        <v>8338</v>
      </c>
      <c r="Q3039" t="s">
        <v>260</v>
      </c>
      <c r="R3039" t="s">
        <v>261</v>
      </c>
      <c r="S3039" t="s">
        <v>261</v>
      </c>
      <c r="T3039" t="s">
        <v>261</v>
      </c>
      <c r="U3039" t="s">
        <v>261</v>
      </c>
      <c r="V3039" t="s">
        <v>262</v>
      </c>
      <c r="W3039" t="s">
        <v>261</v>
      </c>
      <c r="X3039" t="s">
        <v>261</v>
      </c>
      <c r="Y3039" t="s">
        <v>261</v>
      </c>
      <c r="AD3039" t="s">
        <v>261</v>
      </c>
      <c r="AH3039" t="s">
        <v>262</v>
      </c>
      <c r="AI3039" t="s">
        <v>261</v>
      </c>
      <c r="AJ3039" t="s">
        <v>261</v>
      </c>
      <c r="AK3039" t="s">
        <v>261</v>
      </c>
      <c r="AM3039" t="s">
        <v>262</v>
      </c>
      <c r="AN3039" t="s">
        <v>8339</v>
      </c>
    </row>
    <row r="3040" spans="1:40" x14ac:dyDescent="0.35">
      <c r="A3040">
        <v>6799473</v>
      </c>
      <c r="B3040" t="s">
        <v>8340</v>
      </c>
      <c r="C3040" t="str">
        <f>""</f>
        <v/>
      </c>
      <c r="D3040" t="str">
        <f>"9789179290672"</f>
        <v>9789179290672</v>
      </c>
      <c r="E3040" t="s">
        <v>3642</v>
      </c>
      <c r="F3040" t="s">
        <v>3642</v>
      </c>
      <c r="G3040" s="1">
        <v>44505</v>
      </c>
      <c r="H3040" s="1">
        <v>44508</v>
      </c>
      <c r="I3040" t="s">
        <v>189</v>
      </c>
      <c r="J3040">
        <v>1</v>
      </c>
      <c r="L3040" t="s">
        <v>8341</v>
      </c>
      <c r="Q3040" t="s">
        <v>260</v>
      </c>
      <c r="R3040" t="s">
        <v>261</v>
      </c>
      <c r="S3040" t="s">
        <v>261</v>
      </c>
      <c r="T3040" t="s">
        <v>261</v>
      </c>
      <c r="U3040" t="s">
        <v>261</v>
      </c>
      <c r="V3040" t="s">
        <v>262</v>
      </c>
      <c r="W3040" t="s">
        <v>261</v>
      </c>
      <c r="X3040" t="s">
        <v>261</v>
      </c>
      <c r="Y3040" t="s">
        <v>261</v>
      </c>
      <c r="AD3040" t="s">
        <v>261</v>
      </c>
      <c r="AH3040" t="s">
        <v>262</v>
      </c>
      <c r="AI3040" t="s">
        <v>261</v>
      </c>
      <c r="AJ3040" t="s">
        <v>261</v>
      </c>
      <c r="AK3040" t="s">
        <v>261</v>
      </c>
      <c r="AM3040" t="s">
        <v>262</v>
      </c>
      <c r="AN3040" t="s">
        <v>8342</v>
      </c>
    </row>
    <row r="3041" spans="1:40" x14ac:dyDescent="0.35">
      <c r="A3041">
        <v>6799474</v>
      </c>
      <c r="B3041" t="s">
        <v>8343</v>
      </c>
      <c r="C3041" t="str">
        <f>""</f>
        <v/>
      </c>
      <c r="D3041" t="str">
        <f>"9789179296636"</f>
        <v>9789179296636</v>
      </c>
      <c r="E3041" t="s">
        <v>3642</v>
      </c>
      <c r="F3041" t="s">
        <v>3642</v>
      </c>
      <c r="G3041" s="1">
        <v>44501</v>
      </c>
      <c r="H3041" s="1">
        <v>44508</v>
      </c>
      <c r="I3041" t="s">
        <v>189</v>
      </c>
      <c r="J3041">
        <v>1</v>
      </c>
      <c r="L3041" t="s">
        <v>8344</v>
      </c>
      <c r="Q3041" t="s">
        <v>260</v>
      </c>
      <c r="R3041" t="s">
        <v>261</v>
      </c>
      <c r="S3041" t="s">
        <v>261</v>
      </c>
      <c r="T3041" t="s">
        <v>261</v>
      </c>
      <c r="U3041" t="s">
        <v>261</v>
      </c>
      <c r="V3041" t="s">
        <v>262</v>
      </c>
      <c r="W3041" t="s">
        <v>261</v>
      </c>
      <c r="X3041" t="s">
        <v>261</v>
      </c>
      <c r="Y3041" t="s">
        <v>261</v>
      </c>
      <c r="AD3041" t="s">
        <v>261</v>
      </c>
      <c r="AH3041" t="s">
        <v>262</v>
      </c>
      <c r="AI3041" t="s">
        <v>261</v>
      </c>
      <c r="AJ3041" t="s">
        <v>261</v>
      </c>
      <c r="AK3041" t="s">
        <v>261</v>
      </c>
      <c r="AM3041" t="s">
        <v>262</v>
      </c>
      <c r="AN3041" t="s">
        <v>8345</v>
      </c>
    </row>
    <row r="3042" spans="1:40" x14ac:dyDescent="0.35">
      <c r="A3042">
        <v>6799475</v>
      </c>
      <c r="B3042" t="s">
        <v>8346</v>
      </c>
      <c r="C3042" t="str">
        <f>""</f>
        <v/>
      </c>
      <c r="D3042" t="str">
        <f>"9789179291037"</f>
        <v>9789179291037</v>
      </c>
      <c r="E3042" t="s">
        <v>3642</v>
      </c>
      <c r="F3042" t="s">
        <v>3642</v>
      </c>
      <c r="G3042" s="1">
        <v>44502</v>
      </c>
      <c r="H3042" s="1">
        <v>44515</v>
      </c>
      <c r="I3042" t="s">
        <v>189</v>
      </c>
      <c r="J3042">
        <v>1</v>
      </c>
      <c r="L3042" t="s">
        <v>8347</v>
      </c>
      <c r="Q3042" t="s">
        <v>260</v>
      </c>
      <c r="R3042" t="s">
        <v>261</v>
      </c>
      <c r="S3042" t="s">
        <v>261</v>
      </c>
      <c r="T3042" t="s">
        <v>261</v>
      </c>
      <c r="U3042" t="s">
        <v>261</v>
      </c>
      <c r="V3042" t="s">
        <v>262</v>
      </c>
      <c r="W3042" t="s">
        <v>261</v>
      </c>
      <c r="X3042" t="s">
        <v>261</v>
      </c>
      <c r="Y3042" t="s">
        <v>261</v>
      </c>
      <c r="AD3042" t="s">
        <v>261</v>
      </c>
      <c r="AH3042" t="s">
        <v>262</v>
      </c>
      <c r="AI3042" t="s">
        <v>261</v>
      </c>
      <c r="AJ3042" t="s">
        <v>261</v>
      </c>
      <c r="AK3042" t="s">
        <v>261</v>
      </c>
      <c r="AM3042" t="s">
        <v>262</v>
      </c>
      <c r="AN3042" t="s">
        <v>8348</v>
      </c>
    </row>
    <row r="3043" spans="1:40" x14ac:dyDescent="0.35">
      <c r="A3043">
        <v>6799476</v>
      </c>
      <c r="B3043" t="s">
        <v>8349</v>
      </c>
      <c r="C3043" t="str">
        <f>""</f>
        <v/>
      </c>
      <c r="D3043" t="str">
        <f>"9789179290429"</f>
        <v>9789179290429</v>
      </c>
      <c r="E3043" t="s">
        <v>3642</v>
      </c>
      <c r="F3043" t="s">
        <v>3642</v>
      </c>
      <c r="G3043" s="1">
        <v>44501</v>
      </c>
      <c r="H3043" s="1">
        <v>44508</v>
      </c>
      <c r="I3043" t="s">
        <v>189</v>
      </c>
      <c r="J3043">
        <v>1</v>
      </c>
      <c r="L3043" t="s">
        <v>8350</v>
      </c>
      <c r="Q3043" t="s">
        <v>260</v>
      </c>
      <c r="R3043" t="s">
        <v>261</v>
      </c>
      <c r="S3043" t="s">
        <v>261</v>
      </c>
      <c r="T3043" t="s">
        <v>261</v>
      </c>
      <c r="U3043" t="s">
        <v>261</v>
      </c>
      <c r="V3043" t="s">
        <v>262</v>
      </c>
      <c r="W3043" t="s">
        <v>261</v>
      </c>
      <c r="X3043" t="s">
        <v>261</v>
      </c>
      <c r="Y3043" t="s">
        <v>261</v>
      </c>
      <c r="AD3043" t="s">
        <v>261</v>
      </c>
      <c r="AH3043" t="s">
        <v>262</v>
      </c>
      <c r="AI3043" t="s">
        <v>261</v>
      </c>
      <c r="AJ3043" t="s">
        <v>261</v>
      </c>
      <c r="AK3043" t="s">
        <v>261</v>
      </c>
      <c r="AM3043" t="s">
        <v>262</v>
      </c>
      <c r="AN3043" t="s">
        <v>8351</v>
      </c>
    </row>
    <row r="3044" spans="1:40" x14ac:dyDescent="0.35">
      <c r="A3044">
        <v>6799477</v>
      </c>
      <c r="B3044" t="s">
        <v>8352</v>
      </c>
      <c r="C3044" t="str">
        <f>""</f>
        <v/>
      </c>
      <c r="D3044" t="str">
        <f>"9789179290641"</f>
        <v>9789179290641</v>
      </c>
      <c r="E3044" t="s">
        <v>3642</v>
      </c>
      <c r="F3044" t="s">
        <v>3642</v>
      </c>
      <c r="G3044" s="1">
        <v>44497</v>
      </c>
      <c r="H3044" s="1">
        <v>44508</v>
      </c>
      <c r="I3044" t="s">
        <v>189</v>
      </c>
      <c r="J3044">
        <v>1</v>
      </c>
      <c r="L3044" t="s">
        <v>8353</v>
      </c>
      <c r="Q3044" t="s">
        <v>260</v>
      </c>
      <c r="R3044" t="s">
        <v>261</v>
      </c>
      <c r="S3044" t="s">
        <v>261</v>
      </c>
      <c r="T3044" t="s">
        <v>261</v>
      </c>
      <c r="U3044" t="s">
        <v>261</v>
      </c>
      <c r="V3044" t="s">
        <v>262</v>
      </c>
      <c r="W3044" t="s">
        <v>261</v>
      </c>
      <c r="X3044" t="s">
        <v>261</v>
      </c>
      <c r="Y3044" t="s">
        <v>261</v>
      </c>
      <c r="AD3044" t="s">
        <v>261</v>
      </c>
      <c r="AH3044" t="s">
        <v>262</v>
      </c>
      <c r="AI3044" t="s">
        <v>261</v>
      </c>
      <c r="AJ3044" t="s">
        <v>261</v>
      </c>
      <c r="AK3044" t="s">
        <v>261</v>
      </c>
      <c r="AM3044" t="s">
        <v>262</v>
      </c>
      <c r="AN3044" t="s">
        <v>8354</v>
      </c>
    </row>
    <row r="3045" spans="1:40" x14ac:dyDescent="0.35">
      <c r="A3045">
        <v>6799478</v>
      </c>
      <c r="B3045" t="s">
        <v>8355</v>
      </c>
      <c r="C3045" t="str">
        <f>""</f>
        <v/>
      </c>
      <c r="D3045" t="str">
        <f>"9789179290610"</f>
        <v>9789179290610</v>
      </c>
      <c r="E3045" t="s">
        <v>3642</v>
      </c>
      <c r="F3045" t="s">
        <v>3642</v>
      </c>
      <c r="G3045" s="1">
        <v>44495</v>
      </c>
      <c r="H3045" s="1">
        <v>44508</v>
      </c>
      <c r="I3045" t="s">
        <v>189</v>
      </c>
      <c r="J3045">
        <v>1</v>
      </c>
      <c r="L3045" t="s">
        <v>8356</v>
      </c>
      <c r="Q3045" t="s">
        <v>260</v>
      </c>
      <c r="R3045" t="s">
        <v>261</v>
      </c>
      <c r="S3045" t="s">
        <v>261</v>
      </c>
      <c r="T3045" t="s">
        <v>261</v>
      </c>
      <c r="U3045" t="s">
        <v>261</v>
      </c>
      <c r="V3045" t="s">
        <v>262</v>
      </c>
      <c r="W3045" t="s">
        <v>261</v>
      </c>
      <c r="X3045" t="s">
        <v>261</v>
      </c>
      <c r="Y3045" t="s">
        <v>261</v>
      </c>
      <c r="AD3045" t="s">
        <v>261</v>
      </c>
      <c r="AH3045" t="s">
        <v>262</v>
      </c>
      <c r="AI3045" t="s">
        <v>261</v>
      </c>
      <c r="AJ3045" t="s">
        <v>261</v>
      </c>
      <c r="AK3045" t="s">
        <v>261</v>
      </c>
      <c r="AM3045" t="s">
        <v>262</v>
      </c>
      <c r="AN3045" t="s">
        <v>8357</v>
      </c>
    </row>
    <row r="3046" spans="1:40" x14ac:dyDescent="0.35">
      <c r="A3046">
        <v>6799479</v>
      </c>
      <c r="B3046" t="s">
        <v>8358</v>
      </c>
      <c r="C3046" t="str">
        <f>""</f>
        <v/>
      </c>
      <c r="D3046" t="str">
        <f>"9789179291433"</f>
        <v>9789179291433</v>
      </c>
      <c r="E3046" t="s">
        <v>3642</v>
      </c>
      <c r="F3046" t="s">
        <v>3642</v>
      </c>
      <c r="G3046" s="1">
        <v>44502</v>
      </c>
      <c r="H3046" s="1">
        <v>44508</v>
      </c>
      <c r="I3046" t="s">
        <v>189</v>
      </c>
      <c r="J3046">
        <v>1</v>
      </c>
      <c r="L3046" t="s">
        <v>8359</v>
      </c>
      <c r="Q3046" t="s">
        <v>260</v>
      </c>
      <c r="R3046" t="s">
        <v>261</v>
      </c>
      <c r="S3046" t="s">
        <v>261</v>
      </c>
      <c r="T3046" t="s">
        <v>261</v>
      </c>
      <c r="U3046" t="s">
        <v>261</v>
      </c>
      <c r="V3046" t="s">
        <v>262</v>
      </c>
      <c r="W3046" t="s">
        <v>261</v>
      </c>
      <c r="X3046" t="s">
        <v>261</v>
      </c>
      <c r="Y3046" t="s">
        <v>261</v>
      </c>
      <c r="AD3046" t="s">
        <v>261</v>
      </c>
      <c r="AH3046" t="s">
        <v>262</v>
      </c>
      <c r="AI3046" t="s">
        <v>261</v>
      </c>
      <c r="AJ3046" t="s">
        <v>261</v>
      </c>
      <c r="AK3046" t="s">
        <v>261</v>
      </c>
      <c r="AM3046" t="s">
        <v>262</v>
      </c>
      <c r="AN3046" t="s">
        <v>8360</v>
      </c>
    </row>
    <row r="3047" spans="1:40" x14ac:dyDescent="0.35">
      <c r="A3047">
        <v>6803040</v>
      </c>
      <c r="B3047" t="s">
        <v>8361</v>
      </c>
      <c r="C3047" t="str">
        <f>"9789811652097"</f>
        <v>9789811652097</v>
      </c>
      <c r="D3047" t="str">
        <f>"9789811652103"</f>
        <v>9789811652103</v>
      </c>
      <c r="E3047" t="s">
        <v>3404</v>
      </c>
      <c r="F3047" t="s">
        <v>2290</v>
      </c>
      <c r="G3047" s="1">
        <v>44511</v>
      </c>
      <c r="H3047" s="1">
        <v>44676</v>
      </c>
      <c r="I3047" t="s">
        <v>189</v>
      </c>
      <c r="K3047" t="s">
        <v>8362</v>
      </c>
      <c r="L3047" t="s">
        <v>8363</v>
      </c>
    </row>
    <row r="3048" spans="1:40" x14ac:dyDescent="0.35">
      <c r="A3048">
        <v>6803041</v>
      </c>
      <c r="B3048" t="s">
        <v>8364</v>
      </c>
      <c r="C3048" t="str">
        <f>"9783030774509"</f>
        <v>9783030774509</v>
      </c>
      <c r="D3048" t="str">
        <f>"9783030774516"</f>
        <v>9783030774516</v>
      </c>
      <c r="E3048" t="s">
        <v>2289</v>
      </c>
      <c r="F3048" t="s">
        <v>2663</v>
      </c>
      <c r="G3048" s="1">
        <v>44512</v>
      </c>
      <c r="H3048" s="1">
        <v>44676</v>
      </c>
      <c r="I3048" t="s">
        <v>189</v>
      </c>
      <c r="K3048" t="s">
        <v>8365</v>
      </c>
      <c r="L3048" t="s">
        <v>8366</v>
      </c>
    </row>
    <row r="3049" spans="1:40" x14ac:dyDescent="0.35">
      <c r="A3049">
        <v>6803042</v>
      </c>
      <c r="B3049" t="s">
        <v>8367</v>
      </c>
      <c r="C3049" t="str">
        <f>"9783030858018"</f>
        <v>9783030858018</v>
      </c>
      <c r="D3049" t="str">
        <f>"9783030858025"</f>
        <v>9783030858025</v>
      </c>
      <c r="E3049" t="s">
        <v>2289</v>
      </c>
      <c r="F3049" t="s">
        <v>2290</v>
      </c>
      <c r="G3049" s="1">
        <v>44511</v>
      </c>
      <c r="H3049" s="1">
        <v>44676</v>
      </c>
      <c r="I3049" t="s">
        <v>189</v>
      </c>
      <c r="K3049" t="s">
        <v>4096</v>
      </c>
      <c r="L3049" t="s">
        <v>8368</v>
      </c>
    </row>
    <row r="3050" spans="1:40" x14ac:dyDescent="0.35">
      <c r="A3050">
        <v>6803553</v>
      </c>
      <c r="B3050" t="s">
        <v>8369</v>
      </c>
      <c r="C3050" t="str">
        <f>""</f>
        <v/>
      </c>
      <c r="D3050" t="str">
        <f>"9789048552566"</f>
        <v>9789048552566</v>
      </c>
      <c r="E3050" t="s">
        <v>361</v>
      </c>
      <c r="F3050" t="s">
        <v>361</v>
      </c>
      <c r="G3050" s="1">
        <v>44528</v>
      </c>
      <c r="H3050" s="1">
        <v>44513</v>
      </c>
      <c r="I3050" t="s">
        <v>189</v>
      </c>
      <c r="J3050">
        <v>1</v>
      </c>
      <c r="K3050" t="s">
        <v>580</v>
      </c>
      <c r="L3050" t="s">
        <v>8370</v>
      </c>
      <c r="M3050" t="s">
        <v>582</v>
      </c>
      <c r="O3050" t="s">
        <v>8371</v>
      </c>
      <c r="Q3050" t="s">
        <v>260</v>
      </c>
      <c r="R3050" t="s">
        <v>261</v>
      </c>
      <c r="S3050" t="s">
        <v>261</v>
      </c>
      <c r="T3050" t="s">
        <v>261</v>
      </c>
      <c r="U3050" t="s">
        <v>261</v>
      </c>
      <c r="V3050" t="s">
        <v>262</v>
      </c>
      <c r="W3050" t="s">
        <v>261</v>
      </c>
      <c r="X3050" t="s">
        <v>261</v>
      </c>
      <c r="Y3050" t="s">
        <v>261</v>
      </c>
      <c r="Z3050" t="s">
        <v>409</v>
      </c>
      <c r="AA3050" t="s">
        <v>409</v>
      </c>
      <c r="AB3050" t="s">
        <v>409</v>
      </c>
      <c r="AC3050" t="s">
        <v>409</v>
      </c>
      <c r="AD3050" t="s">
        <v>261</v>
      </c>
      <c r="AH3050" t="s">
        <v>262</v>
      </c>
      <c r="AI3050" t="s">
        <v>262</v>
      </c>
      <c r="AJ3050" t="s">
        <v>261</v>
      </c>
      <c r="AK3050" t="s">
        <v>261</v>
      </c>
      <c r="AM3050" t="s">
        <v>262</v>
      </c>
      <c r="AN3050" t="s">
        <v>8372</v>
      </c>
    </row>
    <row r="3051" spans="1:40" x14ac:dyDescent="0.35">
      <c r="A3051">
        <v>6803856</v>
      </c>
      <c r="B3051" t="s">
        <v>8373</v>
      </c>
      <c r="C3051" t="str">
        <f>"9783030786816"</f>
        <v>9783030786816</v>
      </c>
      <c r="D3051" t="str">
        <f>"9783030786823"</f>
        <v>9783030786823</v>
      </c>
      <c r="E3051" t="s">
        <v>2289</v>
      </c>
      <c r="F3051" t="s">
        <v>2290</v>
      </c>
      <c r="G3051" s="1">
        <v>44513</v>
      </c>
      <c r="H3051" s="1">
        <v>44676</v>
      </c>
      <c r="I3051" t="s">
        <v>189</v>
      </c>
      <c r="K3051" t="s">
        <v>6524</v>
      </c>
      <c r="L3051" t="s">
        <v>8374</v>
      </c>
    </row>
    <row r="3052" spans="1:40" x14ac:dyDescent="0.35">
      <c r="A3052">
        <v>6803857</v>
      </c>
      <c r="B3052" t="s">
        <v>8375</v>
      </c>
      <c r="C3052" t="str">
        <f>"9783030857950"</f>
        <v>9783030857950</v>
      </c>
      <c r="D3052" t="str">
        <f>"9783030857967"</f>
        <v>9783030857967</v>
      </c>
      <c r="E3052" t="s">
        <v>2289</v>
      </c>
      <c r="F3052" t="s">
        <v>2663</v>
      </c>
      <c r="G3052" s="1">
        <v>44513</v>
      </c>
      <c r="H3052" s="1">
        <v>44676</v>
      </c>
      <c r="I3052" t="s">
        <v>189</v>
      </c>
      <c r="L3052" t="s">
        <v>8376</v>
      </c>
    </row>
    <row r="3053" spans="1:40" x14ac:dyDescent="0.35">
      <c r="A3053">
        <v>6803858</v>
      </c>
      <c r="B3053" t="s">
        <v>8377</v>
      </c>
      <c r="C3053" t="str">
        <f>"9789811668302"</f>
        <v>9789811668302</v>
      </c>
      <c r="D3053" t="str">
        <f>"9789811668319"</f>
        <v>9789811668319</v>
      </c>
      <c r="E3053" t="s">
        <v>3404</v>
      </c>
      <c r="F3053" t="s">
        <v>2290</v>
      </c>
      <c r="G3053" s="1">
        <v>44513</v>
      </c>
      <c r="H3053" s="1">
        <v>44676</v>
      </c>
      <c r="I3053" t="s">
        <v>189</v>
      </c>
      <c r="L3053" t="s">
        <v>4957</v>
      </c>
      <c r="M3053" t="s">
        <v>249</v>
      </c>
      <c r="N3053" t="s">
        <v>5090</v>
      </c>
      <c r="Q3053" t="s">
        <v>260</v>
      </c>
      <c r="R3053" t="s">
        <v>261</v>
      </c>
      <c r="S3053" t="s">
        <v>261</v>
      </c>
      <c r="T3053" t="s">
        <v>261</v>
      </c>
      <c r="U3053" t="s">
        <v>261</v>
      </c>
      <c r="V3053" t="s">
        <v>262</v>
      </c>
      <c r="W3053" t="s">
        <v>261</v>
      </c>
      <c r="X3053" t="s">
        <v>261</v>
      </c>
      <c r="Y3053" t="s">
        <v>261</v>
      </c>
      <c r="Z3053" t="s">
        <v>409</v>
      </c>
      <c r="AA3053" t="s">
        <v>409</v>
      </c>
      <c r="AB3053" t="s">
        <v>409</v>
      </c>
      <c r="AC3053" t="s">
        <v>409</v>
      </c>
      <c r="AD3053" t="s">
        <v>261</v>
      </c>
      <c r="AH3053" t="s">
        <v>262</v>
      </c>
      <c r="AI3053" t="s">
        <v>262</v>
      </c>
      <c r="AJ3053" t="s">
        <v>261</v>
      </c>
      <c r="AK3053" t="s">
        <v>261</v>
      </c>
      <c r="AM3053" t="s">
        <v>262</v>
      </c>
      <c r="AN3053" t="s">
        <v>8378</v>
      </c>
    </row>
    <row r="3054" spans="1:40" x14ac:dyDescent="0.35">
      <c r="A3054">
        <v>6803859</v>
      </c>
      <c r="B3054" t="s">
        <v>8379</v>
      </c>
      <c r="C3054" t="str">
        <f>"9789811658426"</f>
        <v>9789811658426</v>
      </c>
      <c r="D3054" t="str">
        <f>"9789811658433"</f>
        <v>9789811658433</v>
      </c>
      <c r="E3054" t="s">
        <v>3404</v>
      </c>
      <c r="F3054" t="s">
        <v>2290</v>
      </c>
      <c r="G3054" s="1">
        <v>44513</v>
      </c>
      <c r="H3054" s="1">
        <v>44676</v>
      </c>
      <c r="I3054" t="s">
        <v>189</v>
      </c>
      <c r="K3054" t="s">
        <v>4117</v>
      </c>
      <c r="L3054" t="s">
        <v>8380</v>
      </c>
    </row>
    <row r="3055" spans="1:40" x14ac:dyDescent="0.35">
      <c r="A3055">
        <v>6803962</v>
      </c>
      <c r="B3055" t="s">
        <v>8381</v>
      </c>
      <c r="C3055" t="str">
        <f>""</f>
        <v/>
      </c>
      <c r="D3055" t="str">
        <f>"9789179290122"</f>
        <v>9789179290122</v>
      </c>
      <c r="E3055" t="s">
        <v>3642</v>
      </c>
      <c r="F3055" t="s">
        <v>3642</v>
      </c>
      <c r="G3055" s="1">
        <v>44510</v>
      </c>
      <c r="H3055" s="1">
        <v>44515</v>
      </c>
      <c r="I3055" t="s">
        <v>189</v>
      </c>
      <c r="J3055">
        <v>1</v>
      </c>
      <c r="L3055" t="s">
        <v>8382</v>
      </c>
      <c r="Q3055" t="s">
        <v>260</v>
      </c>
      <c r="R3055" t="s">
        <v>261</v>
      </c>
      <c r="S3055" t="s">
        <v>261</v>
      </c>
      <c r="T3055" t="s">
        <v>261</v>
      </c>
      <c r="U3055" t="s">
        <v>261</v>
      </c>
      <c r="V3055" t="s">
        <v>262</v>
      </c>
      <c r="W3055" t="s">
        <v>261</v>
      </c>
      <c r="X3055" t="s">
        <v>261</v>
      </c>
      <c r="Y3055" t="s">
        <v>261</v>
      </c>
      <c r="AD3055" t="s">
        <v>261</v>
      </c>
      <c r="AH3055" t="s">
        <v>262</v>
      </c>
      <c r="AI3055" t="s">
        <v>261</v>
      </c>
      <c r="AJ3055" t="s">
        <v>261</v>
      </c>
      <c r="AK3055" t="s">
        <v>261</v>
      </c>
      <c r="AM3055" t="s">
        <v>262</v>
      </c>
      <c r="AN3055" t="s">
        <v>8383</v>
      </c>
    </row>
    <row r="3056" spans="1:40" x14ac:dyDescent="0.35">
      <c r="A3056">
        <v>6803965</v>
      </c>
      <c r="B3056" t="s">
        <v>8384</v>
      </c>
      <c r="C3056" t="str">
        <f>""</f>
        <v/>
      </c>
      <c r="D3056" t="str">
        <f>"9789179290566"</f>
        <v>9789179290566</v>
      </c>
      <c r="E3056" t="s">
        <v>3642</v>
      </c>
      <c r="F3056" t="s">
        <v>3642</v>
      </c>
      <c r="G3056" s="1">
        <v>44512</v>
      </c>
      <c r="H3056" s="1">
        <v>44515</v>
      </c>
      <c r="I3056" t="s">
        <v>189</v>
      </c>
      <c r="J3056">
        <v>1</v>
      </c>
      <c r="L3056" t="s">
        <v>8385</v>
      </c>
      <c r="Q3056" t="s">
        <v>260</v>
      </c>
      <c r="R3056" t="s">
        <v>261</v>
      </c>
      <c r="S3056" t="s">
        <v>261</v>
      </c>
      <c r="T3056" t="s">
        <v>261</v>
      </c>
      <c r="U3056" t="s">
        <v>261</v>
      </c>
      <c r="V3056" t="s">
        <v>262</v>
      </c>
      <c r="W3056" t="s">
        <v>261</v>
      </c>
      <c r="X3056" t="s">
        <v>261</v>
      </c>
      <c r="Y3056" t="s">
        <v>261</v>
      </c>
      <c r="AD3056" t="s">
        <v>261</v>
      </c>
      <c r="AH3056" t="s">
        <v>262</v>
      </c>
      <c r="AI3056" t="s">
        <v>261</v>
      </c>
      <c r="AJ3056" t="s">
        <v>261</v>
      </c>
      <c r="AK3056" t="s">
        <v>261</v>
      </c>
      <c r="AM3056" t="s">
        <v>262</v>
      </c>
      <c r="AN3056" t="s">
        <v>8386</v>
      </c>
    </row>
    <row r="3057" spans="1:40" x14ac:dyDescent="0.35">
      <c r="A3057">
        <v>6803966</v>
      </c>
      <c r="B3057" t="s">
        <v>8387</v>
      </c>
      <c r="C3057" t="str">
        <f>""</f>
        <v/>
      </c>
      <c r="D3057" t="str">
        <f>"9789179290696"</f>
        <v>9789179290696</v>
      </c>
      <c r="E3057" t="s">
        <v>3642</v>
      </c>
      <c r="F3057" t="s">
        <v>3642</v>
      </c>
      <c r="G3057" s="1">
        <v>44505</v>
      </c>
      <c r="H3057" s="1">
        <v>44515</v>
      </c>
      <c r="I3057" t="s">
        <v>189</v>
      </c>
      <c r="J3057">
        <v>1</v>
      </c>
      <c r="L3057" t="s">
        <v>8388</v>
      </c>
      <c r="Q3057" t="s">
        <v>260</v>
      </c>
      <c r="R3057" t="s">
        <v>261</v>
      </c>
      <c r="S3057" t="s">
        <v>261</v>
      </c>
      <c r="T3057" t="s">
        <v>261</v>
      </c>
      <c r="U3057" t="s">
        <v>261</v>
      </c>
      <c r="V3057" t="s">
        <v>262</v>
      </c>
      <c r="W3057" t="s">
        <v>261</v>
      </c>
      <c r="X3057" t="s">
        <v>261</v>
      </c>
      <c r="Y3057" t="s">
        <v>261</v>
      </c>
      <c r="AD3057" t="s">
        <v>261</v>
      </c>
      <c r="AH3057" t="s">
        <v>262</v>
      </c>
      <c r="AI3057" t="s">
        <v>261</v>
      </c>
      <c r="AJ3057" t="s">
        <v>261</v>
      </c>
      <c r="AK3057" t="s">
        <v>261</v>
      </c>
      <c r="AM3057" t="s">
        <v>262</v>
      </c>
      <c r="AN3057" t="s">
        <v>8389</v>
      </c>
    </row>
    <row r="3058" spans="1:40" x14ac:dyDescent="0.35">
      <c r="A3058">
        <v>6803969</v>
      </c>
      <c r="B3058" t="s">
        <v>8390</v>
      </c>
      <c r="C3058" t="str">
        <f>""</f>
        <v/>
      </c>
      <c r="D3058" t="str">
        <f>"9789179290191"</f>
        <v>9789179290191</v>
      </c>
      <c r="E3058" t="s">
        <v>3642</v>
      </c>
      <c r="F3058" t="s">
        <v>3642</v>
      </c>
      <c r="G3058" s="1">
        <v>44508</v>
      </c>
      <c r="H3058" s="1">
        <v>44515</v>
      </c>
      <c r="I3058" t="s">
        <v>189</v>
      </c>
      <c r="J3058">
        <v>1</v>
      </c>
      <c r="L3058" t="s">
        <v>8391</v>
      </c>
      <c r="Q3058" t="s">
        <v>260</v>
      </c>
      <c r="R3058" t="s">
        <v>261</v>
      </c>
      <c r="S3058" t="s">
        <v>261</v>
      </c>
      <c r="T3058" t="s">
        <v>261</v>
      </c>
      <c r="U3058" t="s">
        <v>261</v>
      </c>
      <c r="V3058" t="s">
        <v>262</v>
      </c>
      <c r="W3058" t="s">
        <v>261</v>
      </c>
      <c r="X3058" t="s">
        <v>261</v>
      </c>
      <c r="Y3058" t="s">
        <v>261</v>
      </c>
      <c r="AD3058" t="s">
        <v>261</v>
      </c>
      <c r="AH3058" t="s">
        <v>262</v>
      </c>
      <c r="AI3058" t="s">
        <v>261</v>
      </c>
      <c r="AJ3058" t="s">
        <v>261</v>
      </c>
      <c r="AK3058" t="s">
        <v>261</v>
      </c>
      <c r="AM3058" t="s">
        <v>262</v>
      </c>
      <c r="AN3058" t="s">
        <v>8392</v>
      </c>
    </row>
    <row r="3059" spans="1:40" x14ac:dyDescent="0.35">
      <c r="A3059">
        <v>6804318</v>
      </c>
      <c r="B3059" t="s">
        <v>8393</v>
      </c>
      <c r="C3059" t="str">
        <f>"9781438485911"</f>
        <v>9781438485911</v>
      </c>
      <c r="D3059" t="str">
        <f>"9781438485928"</f>
        <v>9781438485928</v>
      </c>
      <c r="E3059" t="s">
        <v>2073</v>
      </c>
      <c r="F3059" t="s">
        <v>2074</v>
      </c>
      <c r="G3059" s="1">
        <v>44531</v>
      </c>
      <c r="H3059" s="1">
        <v>44516</v>
      </c>
      <c r="I3059" t="s">
        <v>189</v>
      </c>
      <c r="J3059">
        <v>1</v>
      </c>
      <c r="K3059" t="s">
        <v>2075</v>
      </c>
      <c r="L3059" t="s">
        <v>8394</v>
      </c>
      <c r="M3059" t="s">
        <v>323</v>
      </c>
      <c r="Q3059" t="s">
        <v>260</v>
      </c>
      <c r="R3059" t="s">
        <v>261</v>
      </c>
      <c r="S3059" t="s">
        <v>261</v>
      </c>
      <c r="T3059" t="s">
        <v>261</v>
      </c>
      <c r="U3059" t="s">
        <v>261</v>
      </c>
      <c r="V3059" t="s">
        <v>262</v>
      </c>
      <c r="W3059" t="s">
        <v>261</v>
      </c>
      <c r="X3059" t="s">
        <v>261</v>
      </c>
      <c r="Y3059" t="s">
        <v>261</v>
      </c>
      <c r="Z3059" t="s">
        <v>409</v>
      </c>
      <c r="AA3059" t="s">
        <v>409</v>
      </c>
      <c r="AB3059" t="s">
        <v>409</v>
      </c>
      <c r="AC3059" t="s">
        <v>409</v>
      </c>
      <c r="AD3059" t="s">
        <v>261</v>
      </c>
      <c r="AH3059" t="s">
        <v>262</v>
      </c>
      <c r="AI3059" t="s">
        <v>262</v>
      </c>
      <c r="AJ3059" t="s">
        <v>261</v>
      </c>
      <c r="AK3059" t="s">
        <v>261</v>
      </c>
      <c r="AM3059" t="s">
        <v>262</v>
      </c>
      <c r="AN3059" t="s">
        <v>8395</v>
      </c>
    </row>
    <row r="3060" spans="1:40" x14ac:dyDescent="0.35">
      <c r="A3060">
        <v>6804703</v>
      </c>
      <c r="B3060" t="s">
        <v>8396</v>
      </c>
      <c r="C3060" t="str">
        <f>"9789027209900"</f>
        <v>9789027209900</v>
      </c>
      <c r="D3060" t="str">
        <f>"9789027258489"</f>
        <v>9789027258489</v>
      </c>
      <c r="E3060" t="s">
        <v>1372</v>
      </c>
      <c r="F3060" t="s">
        <v>1372</v>
      </c>
      <c r="G3060" s="1">
        <v>44526</v>
      </c>
      <c r="H3060" s="1">
        <v>44537</v>
      </c>
      <c r="I3060" t="s">
        <v>189</v>
      </c>
      <c r="J3060">
        <v>1</v>
      </c>
      <c r="K3060" t="s">
        <v>8397</v>
      </c>
      <c r="L3060" t="s">
        <v>8398</v>
      </c>
    </row>
    <row r="3061" spans="1:40" x14ac:dyDescent="0.35">
      <c r="A3061">
        <v>6805380</v>
      </c>
      <c r="B3061" t="s">
        <v>8399</v>
      </c>
      <c r="C3061" t="str">
        <f>"9789811662522"</f>
        <v>9789811662522</v>
      </c>
      <c r="D3061" t="str">
        <f>"9789811662539"</f>
        <v>9789811662539</v>
      </c>
      <c r="E3061" t="s">
        <v>3404</v>
      </c>
      <c r="F3061" t="s">
        <v>2663</v>
      </c>
      <c r="G3061" s="1">
        <v>44516</v>
      </c>
      <c r="H3061" s="1">
        <v>44676</v>
      </c>
      <c r="I3061" t="s">
        <v>189</v>
      </c>
      <c r="L3061" t="s">
        <v>8400</v>
      </c>
      <c r="M3061" t="s">
        <v>847</v>
      </c>
    </row>
    <row r="3062" spans="1:40" x14ac:dyDescent="0.35">
      <c r="A3062">
        <v>6805754</v>
      </c>
      <c r="B3062" t="s">
        <v>8401</v>
      </c>
      <c r="C3062" t="str">
        <f>"9783030737146"</f>
        <v>9783030737146</v>
      </c>
      <c r="D3062" t="str">
        <f>"9783030737153"</f>
        <v>9783030737153</v>
      </c>
      <c r="E3062" t="s">
        <v>2289</v>
      </c>
      <c r="F3062" t="s">
        <v>2290</v>
      </c>
      <c r="G3062" s="1">
        <v>44516</v>
      </c>
      <c r="H3062" s="1">
        <v>44676</v>
      </c>
      <c r="I3062" t="s">
        <v>189</v>
      </c>
      <c r="L3062" t="s">
        <v>8402</v>
      </c>
      <c r="M3062" t="s">
        <v>847</v>
      </c>
    </row>
    <row r="3063" spans="1:40" x14ac:dyDescent="0.35">
      <c r="A3063">
        <v>6806666</v>
      </c>
      <c r="B3063" t="s">
        <v>8403</v>
      </c>
      <c r="C3063" t="str">
        <f>""</f>
        <v/>
      </c>
      <c r="D3063" t="str">
        <f>"9789179291235"</f>
        <v>9789179291235</v>
      </c>
      <c r="E3063" t="s">
        <v>3642</v>
      </c>
      <c r="F3063" t="s">
        <v>3642</v>
      </c>
      <c r="G3063" s="1">
        <v>44517</v>
      </c>
      <c r="H3063" s="1">
        <v>44536</v>
      </c>
      <c r="I3063" t="s">
        <v>189</v>
      </c>
      <c r="J3063">
        <v>1</v>
      </c>
      <c r="L3063" t="s">
        <v>8404</v>
      </c>
      <c r="Q3063" t="s">
        <v>260</v>
      </c>
      <c r="R3063" t="s">
        <v>261</v>
      </c>
      <c r="S3063" t="s">
        <v>261</v>
      </c>
      <c r="T3063" t="s">
        <v>261</v>
      </c>
      <c r="U3063" t="s">
        <v>261</v>
      </c>
      <c r="V3063" t="s">
        <v>262</v>
      </c>
      <c r="W3063" t="s">
        <v>261</v>
      </c>
      <c r="X3063" t="s">
        <v>261</v>
      </c>
      <c r="Y3063" t="s">
        <v>261</v>
      </c>
      <c r="AD3063" t="s">
        <v>261</v>
      </c>
      <c r="AH3063" t="s">
        <v>262</v>
      </c>
      <c r="AI3063" t="s">
        <v>261</v>
      </c>
      <c r="AJ3063" t="s">
        <v>261</v>
      </c>
      <c r="AK3063" t="s">
        <v>261</v>
      </c>
      <c r="AM3063" t="s">
        <v>262</v>
      </c>
      <c r="AN3063" t="s">
        <v>8405</v>
      </c>
    </row>
    <row r="3064" spans="1:40" x14ac:dyDescent="0.35">
      <c r="A3064">
        <v>6806668</v>
      </c>
      <c r="B3064" t="s">
        <v>8406</v>
      </c>
      <c r="C3064" t="str">
        <f>""</f>
        <v/>
      </c>
      <c r="D3064" t="str">
        <f>"9789179290498"</f>
        <v>9789179290498</v>
      </c>
      <c r="E3064" t="s">
        <v>3642</v>
      </c>
      <c r="F3064" t="s">
        <v>3642</v>
      </c>
      <c r="G3064" s="1">
        <v>44515</v>
      </c>
      <c r="H3064" s="1">
        <v>44522</v>
      </c>
      <c r="I3064" t="s">
        <v>189</v>
      </c>
      <c r="J3064">
        <v>1</v>
      </c>
      <c r="L3064" t="s">
        <v>8407</v>
      </c>
      <c r="Q3064" t="s">
        <v>260</v>
      </c>
      <c r="R3064" t="s">
        <v>261</v>
      </c>
      <c r="S3064" t="s">
        <v>261</v>
      </c>
      <c r="T3064" t="s">
        <v>261</v>
      </c>
      <c r="U3064" t="s">
        <v>261</v>
      </c>
      <c r="V3064" t="s">
        <v>262</v>
      </c>
      <c r="W3064" t="s">
        <v>261</v>
      </c>
      <c r="X3064" t="s">
        <v>261</v>
      </c>
      <c r="Y3064" t="s">
        <v>261</v>
      </c>
      <c r="AD3064" t="s">
        <v>261</v>
      </c>
      <c r="AH3064" t="s">
        <v>262</v>
      </c>
      <c r="AI3064" t="s">
        <v>261</v>
      </c>
      <c r="AJ3064" t="s">
        <v>261</v>
      </c>
      <c r="AK3064" t="s">
        <v>261</v>
      </c>
      <c r="AM3064" t="s">
        <v>262</v>
      </c>
      <c r="AN3064" t="s">
        <v>8408</v>
      </c>
    </row>
    <row r="3065" spans="1:40" x14ac:dyDescent="0.35">
      <c r="A3065">
        <v>6806669</v>
      </c>
      <c r="B3065" t="s">
        <v>8409</v>
      </c>
      <c r="C3065" t="str">
        <f>""</f>
        <v/>
      </c>
      <c r="D3065" t="str">
        <f>"9789179290412"</f>
        <v>9789179290412</v>
      </c>
      <c r="E3065" t="s">
        <v>3642</v>
      </c>
      <c r="F3065" t="s">
        <v>3642</v>
      </c>
      <c r="G3065" s="1">
        <v>44515</v>
      </c>
      <c r="H3065" s="1">
        <v>44522</v>
      </c>
      <c r="I3065" t="s">
        <v>189</v>
      </c>
      <c r="J3065">
        <v>1</v>
      </c>
      <c r="L3065" t="s">
        <v>8410</v>
      </c>
      <c r="Q3065" t="s">
        <v>260</v>
      </c>
      <c r="R3065" t="s">
        <v>261</v>
      </c>
      <c r="S3065" t="s">
        <v>261</v>
      </c>
      <c r="T3065" t="s">
        <v>261</v>
      </c>
      <c r="U3065" t="s">
        <v>261</v>
      </c>
      <c r="V3065" t="s">
        <v>262</v>
      </c>
      <c r="W3065" t="s">
        <v>261</v>
      </c>
      <c r="X3065" t="s">
        <v>261</v>
      </c>
      <c r="Y3065" t="s">
        <v>261</v>
      </c>
      <c r="AD3065" t="s">
        <v>261</v>
      </c>
      <c r="AH3065" t="s">
        <v>262</v>
      </c>
      <c r="AI3065" t="s">
        <v>261</v>
      </c>
      <c r="AJ3065" t="s">
        <v>261</v>
      </c>
      <c r="AK3065" t="s">
        <v>261</v>
      </c>
      <c r="AM3065" t="s">
        <v>262</v>
      </c>
      <c r="AN3065" t="s">
        <v>8411</v>
      </c>
    </row>
    <row r="3066" spans="1:40" x14ac:dyDescent="0.35">
      <c r="A3066">
        <v>6806671</v>
      </c>
      <c r="B3066" t="s">
        <v>8412</v>
      </c>
      <c r="C3066" t="str">
        <f>""</f>
        <v/>
      </c>
      <c r="D3066" t="str">
        <f>"9789179290368"</f>
        <v>9789179290368</v>
      </c>
      <c r="E3066" t="s">
        <v>3642</v>
      </c>
      <c r="F3066" t="s">
        <v>3642</v>
      </c>
      <c r="G3066" s="1">
        <v>44467</v>
      </c>
      <c r="H3066" s="1">
        <v>44522</v>
      </c>
      <c r="I3066" t="s">
        <v>189</v>
      </c>
      <c r="J3066">
        <v>1</v>
      </c>
      <c r="L3066" t="s">
        <v>8413</v>
      </c>
      <c r="Q3066" t="s">
        <v>260</v>
      </c>
      <c r="R3066" t="s">
        <v>261</v>
      </c>
      <c r="S3066" t="s">
        <v>261</v>
      </c>
      <c r="T3066" t="s">
        <v>261</v>
      </c>
      <c r="U3066" t="s">
        <v>261</v>
      </c>
      <c r="V3066" t="s">
        <v>262</v>
      </c>
      <c r="W3066" t="s">
        <v>261</v>
      </c>
      <c r="X3066" t="s">
        <v>261</v>
      </c>
      <c r="Y3066" t="s">
        <v>261</v>
      </c>
      <c r="AD3066" t="s">
        <v>261</v>
      </c>
      <c r="AH3066" t="s">
        <v>262</v>
      </c>
      <c r="AI3066" t="s">
        <v>261</v>
      </c>
      <c r="AJ3066" t="s">
        <v>261</v>
      </c>
      <c r="AK3066" t="s">
        <v>261</v>
      </c>
      <c r="AM3066" t="s">
        <v>262</v>
      </c>
      <c r="AN3066" t="s">
        <v>8414</v>
      </c>
    </row>
    <row r="3067" spans="1:40" x14ac:dyDescent="0.35">
      <c r="A3067">
        <v>6808492</v>
      </c>
      <c r="B3067" t="s">
        <v>8415</v>
      </c>
      <c r="C3067" t="str">
        <f>"9789027210135"</f>
        <v>9789027210135</v>
      </c>
      <c r="D3067" t="str">
        <f>"9789027258281"</f>
        <v>9789027258281</v>
      </c>
      <c r="E3067" t="s">
        <v>1372</v>
      </c>
      <c r="F3067" t="s">
        <v>1372</v>
      </c>
      <c r="G3067" s="1">
        <v>44546</v>
      </c>
      <c r="H3067" s="1">
        <v>44537</v>
      </c>
      <c r="I3067" t="s">
        <v>189</v>
      </c>
      <c r="J3067">
        <v>1</v>
      </c>
      <c r="K3067" t="s">
        <v>6477</v>
      </c>
      <c r="L3067" t="s">
        <v>8416</v>
      </c>
    </row>
    <row r="3068" spans="1:40" x14ac:dyDescent="0.35">
      <c r="A3068">
        <v>6808949</v>
      </c>
      <c r="B3068" t="s">
        <v>8417</v>
      </c>
      <c r="C3068" t="str">
        <f>"9789463726047"</f>
        <v>9789463726047</v>
      </c>
      <c r="D3068" t="str">
        <f>"9789048552801"</f>
        <v>9789048552801</v>
      </c>
      <c r="E3068" t="s">
        <v>361</v>
      </c>
      <c r="F3068" t="s">
        <v>361</v>
      </c>
      <c r="G3068" s="1">
        <v>44545</v>
      </c>
      <c r="H3068" s="1">
        <v>44530</v>
      </c>
      <c r="I3068" t="s">
        <v>189</v>
      </c>
      <c r="J3068">
        <v>1</v>
      </c>
      <c r="L3068" t="s">
        <v>8418</v>
      </c>
    </row>
    <row r="3069" spans="1:40" x14ac:dyDescent="0.35">
      <c r="A3069">
        <v>6808955</v>
      </c>
      <c r="B3069" t="s">
        <v>8419</v>
      </c>
      <c r="C3069" t="str">
        <f>"9781789247541"</f>
        <v>9781789247541</v>
      </c>
      <c r="D3069" t="str">
        <f>"9781789247565"</f>
        <v>9781789247565</v>
      </c>
      <c r="E3069" t="s">
        <v>4355</v>
      </c>
      <c r="F3069" t="s">
        <v>4355</v>
      </c>
      <c r="G3069" s="1">
        <v>44540</v>
      </c>
      <c r="H3069" s="1">
        <v>44609</v>
      </c>
      <c r="I3069" t="s">
        <v>189</v>
      </c>
      <c r="L3069" t="s">
        <v>8420</v>
      </c>
    </row>
    <row r="3070" spans="1:40" x14ac:dyDescent="0.35">
      <c r="A3070">
        <v>6810668</v>
      </c>
      <c r="B3070" t="s">
        <v>8421</v>
      </c>
      <c r="C3070" t="str">
        <f>""</f>
        <v/>
      </c>
      <c r="D3070" t="str">
        <f>"9782759233533"</f>
        <v>9782759233533</v>
      </c>
      <c r="E3070" t="s">
        <v>1928</v>
      </c>
      <c r="F3070" t="s">
        <v>1928</v>
      </c>
      <c r="G3070" s="1">
        <v>44518</v>
      </c>
      <c r="H3070" s="1">
        <v>44537</v>
      </c>
      <c r="I3070" t="s">
        <v>189</v>
      </c>
      <c r="J3070">
        <v>1</v>
      </c>
      <c r="K3070" t="s">
        <v>1948</v>
      </c>
      <c r="L3070" t="s">
        <v>45</v>
      </c>
    </row>
    <row r="3071" spans="1:40" x14ac:dyDescent="0.35">
      <c r="A3071">
        <v>6811535</v>
      </c>
      <c r="B3071" t="s">
        <v>8422</v>
      </c>
      <c r="C3071" t="str">
        <f>""</f>
        <v/>
      </c>
      <c r="D3071" t="str">
        <f>"9789048552900"</f>
        <v>9789048552900</v>
      </c>
      <c r="E3071" t="s">
        <v>361</v>
      </c>
      <c r="F3071" t="s">
        <v>361</v>
      </c>
      <c r="G3071" s="1">
        <v>44536</v>
      </c>
      <c r="H3071" s="1">
        <v>44526</v>
      </c>
      <c r="I3071" t="s">
        <v>189</v>
      </c>
      <c r="J3071">
        <v>1</v>
      </c>
      <c r="K3071" t="s">
        <v>3279</v>
      </c>
      <c r="L3071" t="s">
        <v>8423</v>
      </c>
    </row>
    <row r="3072" spans="1:40" x14ac:dyDescent="0.35">
      <c r="A3072">
        <v>6811598</v>
      </c>
      <c r="B3072" t="s">
        <v>8424</v>
      </c>
      <c r="C3072" t="str">
        <f>"9783030820718"</f>
        <v>9783030820718</v>
      </c>
      <c r="D3072" t="str">
        <f>"9783030820725"</f>
        <v>9783030820725</v>
      </c>
      <c r="E3072" t="s">
        <v>2289</v>
      </c>
      <c r="F3072" t="s">
        <v>2663</v>
      </c>
      <c r="G3072" s="1">
        <v>44517</v>
      </c>
      <c r="H3072" s="1">
        <v>44676</v>
      </c>
      <c r="I3072" t="s">
        <v>189</v>
      </c>
      <c r="K3072" t="s">
        <v>8425</v>
      </c>
      <c r="L3072" t="s">
        <v>8426</v>
      </c>
    </row>
    <row r="3073" spans="1:40" x14ac:dyDescent="0.35">
      <c r="A3073">
        <v>6811599</v>
      </c>
      <c r="B3073" t="s">
        <v>8427</v>
      </c>
      <c r="C3073" t="str">
        <f>"9789811665059"</f>
        <v>9789811665059</v>
      </c>
      <c r="D3073" t="str">
        <f>"9789811665066"</f>
        <v>9789811665066</v>
      </c>
      <c r="E3073" t="s">
        <v>3404</v>
      </c>
      <c r="F3073" t="s">
        <v>2290</v>
      </c>
      <c r="G3073" s="1">
        <v>44517</v>
      </c>
      <c r="H3073" s="1">
        <v>44676</v>
      </c>
      <c r="I3073" t="s">
        <v>189</v>
      </c>
      <c r="K3073" t="s">
        <v>8428</v>
      </c>
      <c r="L3073" t="s">
        <v>8429</v>
      </c>
      <c r="M3073" t="s">
        <v>323</v>
      </c>
      <c r="N3073" t="s">
        <v>4748</v>
      </c>
      <c r="Q3073" t="s">
        <v>260</v>
      </c>
      <c r="R3073" t="s">
        <v>261</v>
      </c>
      <c r="S3073" t="s">
        <v>261</v>
      </c>
      <c r="T3073" t="s">
        <v>261</v>
      </c>
      <c r="U3073" t="s">
        <v>261</v>
      </c>
      <c r="V3073" t="s">
        <v>262</v>
      </c>
      <c r="W3073" t="s">
        <v>261</v>
      </c>
      <c r="X3073" t="s">
        <v>261</v>
      </c>
      <c r="Y3073" t="s">
        <v>261</v>
      </c>
      <c r="Z3073" t="s">
        <v>409</v>
      </c>
      <c r="AA3073" t="s">
        <v>409</v>
      </c>
      <c r="AB3073" t="s">
        <v>409</v>
      </c>
      <c r="AC3073" t="s">
        <v>409</v>
      </c>
      <c r="AD3073" t="s">
        <v>261</v>
      </c>
      <c r="AH3073" t="s">
        <v>262</v>
      </c>
      <c r="AI3073" t="s">
        <v>262</v>
      </c>
      <c r="AJ3073" t="s">
        <v>261</v>
      </c>
      <c r="AK3073" t="s">
        <v>261</v>
      </c>
      <c r="AM3073" t="s">
        <v>262</v>
      </c>
      <c r="AN3073" t="s">
        <v>8430</v>
      </c>
    </row>
    <row r="3074" spans="1:40" x14ac:dyDescent="0.35">
      <c r="A3074">
        <v>6811600</v>
      </c>
      <c r="B3074" t="s">
        <v>8431</v>
      </c>
      <c r="C3074" t="str">
        <f>"9783030745431"</f>
        <v>9783030745431</v>
      </c>
      <c r="D3074" t="str">
        <f>"9783030745448"</f>
        <v>9783030745448</v>
      </c>
      <c r="E3074" t="s">
        <v>2289</v>
      </c>
      <c r="F3074" t="s">
        <v>2290</v>
      </c>
      <c r="G3074" s="1">
        <v>44517</v>
      </c>
      <c r="H3074" s="1">
        <v>44676</v>
      </c>
      <c r="I3074" t="s">
        <v>189</v>
      </c>
      <c r="K3074" t="s">
        <v>5996</v>
      </c>
      <c r="L3074" t="s">
        <v>8432</v>
      </c>
    </row>
    <row r="3075" spans="1:40" x14ac:dyDescent="0.35">
      <c r="A3075">
        <v>6811601</v>
      </c>
      <c r="B3075" t="s">
        <v>8433</v>
      </c>
      <c r="C3075" t="str">
        <f>"9783658359256"</f>
        <v>9783658359256</v>
      </c>
      <c r="D3075" t="str">
        <f>"9783658359263"</f>
        <v>9783658359263</v>
      </c>
      <c r="E3075" t="s">
        <v>3972</v>
      </c>
      <c r="F3075" t="s">
        <v>3972</v>
      </c>
      <c r="G3075" s="1">
        <v>44517</v>
      </c>
      <c r="H3075" s="1">
        <v>44676</v>
      </c>
      <c r="I3075" t="s">
        <v>189</v>
      </c>
      <c r="L3075" t="s">
        <v>8434</v>
      </c>
      <c r="M3075" t="s">
        <v>1791</v>
      </c>
    </row>
    <row r="3076" spans="1:40" x14ac:dyDescent="0.35">
      <c r="A3076">
        <v>6811602</v>
      </c>
      <c r="B3076" t="s">
        <v>8435</v>
      </c>
      <c r="C3076" t="str">
        <f>"9783658353162"</f>
        <v>9783658353162</v>
      </c>
      <c r="D3076" t="str">
        <f>"9783658353179"</f>
        <v>9783658353179</v>
      </c>
      <c r="E3076" t="s">
        <v>3972</v>
      </c>
      <c r="F3076" t="s">
        <v>3998</v>
      </c>
      <c r="G3076" s="1">
        <v>44518</v>
      </c>
      <c r="H3076" s="1">
        <v>44676</v>
      </c>
      <c r="I3076" t="s">
        <v>189</v>
      </c>
      <c r="K3076" t="s">
        <v>5073</v>
      </c>
      <c r="L3076" t="s">
        <v>78</v>
      </c>
    </row>
    <row r="3077" spans="1:40" x14ac:dyDescent="0.35">
      <c r="A3077">
        <v>6811603</v>
      </c>
      <c r="B3077" t="s">
        <v>8436</v>
      </c>
      <c r="C3077" t="str">
        <f>"9783030845698"</f>
        <v>9783030845698</v>
      </c>
      <c r="D3077" t="str">
        <f>"9783030845704"</f>
        <v>9783030845704</v>
      </c>
      <c r="E3077" t="s">
        <v>2289</v>
      </c>
      <c r="F3077" t="s">
        <v>2290</v>
      </c>
      <c r="G3077" s="1">
        <v>44519</v>
      </c>
      <c r="H3077" s="1">
        <v>44676</v>
      </c>
      <c r="I3077" t="s">
        <v>189</v>
      </c>
      <c r="K3077" t="s">
        <v>8437</v>
      </c>
      <c r="L3077" t="s">
        <v>8438</v>
      </c>
      <c r="M3077" t="s">
        <v>535</v>
      </c>
      <c r="N3077" t="s">
        <v>8295</v>
      </c>
      <c r="Q3077" t="s">
        <v>260</v>
      </c>
      <c r="R3077" t="s">
        <v>261</v>
      </c>
      <c r="S3077" t="s">
        <v>261</v>
      </c>
      <c r="T3077" t="s">
        <v>261</v>
      </c>
      <c r="U3077" t="s">
        <v>261</v>
      </c>
      <c r="V3077" t="s">
        <v>262</v>
      </c>
      <c r="W3077" t="s">
        <v>261</v>
      </c>
      <c r="X3077" t="s">
        <v>261</v>
      </c>
      <c r="Y3077" t="s">
        <v>261</v>
      </c>
      <c r="Z3077" t="s">
        <v>409</v>
      </c>
      <c r="AA3077" t="s">
        <v>409</v>
      </c>
      <c r="AB3077" t="s">
        <v>409</v>
      </c>
      <c r="AC3077" t="s">
        <v>409</v>
      </c>
      <c r="AD3077" t="s">
        <v>261</v>
      </c>
      <c r="AH3077" t="s">
        <v>262</v>
      </c>
      <c r="AI3077" t="s">
        <v>262</v>
      </c>
      <c r="AJ3077" t="s">
        <v>261</v>
      </c>
      <c r="AK3077" t="s">
        <v>261</v>
      </c>
      <c r="AM3077" t="s">
        <v>262</v>
      </c>
      <c r="AN3077" t="s">
        <v>8439</v>
      </c>
    </row>
    <row r="3078" spans="1:40" x14ac:dyDescent="0.35">
      <c r="A3078">
        <v>6811604</v>
      </c>
      <c r="B3078" t="s">
        <v>8440</v>
      </c>
      <c r="C3078" t="str">
        <f>"9783030856670"</f>
        <v>9783030856670</v>
      </c>
      <c r="D3078" t="str">
        <f>"9783030856687"</f>
        <v>9783030856687</v>
      </c>
      <c r="E3078" t="s">
        <v>2289</v>
      </c>
      <c r="F3078" t="s">
        <v>2290</v>
      </c>
      <c r="G3078" s="1">
        <v>44519</v>
      </c>
      <c r="H3078" s="1">
        <v>44676</v>
      </c>
      <c r="I3078" t="s">
        <v>189</v>
      </c>
      <c r="L3078" t="s">
        <v>8441</v>
      </c>
    </row>
    <row r="3079" spans="1:40" x14ac:dyDescent="0.35">
      <c r="A3079">
        <v>6811605</v>
      </c>
      <c r="B3079" t="s">
        <v>8442</v>
      </c>
      <c r="C3079" t="str">
        <f>"9783030861438"</f>
        <v>9783030861438</v>
      </c>
      <c r="D3079" t="str">
        <f>"9783030861445"</f>
        <v>9783030861445</v>
      </c>
      <c r="E3079" t="s">
        <v>2289</v>
      </c>
      <c r="F3079" t="s">
        <v>2290</v>
      </c>
      <c r="G3079" s="1">
        <v>44524</v>
      </c>
      <c r="H3079" s="1">
        <v>44676</v>
      </c>
      <c r="I3079" t="s">
        <v>189</v>
      </c>
      <c r="L3079" t="s">
        <v>8443</v>
      </c>
    </row>
    <row r="3080" spans="1:40" x14ac:dyDescent="0.35">
      <c r="A3080">
        <v>6811606</v>
      </c>
      <c r="B3080" t="s">
        <v>8444</v>
      </c>
      <c r="C3080" t="str">
        <f>"9789811662379"</f>
        <v>9789811662379</v>
      </c>
      <c r="D3080" t="str">
        <f>"9789811662386"</f>
        <v>9789811662386</v>
      </c>
      <c r="E3080" t="s">
        <v>3404</v>
      </c>
      <c r="F3080" t="s">
        <v>2663</v>
      </c>
      <c r="G3080" s="1">
        <v>44524</v>
      </c>
      <c r="H3080" s="1">
        <v>44676</v>
      </c>
      <c r="I3080" t="s">
        <v>189</v>
      </c>
      <c r="L3080" t="s">
        <v>8445</v>
      </c>
    </row>
    <row r="3081" spans="1:40" x14ac:dyDescent="0.35">
      <c r="A3081">
        <v>6811607</v>
      </c>
      <c r="B3081" t="s">
        <v>8446</v>
      </c>
      <c r="C3081" t="str">
        <f>"9783030852139"</f>
        <v>9783030852139</v>
      </c>
      <c r="D3081" t="str">
        <f>"9783030852146"</f>
        <v>9783030852146</v>
      </c>
      <c r="E3081" t="s">
        <v>2289</v>
      </c>
      <c r="F3081" t="s">
        <v>2290</v>
      </c>
      <c r="G3081" s="1">
        <v>44524</v>
      </c>
      <c r="H3081" s="1">
        <v>44676</v>
      </c>
      <c r="I3081" t="s">
        <v>189</v>
      </c>
      <c r="K3081" t="s">
        <v>8447</v>
      </c>
      <c r="L3081" t="s">
        <v>8448</v>
      </c>
    </row>
    <row r="3082" spans="1:40" x14ac:dyDescent="0.35">
      <c r="A3082">
        <v>6811608</v>
      </c>
      <c r="B3082" t="s">
        <v>8449</v>
      </c>
      <c r="C3082" t="str">
        <f>"9783030812256"</f>
        <v>9783030812256</v>
      </c>
      <c r="D3082" t="str">
        <f>"9783030812263"</f>
        <v>9783030812263</v>
      </c>
      <c r="E3082" t="s">
        <v>2289</v>
      </c>
      <c r="F3082" t="s">
        <v>2663</v>
      </c>
      <c r="G3082" s="1">
        <v>44524</v>
      </c>
      <c r="H3082" s="1">
        <v>44676</v>
      </c>
      <c r="I3082" t="s">
        <v>189</v>
      </c>
      <c r="K3082" t="s">
        <v>8450</v>
      </c>
      <c r="L3082" t="s">
        <v>8451</v>
      </c>
    </row>
    <row r="3083" spans="1:40" x14ac:dyDescent="0.35">
      <c r="A3083">
        <v>6812058</v>
      </c>
      <c r="B3083" t="s">
        <v>8452</v>
      </c>
      <c r="C3083" t="str">
        <f>"9781789247664"</f>
        <v>9781789247664</v>
      </c>
      <c r="D3083" t="str">
        <f>"9781789247688"</f>
        <v>9781789247688</v>
      </c>
      <c r="E3083" t="s">
        <v>4355</v>
      </c>
      <c r="F3083" t="s">
        <v>4355</v>
      </c>
      <c r="G3083" s="1">
        <v>44560</v>
      </c>
      <c r="H3083" s="1">
        <v>44609</v>
      </c>
      <c r="I3083" t="s">
        <v>189</v>
      </c>
      <c r="L3083" t="s">
        <v>8453</v>
      </c>
      <c r="M3083" t="s">
        <v>282</v>
      </c>
      <c r="O3083" t="s">
        <v>8454</v>
      </c>
      <c r="Q3083" t="s">
        <v>260</v>
      </c>
      <c r="R3083" t="s">
        <v>261</v>
      </c>
      <c r="S3083" t="s">
        <v>261</v>
      </c>
      <c r="T3083" t="s">
        <v>261</v>
      </c>
      <c r="U3083" t="s">
        <v>262</v>
      </c>
      <c r="V3083" t="s">
        <v>262</v>
      </c>
      <c r="W3083" t="s">
        <v>261</v>
      </c>
      <c r="X3083" t="s">
        <v>262</v>
      </c>
      <c r="Y3083" t="s">
        <v>261</v>
      </c>
      <c r="Z3083" t="s">
        <v>409</v>
      </c>
      <c r="AA3083" t="s">
        <v>409</v>
      </c>
      <c r="AB3083" t="s">
        <v>409</v>
      </c>
      <c r="AC3083" t="s">
        <v>409</v>
      </c>
      <c r="AD3083" t="s">
        <v>261</v>
      </c>
      <c r="AH3083" t="s">
        <v>262</v>
      </c>
      <c r="AI3083" t="s">
        <v>262</v>
      </c>
      <c r="AJ3083" t="s">
        <v>261</v>
      </c>
      <c r="AK3083" t="s">
        <v>261</v>
      </c>
      <c r="AM3083" t="s">
        <v>262</v>
      </c>
      <c r="AN3083" t="s">
        <v>8455</v>
      </c>
    </row>
    <row r="3084" spans="1:40" x14ac:dyDescent="0.35">
      <c r="A3084">
        <v>6812599</v>
      </c>
      <c r="B3084" t="s">
        <v>8456</v>
      </c>
      <c r="C3084" t="str">
        <f>"9783030834029"</f>
        <v>9783030834029</v>
      </c>
      <c r="D3084" t="str">
        <f>"9783030834036"</f>
        <v>9783030834036</v>
      </c>
      <c r="E3084" t="s">
        <v>2289</v>
      </c>
      <c r="F3084" t="s">
        <v>2663</v>
      </c>
      <c r="G3084" s="1">
        <v>44525</v>
      </c>
      <c r="H3084" s="1">
        <v>44676</v>
      </c>
      <c r="I3084" t="s">
        <v>189</v>
      </c>
      <c r="K3084" t="s">
        <v>5573</v>
      </c>
      <c r="L3084" t="s">
        <v>8457</v>
      </c>
    </row>
    <row r="3085" spans="1:40" x14ac:dyDescent="0.35">
      <c r="A3085">
        <v>6812600</v>
      </c>
      <c r="B3085" t="s">
        <v>8458</v>
      </c>
      <c r="C3085" t="str">
        <f>"9783030807665"</f>
        <v>9783030807665</v>
      </c>
      <c r="D3085" t="str">
        <f>"9783030807672"</f>
        <v>9783030807672</v>
      </c>
      <c r="E3085" t="s">
        <v>2289</v>
      </c>
      <c r="F3085" t="s">
        <v>2290</v>
      </c>
      <c r="G3085" s="1">
        <v>44525</v>
      </c>
      <c r="H3085" s="1">
        <v>44676</v>
      </c>
      <c r="I3085" t="s">
        <v>189</v>
      </c>
      <c r="K3085" t="s">
        <v>8459</v>
      </c>
      <c r="L3085" t="s">
        <v>8460</v>
      </c>
    </row>
    <row r="3086" spans="1:40" x14ac:dyDescent="0.35">
      <c r="A3086">
        <v>6812601</v>
      </c>
      <c r="B3086" t="s">
        <v>8461</v>
      </c>
      <c r="C3086" t="str">
        <f>"9783030807863"</f>
        <v>9783030807863</v>
      </c>
      <c r="D3086" t="str">
        <f>"9783030807870"</f>
        <v>9783030807870</v>
      </c>
      <c r="E3086" t="s">
        <v>2289</v>
      </c>
      <c r="F3086" t="s">
        <v>2290</v>
      </c>
      <c r="G3086" s="1">
        <v>44527</v>
      </c>
      <c r="H3086" s="1">
        <v>44676</v>
      </c>
      <c r="I3086" t="s">
        <v>189</v>
      </c>
      <c r="L3086" t="s">
        <v>8462</v>
      </c>
    </row>
    <row r="3087" spans="1:40" x14ac:dyDescent="0.35">
      <c r="A3087">
        <v>6816744</v>
      </c>
      <c r="B3087" t="s">
        <v>8463</v>
      </c>
      <c r="C3087" t="str">
        <f>"9789811663154"</f>
        <v>9789811663154</v>
      </c>
      <c r="D3087" t="str">
        <f>"9789811663161"</f>
        <v>9789811663161</v>
      </c>
      <c r="E3087" t="s">
        <v>3404</v>
      </c>
      <c r="F3087" t="s">
        <v>2290</v>
      </c>
      <c r="G3087" s="1">
        <v>44527</v>
      </c>
      <c r="H3087" s="1">
        <v>44676</v>
      </c>
      <c r="I3087" t="s">
        <v>189</v>
      </c>
      <c r="L3087" t="s">
        <v>8464</v>
      </c>
      <c r="M3087" t="s">
        <v>329</v>
      </c>
    </row>
    <row r="3088" spans="1:40" x14ac:dyDescent="0.35">
      <c r="A3088">
        <v>6816745</v>
      </c>
      <c r="B3088" t="s">
        <v>8465</v>
      </c>
      <c r="C3088" t="str">
        <f>"9783662634486"</f>
        <v>9783662634486</v>
      </c>
      <c r="D3088" t="str">
        <f>"9783662634493"</f>
        <v>9783662634493</v>
      </c>
      <c r="E3088" t="s">
        <v>4047</v>
      </c>
      <c r="F3088" t="s">
        <v>2290</v>
      </c>
      <c r="G3088" s="1">
        <v>44527</v>
      </c>
      <c r="H3088" s="1">
        <v>44676</v>
      </c>
      <c r="I3088" t="s">
        <v>189</v>
      </c>
      <c r="K3088" t="s">
        <v>8466</v>
      </c>
      <c r="L3088" t="s">
        <v>8467</v>
      </c>
    </row>
    <row r="3089" spans="1:40" x14ac:dyDescent="0.35">
      <c r="A3089">
        <v>6816746</v>
      </c>
      <c r="B3089" t="s">
        <v>8468</v>
      </c>
      <c r="C3089" t="str">
        <f>"9783030847166"</f>
        <v>9783030847166</v>
      </c>
      <c r="D3089" t="str">
        <f>"9783030847173"</f>
        <v>9783030847173</v>
      </c>
      <c r="E3089" t="s">
        <v>2289</v>
      </c>
      <c r="F3089" t="s">
        <v>2663</v>
      </c>
      <c r="G3089" s="1">
        <v>44527</v>
      </c>
      <c r="H3089" s="1">
        <v>44676</v>
      </c>
      <c r="I3089" t="s">
        <v>189</v>
      </c>
      <c r="K3089" t="s">
        <v>4945</v>
      </c>
      <c r="L3089" t="s">
        <v>8469</v>
      </c>
      <c r="M3089" t="s">
        <v>219</v>
      </c>
      <c r="N3089" t="s">
        <v>8470</v>
      </c>
      <c r="O3089" s="2">
        <v>8238093561</v>
      </c>
      <c r="Q3089" t="s">
        <v>260</v>
      </c>
      <c r="R3089" t="s">
        <v>261</v>
      </c>
      <c r="S3089" t="s">
        <v>261</v>
      </c>
      <c r="T3089" t="s">
        <v>261</v>
      </c>
      <c r="U3089" t="s">
        <v>261</v>
      </c>
      <c r="V3089" t="s">
        <v>262</v>
      </c>
      <c r="W3089" t="s">
        <v>261</v>
      </c>
      <c r="X3089" t="s">
        <v>261</v>
      </c>
      <c r="Y3089" t="s">
        <v>261</v>
      </c>
      <c r="Z3089" t="s">
        <v>409</v>
      </c>
      <c r="AA3089" t="s">
        <v>409</v>
      </c>
      <c r="AB3089" t="s">
        <v>409</v>
      </c>
      <c r="AC3089" t="s">
        <v>409</v>
      </c>
      <c r="AD3089" t="s">
        <v>261</v>
      </c>
      <c r="AH3089" t="s">
        <v>262</v>
      </c>
      <c r="AI3089" t="s">
        <v>262</v>
      </c>
      <c r="AJ3089" t="s">
        <v>261</v>
      </c>
      <c r="AK3089" t="s">
        <v>261</v>
      </c>
      <c r="AM3089" t="s">
        <v>262</v>
      </c>
      <c r="AN3089" t="s">
        <v>8471</v>
      </c>
    </row>
    <row r="3090" spans="1:40" x14ac:dyDescent="0.35">
      <c r="A3090">
        <v>6816754</v>
      </c>
      <c r="B3090" t="s">
        <v>8472</v>
      </c>
      <c r="C3090" t="str">
        <f>""</f>
        <v/>
      </c>
      <c r="D3090" t="str">
        <f>"9789179290542"</f>
        <v>9789179290542</v>
      </c>
      <c r="E3090" t="s">
        <v>3642</v>
      </c>
      <c r="F3090" t="s">
        <v>3642</v>
      </c>
      <c r="G3090" s="1">
        <v>44524</v>
      </c>
      <c r="H3090" s="1">
        <v>44529</v>
      </c>
      <c r="I3090" t="s">
        <v>189</v>
      </c>
      <c r="J3090">
        <v>1</v>
      </c>
      <c r="L3090" t="s">
        <v>8473</v>
      </c>
      <c r="Q3090" t="s">
        <v>260</v>
      </c>
      <c r="R3090" t="s">
        <v>261</v>
      </c>
      <c r="S3090" t="s">
        <v>261</v>
      </c>
      <c r="T3090" t="s">
        <v>261</v>
      </c>
      <c r="U3090" t="s">
        <v>261</v>
      </c>
      <c r="V3090" t="s">
        <v>262</v>
      </c>
      <c r="W3090" t="s">
        <v>261</v>
      </c>
      <c r="X3090" t="s">
        <v>261</v>
      </c>
      <c r="Y3090" t="s">
        <v>261</v>
      </c>
      <c r="AD3090" t="s">
        <v>261</v>
      </c>
      <c r="AH3090" t="s">
        <v>262</v>
      </c>
      <c r="AI3090" t="s">
        <v>261</v>
      </c>
      <c r="AJ3090" t="s">
        <v>261</v>
      </c>
      <c r="AK3090" t="s">
        <v>261</v>
      </c>
      <c r="AM3090" t="s">
        <v>262</v>
      </c>
      <c r="AN3090" t="s">
        <v>8474</v>
      </c>
    </row>
    <row r="3091" spans="1:40" x14ac:dyDescent="0.35">
      <c r="A3091">
        <v>6819342</v>
      </c>
      <c r="B3091" t="s">
        <v>8475</v>
      </c>
      <c r="C3091" t="str">
        <f>"9783030868109"</f>
        <v>9783030868109</v>
      </c>
      <c r="D3091" t="str">
        <f>"9783030868116"</f>
        <v>9783030868116</v>
      </c>
      <c r="E3091" t="s">
        <v>2289</v>
      </c>
      <c r="F3091" t="s">
        <v>2290</v>
      </c>
      <c r="G3091" s="1">
        <v>44530</v>
      </c>
      <c r="H3091" s="1">
        <v>44676</v>
      </c>
      <c r="I3091" t="s">
        <v>189</v>
      </c>
      <c r="L3091" t="s">
        <v>8476</v>
      </c>
      <c r="M3091" t="s">
        <v>339</v>
      </c>
      <c r="N3091" t="s">
        <v>8477</v>
      </c>
      <c r="Q3091" t="s">
        <v>260</v>
      </c>
      <c r="R3091" t="s">
        <v>261</v>
      </c>
      <c r="S3091" t="s">
        <v>261</v>
      </c>
      <c r="T3091" t="s">
        <v>261</v>
      </c>
      <c r="U3091" t="s">
        <v>261</v>
      </c>
      <c r="V3091" t="s">
        <v>262</v>
      </c>
      <c r="W3091" t="s">
        <v>261</v>
      </c>
      <c r="X3091" t="s">
        <v>261</v>
      </c>
      <c r="Y3091" t="s">
        <v>261</v>
      </c>
      <c r="Z3091" t="s">
        <v>409</v>
      </c>
      <c r="AA3091" t="s">
        <v>409</v>
      </c>
      <c r="AB3091" t="s">
        <v>409</v>
      </c>
      <c r="AC3091" t="s">
        <v>409</v>
      </c>
      <c r="AD3091" t="s">
        <v>261</v>
      </c>
      <c r="AH3091" t="s">
        <v>262</v>
      </c>
      <c r="AI3091" t="s">
        <v>262</v>
      </c>
      <c r="AJ3091" t="s">
        <v>261</v>
      </c>
      <c r="AK3091" t="s">
        <v>261</v>
      </c>
      <c r="AM3091" t="s">
        <v>262</v>
      </c>
      <c r="AN3091" t="s">
        <v>8478</v>
      </c>
    </row>
    <row r="3092" spans="1:40" x14ac:dyDescent="0.35">
      <c r="A3092">
        <v>6819668</v>
      </c>
      <c r="B3092" t="s">
        <v>8479</v>
      </c>
      <c r="C3092" t="str">
        <f>""</f>
        <v/>
      </c>
      <c r="D3092" t="str">
        <f>"9782759233489"</f>
        <v>9782759233489</v>
      </c>
      <c r="E3092" t="s">
        <v>1928</v>
      </c>
      <c r="F3092" t="s">
        <v>1928</v>
      </c>
      <c r="G3092" s="1">
        <v>44532</v>
      </c>
      <c r="H3092" s="1">
        <v>44537</v>
      </c>
      <c r="I3092" t="s">
        <v>189</v>
      </c>
      <c r="J3092">
        <v>1</v>
      </c>
      <c r="K3092" t="s">
        <v>1929</v>
      </c>
      <c r="L3092" t="s">
        <v>83</v>
      </c>
    </row>
    <row r="3093" spans="1:40" x14ac:dyDescent="0.35">
      <c r="A3093">
        <v>6819941</v>
      </c>
      <c r="B3093" t="s">
        <v>8480</v>
      </c>
      <c r="C3093" t="str">
        <f>"9780472070343"</f>
        <v>9780472070343</v>
      </c>
      <c r="D3093" t="str">
        <f>"9780472900480"</f>
        <v>9780472900480</v>
      </c>
      <c r="E3093" t="s">
        <v>2090</v>
      </c>
      <c r="F3093" t="s">
        <v>2090</v>
      </c>
      <c r="G3093" s="1">
        <v>39517</v>
      </c>
      <c r="H3093" s="1">
        <v>44537</v>
      </c>
      <c r="I3093" t="s">
        <v>189</v>
      </c>
      <c r="L3093" t="s">
        <v>8481</v>
      </c>
    </row>
    <row r="3094" spans="1:40" x14ac:dyDescent="0.35">
      <c r="A3094">
        <v>6819943</v>
      </c>
      <c r="B3094" t="s">
        <v>8482</v>
      </c>
      <c r="C3094" t="str">
        <f>"9780472070435"</f>
        <v>9780472070435</v>
      </c>
      <c r="D3094" t="str">
        <f>"9780472900510"</f>
        <v>9780472900510</v>
      </c>
      <c r="E3094" t="s">
        <v>2090</v>
      </c>
      <c r="F3094" t="s">
        <v>2090</v>
      </c>
      <c r="G3094" s="1">
        <v>39591</v>
      </c>
      <c r="H3094" s="1">
        <v>44537</v>
      </c>
      <c r="I3094" t="s">
        <v>189</v>
      </c>
      <c r="K3094" t="s">
        <v>6121</v>
      </c>
      <c r="L3094" t="s">
        <v>8483</v>
      </c>
    </row>
    <row r="3095" spans="1:40" x14ac:dyDescent="0.35">
      <c r="A3095">
        <v>6819944</v>
      </c>
      <c r="B3095" t="s">
        <v>8484</v>
      </c>
      <c r="C3095" t="str">
        <f>"9780472071623"</f>
        <v>9780472071623</v>
      </c>
      <c r="D3095" t="str">
        <f>"9780472900336"</f>
        <v>9780472900336</v>
      </c>
      <c r="E3095" t="s">
        <v>2090</v>
      </c>
      <c r="F3095" t="s">
        <v>2090</v>
      </c>
      <c r="G3095" s="1">
        <v>40911</v>
      </c>
      <c r="H3095" s="1">
        <v>44537</v>
      </c>
      <c r="I3095" t="s">
        <v>189</v>
      </c>
      <c r="K3095" t="s">
        <v>6135</v>
      </c>
      <c r="L3095" t="s">
        <v>8485</v>
      </c>
      <c r="M3095" t="s">
        <v>207</v>
      </c>
    </row>
    <row r="3096" spans="1:40" x14ac:dyDescent="0.35">
      <c r="A3096">
        <v>6819945</v>
      </c>
      <c r="B3096" t="s">
        <v>8486</v>
      </c>
      <c r="C3096" t="str">
        <f>"9780472132126"</f>
        <v>9780472132126</v>
      </c>
      <c r="D3096" t="str">
        <f>"9780472902392"</f>
        <v>9780472902392</v>
      </c>
      <c r="E3096" t="s">
        <v>2090</v>
      </c>
      <c r="F3096" t="s">
        <v>2090</v>
      </c>
      <c r="G3096" s="1">
        <v>44165</v>
      </c>
      <c r="H3096" s="1">
        <v>44539</v>
      </c>
      <c r="I3096" t="s">
        <v>189</v>
      </c>
      <c r="L3096" t="s">
        <v>8487</v>
      </c>
      <c r="M3096" t="s">
        <v>282</v>
      </c>
    </row>
    <row r="3097" spans="1:40" x14ac:dyDescent="0.35">
      <c r="A3097">
        <v>6819947</v>
      </c>
      <c r="B3097" t="s">
        <v>8488</v>
      </c>
      <c r="C3097" t="str">
        <f>"9780472073146"</f>
        <v>9780472073146</v>
      </c>
      <c r="D3097" t="str">
        <f>"9780472900589"</f>
        <v>9780472900589</v>
      </c>
      <c r="E3097" t="s">
        <v>2090</v>
      </c>
      <c r="F3097" t="s">
        <v>2090</v>
      </c>
      <c r="G3097" s="1">
        <v>42534</v>
      </c>
      <c r="H3097" s="1">
        <v>44539</v>
      </c>
      <c r="I3097" t="s">
        <v>189</v>
      </c>
      <c r="K3097" t="s">
        <v>8489</v>
      </c>
      <c r="L3097" t="s">
        <v>8490</v>
      </c>
      <c r="M3097" t="s">
        <v>578</v>
      </c>
      <c r="N3097" t="s">
        <v>8491</v>
      </c>
      <c r="O3097" t="s">
        <v>8492</v>
      </c>
      <c r="Q3097" t="s">
        <v>260</v>
      </c>
      <c r="R3097" t="s">
        <v>261</v>
      </c>
      <c r="S3097" t="s">
        <v>261</v>
      </c>
      <c r="T3097" t="s">
        <v>261</v>
      </c>
      <c r="U3097" t="s">
        <v>261</v>
      </c>
      <c r="V3097" t="s">
        <v>262</v>
      </c>
      <c r="W3097" t="s">
        <v>261</v>
      </c>
      <c r="X3097" t="s">
        <v>261</v>
      </c>
      <c r="Y3097" t="s">
        <v>261</v>
      </c>
      <c r="AA3097" t="s">
        <v>409</v>
      </c>
      <c r="AB3097" t="s">
        <v>409</v>
      </c>
      <c r="AC3097" t="s">
        <v>409</v>
      </c>
      <c r="AD3097" t="s">
        <v>261</v>
      </c>
      <c r="AH3097" t="s">
        <v>262</v>
      </c>
      <c r="AI3097" t="s">
        <v>262</v>
      </c>
      <c r="AJ3097" t="s">
        <v>261</v>
      </c>
      <c r="AK3097" t="s">
        <v>261</v>
      </c>
      <c r="AM3097" t="s">
        <v>262</v>
      </c>
      <c r="AN3097" t="s">
        <v>8493</v>
      </c>
    </row>
    <row r="3098" spans="1:40" x14ac:dyDescent="0.35">
      <c r="A3098">
        <v>6819948</v>
      </c>
      <c r="B3098" t="s">
        <v>8494</v>
      </c>
      <c r="C3098" t="str">
        <f>"9780472070329"</f>
        <v>9780472070329</v>
      </c>
      <c r="D3098" t="str">
        <f>"9780472900497"</f>
        <v>9780472900497</v>
      </c>
      <c r="E3098" t="s">
        <v>2090</v>
      </c>
      <c r="F3098" t="s">
        <v>2090</v>
      </c>
      <c r="G3098" s="1">
        <v>39506</v>
      </c>
      <c r="H3098" s="1">
        <v>44537</v>
      </c>
      <c r="I3098" t="s">
        <v>189</v>
      </c>
      <c r="K3098" t="s">
        <v>6121</v>
      </c>
      <c r="L3098" t="s">
        <v>8495</v>
      </c>
    </row>
    <row r="3099" spans="1:40" x14ac:dyDescent="0.35">
      <c r="A3099">
        <v>6819949</v>
      </c>
      <c r="B3099" t="s">
        <v>8496</v>
      </c>
      <c r="C3099" t="str">
        <f>"9780472071494"</f>
        <v>9780472071494</v>
      </c>
      <c r="D3099" t="str">
        <f>"9780472900329"</f>
        <v>9780472900329</v>
      </c>
      <c r="E3099" t="s">
        <v>2090</v>
      </c>
      <c r="F3099" t="s">
        <v>2090</v>
      </c>
      <c r="G3099" s="1">
        <v>40689</v>
      </c>
      <c r="H3099" s="1">
        <v>44537</v>
      </c>
      <c r="I3099" t="s">
        <v>189</v>
      </c>
      <c r="K3099" t="s">
        <v>6135</v>
      </c>
      <c r="L3099" t="s">
        <v>8497</v>
      </c>
      <c r="M3099" t="s">
        <v>207</v>
      </c>
    </row>
    <row r="3100" spans="1:40" x14ac:dyDescent="0.35">
      <c r="A3100">
        <v>6819951</v>
      </c>
      <c r="B3100" t="s">
        <v>8498</v>
      </c>
      <c r="C3100" t="str">
        <f>"9780472071098"</f>
        <v>9780472071098</v>
      </c>
      <c r="D3100" t="str">
        <f>"9780472900374"</f>
        <v>9780472900374</v>
      </c>
      <c r="E3100" t="s">
        <v>2090</v>
      </c>
      <c r="F3100" t="s">
        <v>2090</v>
      </c>
      <c r="G3100" s="1">
        <v>40423</v>
      </c>
      <c r="H3100" s="1">
        <v>44537</v>
      </c>
      <c r="I3100" t="s">
        <v>189</v>
      </c>
      <c r="K3100" t="s">
        <v>8499</v>
      </c>
      <c r="L3100" t="s">
        <v>8500</v>
      </c>
      <c r="M3100" t="s">
        <v>329</v>
      </c>
      <c r="N3100" t="s">
        <v>8501</v>
      </c>
      <c r="O3100" t="s">
        <v>8502</v>
      </c>
      <c r="Q3100" t="s">
        <v>260</v>
      </c>
      <c r="R3100" t="s">
        <v>261</v>
      </c>
      <c r="S3100" t="s">
        <v>261</v>
      </c>
      <c r="T3100" t="s">
        <v>261</v>
      </c>
      <c r="U3100" t="s">
        <v>261</v>
      </c>
      <c r="V3100" t="s">
        <v>262</v>
      </c>
      <c r="W3100" t="s">
        <v>261</v>
      </c>
      <c r="X3100" t="s">
        <v>261</v>
      </c>
      <c r="Y3100" t="s">
        <v>261</v>
      </c>
      <c r="AA3100" t="s">
        <v>409</v>
      </c>
      <c r="AB3100" t="s">
        <v>409</v>
      </c>
      <c r="AC3100" t="s">
        <v>409</v>
      </c>
      <c r="AD3100" t="s">
        <v>261</v>
      </c>
      <c r="AH3100" t="s">
        <v>262</v>
      </c>
      <c r="AI3100" t="s">
        <v>262</v>
      </c>
      <c r="AJ3100" t="s">
        <v>261</v>
      </c>
      <c r="AK3100" t="s">
        <v>261</v>
      </c>
      <c r="AM3100" t="s">
        <v>262</v>
      </c>
      <c r="AN3100" t="s">
        <v>8503</v>
      </c>
    </row>
    <row r="3101" spans="1:40" x14ac:dyDescent="0.35">
      <c r="A3101">
        <v>6819993</v>
      </c>
      <c r="B3101" t="s">
        <v>8504</v>
      </c>
      <c r="C3101" t="str">
        <f>"9783658361402"</f>
        <v>9783658361402</v>
      </c>
      <c r="D3101" t="str">
        <f>"9783658361419"</f>
        <v>9783658361419</v>
      </c>
      <c r="E3101" t="s">
        <v>3972</v>
      </c>
      <c r="F3101" t="s">
        <v>3998</v>
      </c>
      <c r="G3101" s="1">
        <v>44532</v>
      </c>
      <c r="H3101" s="1">
        <v>44676</v>
      </c>
      <c r="I3101" t="s">
        <v>189</v>
      </c>
      <c r="K3101" t="s">
        <v>8505</v>
      </c>
      <c r="L3101" t="s">
        <v>8506</v>
      </c>
      <c r="M3101" t="s">
        <v>329</v>
      </c>
      <c r="N3101" t="s">
        <v>8507</v>
      </c>
      <c r="Q3101" t="s">
        <v>408</v>
      </c>
      <c r="R3101" t="s">
        <v>261</v>
      </c>
      <c r="S3101" t="s">
        <v>261</v>
      </c>
      <c r="T3101" t="s">
        <v>261</v>
      </c>
      <c r="U3101" t="s">
        <v>261</v>
      </c>
      <c r="V3101" t="s">
        <v>262</v>
      </c>
      <c r="W3101" t="s">
        <v>261</v>
      </c>
      <c r="X3101" t="s">
        <v>261</v>
      </c>
      <c r="Y3101" t="s">
        <v>261</v>
      </c>
      <c r="Z3101" t="s">
        <v>409</v>
      </c>
      <c r="AA3101" t="s">
        <v>409</v>
      </c>
      <c r="AB3101" t="s">
        <v>409</v>
      </c>
      <c r="AC3101" t="s">
        <v>409</v>
      </c>
      <c r="AD3101" t="s">
        <v>261</v>
      </c>
      <c r="AH3101" t="s">
        <v>262</v>
      </c>
      <c r="AI3101" t="s">
        <v>262</v>
      </c>
      <c r="AJ3101" t="s">
        <v>261</v>
      </c>
      <c r="AK3101" t="s">
        <v>261</v>
      </c>
      <c r="AM3101" t="s">
        <v>262</v>
      </c>
      <c r="AN3101" t="s">
        <v>8508</v>
      </c>
    </row>
    <row r="3102" spans="1:40" x14ac:dyDescent="0.35">
      <c r="A3102">
        <v>6819994</v>
      </c>
      <c r="B3102" t="s">
        <v>8509</v>
      </c>
      <c r="C3102" t="str">
        <f>"9789811657269"</f>
        <v>9789811657269</v>
      </c>
      <c r="D3102" t="str">
        <f>"9789811657276"</f>
        <v>9789811657276</v>
      </c>
      <c r="E3102" t="s">
        <v>3404</v>
      </c>
      <c r="F3102" t="s">
        <v>2290</v>
      </c>
      <c r="G3102" s="1">
        <v>44532</v>
      </c>
      <c r="H3102" s="1">
        <v>44676</v>
      </c>
      <c r="I3102" t="s">
        <v>189</v>
      </c>
      <c r="K3102" t="s">
        <v>4143</v>
      </c>
      <c r="L3102" t="s">
        <v>8510</v>
      </c>
    </row>
    <row r="3103" spans="1:40" x14ac:dyDescent="0.35">
      <c r="A3103">
        <v>6819995</v>
      </c>
      <c r="B3103" t="s">
        <v>8511</v>
      </c>
      <c r="C3103" t="str">
        <f>"9789811625237"</f>
        <v>9789811625237</v>
      </c>
      <c r="D3103" t="str">
        <f>"9789811625244"</f>
        <v>9789811625244</v>
      </c>
      <c r="E3103" t="s">
        <v>3404</v>
      </c>
      <c r="F3103" t="s">
        <v>2290</v>
      </c>
      <c r="G3103" s="1">
        <v>44532</v>
      </c>
      <c r="H3103" s="1">
        <v>44676</v>
      </c>
      <c r="I3103" t="s">
        <v>189</v>
      </c>
      <c r="L3103" t="s">
        <v>8512</v>
      </c>
      <c r="M3103" t="s">
        <v>964</v>
      </c>
      <c r="N3103" t="s">
        <v>5164</v>
      </c>
      <c r="Q3103" t="s">
        <v>260</v>
      </c>
      <c r="R3103" t="s">
        <v>261</v>
      </c>
      <c r="S3103" t="s">
        <v>261</v>
      </c>
      <c r="T3103" t="s">
        <v>261</v>
      </c>
      <c r="U3103" t="s">
        <v>261</v>
      </c>
      <c r="V3103" t="s">
        <v>262</v>
      </c>
      <c r="W3103" t="s">
        <v>261</v>
      </c>
      <c r="X3103" t="s">
        <v>261</v>
      </c>
      <c r="Y3103" t="s">
        <v>261</v>
      </c>
      <c r="Z3103" t="s">
        <v>409</v>
      </c>
      <c r="AA3103" t="s">
        <v>409</v>
      </c>
      <c r="AB3103" t="s">
        <v>409</v>
      </c>
      <c r="AC3103" t="s">
        <v>409</v>
      </c>
      <c r="AD3103" t="s">
        <v>261</v>
      </c>
      <c r="AH3103" t="s">
        <v>262</v>
      </c>
      <c r="AI3103" t="s">
        <v>262</v>
      </c>
      <c r="AJ3103" t="s">
        <v>261</v>
      </c>
      <c r="AK3103" t="s">
        <v>261</v>
      </c>
      <c r="AM3103" t="s">
        <v>262</v>
      </c>
      <c r="AN3103" t="s">
        <v>8513</v>
      </c>
    </row>
    <row r="3104" spans="1:40" x14ac:dyDescent="0.35">
      <c r="A3104">
        <v>6819996</v>
      </c>
      <c r="B3104" t="s">
        <v>8514</v>
      </c>
      <c r="C3104" t="str">
        <f>"9783030853112"</f>
        <v>9783030853112</v>
      </c>
      <c r="D3104" t="str">
        <f>"9783030853129"</f>
        <v>9783030853129</v>
      </c>
      <c r="E3104" t="s">
        <v>2289</v>
      </c>
      <c r="F3104" t="s">
        <v>4450</v>
      </c>
      <c r="G3104" s="1">
        <v>44531</v>
      </c>
      <c r="H3104" s="1">
        <v>44676</v>
      </c>
      <c r="I3104" t="s">
        <v>189</v>
      </c>
      <c r="L3104" t="s">
        <v>8515</v>
      </c>
      <c r="M3104" t="s">
        <v>329</v>
      </c>
      <c r="N3104" t="s">
        <v>8309</v>
      </c>
      <c r="O3104" s="2">
        <v>3054209439</v>
      </c>
      <c r="Q3104" t="s">
        <v>260</v>
      </c>
      <c r="R3104" t="s">
        <v>261</v>
      </c>
      <c r="S3104" t="s">
        <v>261</v>
      </c>
      <c r="T3104" t="s">
        <v>261</v>
      </c>
      <c r="U3104" t="s">
        <v>261</v>
      </c>
      <c r="V3104" t="s">
        <v>262</v>
      </c>
      <c r="W3104" t="s">
        <v>261</v>
      </c>
      <c r="X3104" t="s">
        <v>261</v>
      </c>
      <c r="Y3104" t="s">
        <v>261</v>
      </c>
      <c r="Z3104" t="s">
        <v>409</v>
      </c>
      <c r="AA3104" t="s">
        <v>409</v>
      </c>
      <c r="AB3104" t="s">
        <v>409</v>
      </c>
      <c r="AC3104" t="s">
        <v>409</v>
      </c>
      <c r="AD3104" t="s">
        <v>261</v>
      </c>
      <c r="AH3104" t="s">
        <v>262</v>
      </c>
      <c r="AI3104" t="s">
        <v>262</v>
      </c>
      <c r="AJ3104" t="s">
        <v>261</v>
      </c>
      <c r="AK3104" t="s">
        <v>261</v>
      </c>
      <c r="AM3104" t="s">
        <v>262</v>
      </c>
      <c r="AN3104" t="s">
        <v>8516</v>
      </c>
    </row>
    <row r="3105" spans="1:40" x14ac:dyDescent="0.35">
      <c r="A3105">
        <v>6821834</v>
      </c>
      <c r="B3105" t="s">
        <v>8517</v>
      </c>
      <c r="C3105" t="str">
        <f>""</f>
        <v/>
      </c>
      <c r="D3105" t="str">
        <f>"9789179291211"</f>
        <v>9789179291211</v>
      </c>
      <c r="E3105" t="s">
        <v>3642</v>
      </c>
      <c r="F3105" t="s">
        <v>3642</v>
      </c>
      <c r="G3105" s="1">
        <v>44526</v>
      </c>
      <c r="H3105" s="1">
        <v>44557</v>
      </c>
      <c r="I3105" t="s">
        <v>189</v>
      </c>
      <c r="J3105">
        <v>1</v>
      </c>
      <c r="L3105" t="s">
        <v>8518</v>
      </c>
      <c r="Q3105" t="s">
        <v>260</v>
      </c>
      <c r="R3105" t="s">
        <v>261</v>
      </c>
      <c r="S3105" t="s">
        <v>261</v>
      </c>
      <c r="T3105" t="s">
        <v>261</v>
      </c>
      <c r="U3105" t="s">
        <v>261</v>
      </c>
      <c r="V3105" t="s">
        <v>262</v>
      </c>
      <c r="W3105" t="s">
        <v>261</v>
      </c>
      <c r="X3105" t="s">
        <v>261</v>
      </c>
      <c r="Y3105" t="s">
        <v>261</v>
      </c>
      <c r="AD3105" t="s">
        <v>261</v>
      </c>
      <c r="AH3105" t="s">
        <v>262</v>
      </c>
      <c r="AI3105" t="s">
        <v>261</v>
      </c>
      <c r="AJ3105" t="s">
        <v>261</v>
      </c>
      <c r="AK3105" t="s">
        <v>261</v>
      </c>
      <c r="AM3105" t="s">
        <v>262</v>
      </c>
      <c r="AN3105" t="s">
        <v>8519</v>
      </c>
    </row>
    <row r="3106" spans="1:40" x14ac:dyDescent="0.35">
      <c r="A3106">
        <v>6821835</v>
      </c>
      <c r="B3106" t="s">
        <v>8520</v>
      </c>
      <c r="C3106" t="str">
        <f>""</f>
        <v/>
      </c>
      <c r="D3106" t="str">
        <f>"9789179291051"</f>
        <v>9789179291051</v>
      </c>
      <c r="E3106" t="s">
        <v>3642</v>
      </c>
      <c r="F3106" t="s">
        <v>3642</v>
      </c>
      <c r="G3106" s="1">
        <v>44533</v>
      </c>
      <c r="H3106" s="1">
        <v>44536</v>
      </c>
      <c r="I3106" t="s">
        <v>189</v>
      </c>
      <c r="J3106">
        <v>1</v>
      </c>
      <c r="L3106" t="s">
        <v>8521</v>
      </c>
      <c r="Q3106" t="s">
        <v>260</v>
      </c>
      <c r="R3106" t="s">
        <v>261</v>
      </c>
      <c r="S3106" t="s">
        <v>261</v>
      </c>
      <c r="T3106" t="s">
        <v>261</v>
      </c>
      <c r="U3106" t="s">
        <v>261</v>
      </c>
      <c r="V3106" t="s">
        <v>262</v>
      </c>
      <c r="W3106" t="s">
        <v>261</v>
      </c>
      <c r="X3106" t="s">
        <v>261</v>
      </c>
      <c r="Y3106" t="s">
        <v>261</v>
      </c>
      <c r="AD3106" t="s">
        <v>261</v>
      </c>
      <c r="AH3106" t="s">
        <v>262</v>
      </c>
      <c r="AI3106" t="s">
        <v>261</v>
      </c>
      <c r="AJ3106" t="s">
        <v>261</v>
      </c>
      <c r="AK3106" t="s">
        <v>261</v>
      </c>
      <c r="AM3106" t="s">
        <v>262</v>
      </c>
      <c r="AN3106" t="s">
        <v>8522</v>
      </c>
    </row>
    <row r="3107" spans="1:40" x14ac:dyDescent="0.35">
      <c r="A3107">
        <v>6823353</v>
      </c>
      <c r="B3107" t="s">
        <v>8523</v>
      </c>
      <c r="C3107" t="str">
        <f>"9789811250460"</f>
        <v>9789811250460</v>
      </c>
      <c r="D3107" t="str">
        <f>"9789811250477"</f>
        <v>9789811250477</v>
      </c>
      <c r="E3107" t="s">
        <v>3954</v>
      </c>
      <c r="F3107" t="s">
        <v>3955</v>
      </c>
      <c r="G3107" s="1">
        <v>44529</v>
      </c>
      <c r="H3107" s="1">
        <v>44707</v>
      </c>
      <c r="I3107" t="s">
        <v>189</v>
      </c>
      <c r="L3107" t="s">
        <v>4467</v>
      </c>
    </row>
    <row r="3108" spans="1:40" x14ac:dyDescent="0.35">
      <c r="A3108">
        <v>6823965</v>
      </c>
      <c r="B3108" t="s">
        <v>8524</v>
      </c>
      <c r="C3108" t="str">
        <f>""</f>
        <v/>
      </c>
      <c r="D3108" t="str">
        <f>"9782759233977"</f>
        <v>9782759233977</v>
      </c>
      <c r="E3108" t="s">
        <v>1928</v>
      </c>
      <c r="F3108" t="s">
        <v>1928</v>
      </c>
      <c r="G3108" s="1">
        <v>44532</v>
      </c>
      <c r="H3108" s="1">
        <v>44676</v>
      </c>
      <c r="I3108" t="s">
        <v>189</v>
      </c>
      <c r="K3108" t="s">
        <v>1948</v>
      </c>
      <c r="L3108" t="s">
        <v>8525</v>
      </c>
    </row>
    <row r="3109" spans="1:40" x14ac:dyDescent="0.35">
      <c r="A3109">
        <v>6824043</v>
      </c>
      <c r="B3109" t="s">
        <v>8526</v>
      </c>
      <c r="C3109" t="str">
        <f>""</f>
        <v/>
      </c>
      <c r="D3109" t="str">
        <f>"9782759232437"</f>
        <v>9782759232437</v>
      </c>
      <c r="E3109" t="s">
        <v>1928</v>
      </c>
      <c r="F3109" t="s">
        <v>1928</v>
      </c>
      <c r="G3109" s="1">
        <v>44245</v>
      </c>
      <c r="H3109" s="1">
        <v>44547</v>
      </c>
      <c r="I3109" t="s">
        <v>189</v>
      </c>
      <c r="K3109" t="s">
        <v>2062</v>
      </c>
      <c r="L3109" t="s">
        <v>38</v>
      </c>
    </row>
    <row r="3110" spans="1:40" x14ac:dyDescent="0.35">
      <c r="A3110">
        <v>6824245</v>
      </c>
      <c r="B3110" t="s">
        <v>8527</v>
      </c>
      <c r="C3110" t="str">
        <f>"9783030796211"</f>
        <v>9783030796211</v>
      </c>
      <c r="D3110" t="str">
        <f>"9783030796228"</f>
        <v>9783030796228</v>
      </c>
      <c r="E3110" t="s">
        <v>2289</v>
      </c>
      <c r="F3110" t="s">
        <v>2663</v>
      </c>
      <c r="G3110" s="1">
        <v>44538</v>
      </c>
      <c r="H3110" s="1">
        <v>44544</v>
      </c>
      <c r="I3110" t="s">
        <v>189</v>
      </c>
      <c r="K3110" t="s">
        <v>8528</v>
      </c>
      <c r="L3110" t="s">
        <v>8529</v>
      </c>
    </row>
    <row r="3111" spans="1:40" x14ac:dyDescent="0.35">
      <c r="A3111">
        <v>6824265</v>
      </c>
      <c r="B3111" t="s">
        <v>8530</v>
      </c>
      <c r="C3111" t="str">
        <f>"9783030894955"</f>
        <v>9783030894955</v>
      </c>
      <c r="D3111" t="str">
        <f>"9783030894962"</f>
        <v>9783030894962</v>
      </c>
      <c r="E3111" t="s">
        <v>2289</v>
      </c>
      <c r="F3111" t="s">
        <v>2290</v>
      </c>
      <c r="G3111" s="1">
        <v>44538</v>
      </c>
      <c r="H3111" s="1">
        <v>44544</v>
      </c>
      <c r="I3111" t="s">
        <v>189</v>
      </c>
      <c r="K3111" t="s">
        <v>5917</v>
      </c>
      <c r="L3111" t="s">
        <v>8531</v>
      </c>
      <c r="M3111" t="s">
        <v>316</v>
      </c>
      <c r="N3111" t="s">
        <v>5919</v>
      </c>
      <c r="Q3111" t="s">
        <v>260</v>
      </c>
      <c r="R3111" t="s">
        <v>261</v>
      </c>
      <c r="S3111" t="s">
        <v>261</v>
      </c>
      <c r="T3111" t="s">
        <v>261</v>
      </c>
      <c r="U3111" t="s">
        <v>261</v>
      </c>
      <c r="V3111" t="s">
        <v>262</v>
      </c>
      <c r="W3111" t="s">
        <v>261</v>
      </c>
      <c r="X3111" t="s">
        <v>261</v>
      </c>
      <c r="Y3111" t="s">
        <v>261</v>
      </c>
      <c r="Z3111" t="s">
        <v>409</v>
      </c>
      <c r="AA3111" t="s">
        <v>409</v>
      </c>
      <c r="AB3111" t="s">
        <v>409</v>
      </c>
      <c r="AC3111" t="s">
        <v>409</v>
      </c>
      <c r="AD3111" t="s">
        <v>261</v>
      </c>
      <c r="AH3111" t="s">
        <v>262</v>
      </c>
      <c r="AI3111" t="s">
        <v>262</v>
      </c>
      <c r="AJ3111" t="s">
        <v>261</v>
      </c>
      <c r="AK3111" t="s">
        <v>261</v>
      </c>
      <c r="AM3111" t="s">
        <v>262</v>
      </c>
      <c r="AN3111" t="s">
        <v>8532</v>
      </c>
    </row>
    <row r="3112" spans="1:40" x14ac:dyDescent="0.35">
      <c r="A3112">
        <v>6824273</v>
      </c>
      <c r="B3112" t="s">
        <v>8533</v>
      </c>
      <c r="C3112" t="str">
        <f>"9783030790349"</f>
        <v>9783030790349</v>
      </c>
      <c r="D3112" t="str">
        <f>"9783030790356"</f>
        <v>9783030790356</v>
      </c>
      <c r="E3112" t="s">
        <v>2289</v>
      </c>
      <c r="F3112" t="s">
        <v>2290</v>
      </c>
      <c r="G3112" s="1">
        <v>44540</v>
      </c>
      <c r="H3112" s="1">
        <v>44544</v>
      </c>
      <c r="I3112" t="s">
        <v>189</v>
      </c>
      <c r="L3112" t="s">
        <v>8534</v>
      </c>
    </row>
    <row r="3113" spans="1:40" x14ac:dyDescent="0.35">
      <c r="A3113">
        <v>6824280</v>
      </c>
      <c r="B3113" t="s">
        <v>8535</v>
      </c>
      <c r="C3113" t="str">
        <f>"9783030888664"</f>
        <v>9783030888664</v>
      </c>
      <c r="D3113" t="str">
        <f>"9783030888671"</f>
        <v>9783030888671</v>
      </c>
      <c r="E3113" t="s">
        <v>2289</v>
      </c>
      <c r="F3113" t="s">
        <v>2663</v>
      </c>
      <c r="G3113" s="1">
        <v>44538</v>
      </c>
      <c r="H3113" s="1">
        <v>44544</v>
      </c>
      <c r="I3113" t="s">
        <v>189</v>
      </c>
      <c r="L3113" t="s">
        <v>8536</v>
      </c>
      <c r="M3113" t="s">
        <v>239</v>
      </c>
    </row>
    <row r="3114" spans="1:40" x14ac:dyDescent="0.35">
      <c r="A3114">
        <v>6824282</v>
      </c>
      <c r="B3114" t="s">
        <v>8537</v>
      </c>
      <c r="C3114" t="str">
        <f>"9783030861773"</f>
        <v>9783030861773</v>
      </c>
      <c r="D3114" t="str">
        <f>"9783030861780"</f>
        <v>9783030861780</v>
      </c>
      <c r="E3114" t="s">
        <v>2289</v>
      </c>
      <c r="F3114" t="s">
        <v>2290</v>
      </c>
      <c r="G3114" s="1">
        <v>44539</v>
      </c>
      <c r="H3114" s="1">
        <v>44544</v>
      </c>
      <c r="I3114" t="s">
        <v>189</v>
      </c>
      <c r="L3114" t="s">
        <v>8538</v>
      </c>
    </row>
    <row r="3115" spans="1:40" x14ac:dyDescent="0.35">
      <c r="A3115">
        <v>6824289</v>
      </c>
      <c r="B3115" t="s">
        <v>8539</v>
      </c>
      <c r="C3115" t="str">
        <f>"9783030711467"</f>
        <v>9783030711467</v>
      </c>
      <c r="D3115" t="str">
        <f>"9783030711474"</f>
        <v>9783030711474</v>
      </c>
      <c r="E3115" t="s">
        <v>2289</v>
      </c>
      <c r="F3115" t="s">
        <v>2290</v>
      </c>
      <c r="G3115" s="1">
        <v>44539</v>
      </c>
      <c r="H3115" s="1">
        <v>44544</v>
      </c>
      <c r="I3115" t="s">
        <v>189</v>
      </c>
      <c r="K3115" t="s">
        <v>4864</v>
      </c>
      <c r="L3115" t="s">
        <v>5435</v>
      </c>
    </row>
    <row r="3116" spans="1:40" x14ac:dyDescent="0.35">
      <c r="A3116">
        <v>6824317</v>
      </c>
      <c r="B3116" t="s">
        <v>8540</v>
      </c>
      <c r="C3116" t="str">
        <f>"9781934831182"</f>
        <v>9781934831182</v>
      </c>
      <c r="D3116" t="str">
        <f>"9781934831182"</f>
        <v>9781934831182</v>
      </c>
      <c r="E3116" t="s">
        <v>8541</v>
      </c>
      <c r="F3116" t="s">
        <v>8541</v>
      </c>
      <c r="G3116" s="1">
        <v>42552</v>
      </c>
      <c r="H3116" s="1">
        <v>44546</v>
      </c>
      <c r="I3116" t="s">
        <v>189</v>
      </c>
      <c r="J3116">
        <v>1</v>
      </c>
      <c r="K3116" t="s">
        <v>8542</v>
      </c>
      <c r="L3116" t="s">
        <v>8543</v>
      </c>
    </row>
    <row r="3117" spans="1:40" x14ac:dyDescent="0.35">
      <c r="A3117">
        <v>6824318</v>
      </c>
      <c r="B3117" t="s">
        <v>8544</v>
      </c>
      <c r="C3117" t="str">
        <f>"9781934831175"</f>
        <v>9781934831175</v>
      </c>
      <c r="D3117" t="str">
        <f>"9781934831175"</f>
        <v>9781934831175</v>
      </c>
      <c r="E3117" t="s">
        <v>8541</v>
      </c>
      <c r="F3117" t="s">
        <v>8541</v>
      </c>
      <c r="G3117" s="1">
        <v>42552</v>
      </c>
      <c r="H3117" s="1">
        <v>44546</v>
      </c>
      <c r="I3117" t="s">
        <v>189</v>
      </c>
      <c r="J3117">
        <v>1</v>
      </c>
      <c r="K3117" t="s">
        <v>8542</v>
      </c>
      <c r="L3117" t="s">
        <v>8545</v>
      </c>
      <c r="M3117" t="s">
        <v>329</v>
      </c>
    </row>
    <row r="3118" spans="1:40" x14ac:dyDescent="0.35">
      <c r="A3118">
        <v>6824319</v>
      </c>
      <c r="B3118" t="s">
        <v>8546</v>
      </c>
      <c r="C3118" t="str">
        <f>"9781934831151"</f>
        <v>9781934831151</v>
      </c>
      <c r="D3118" t="str">
        <f>"9781934831151"</f>
        <v>9781934831151</v>
      </c>
      <c r="E3118" t="s">
        <v>8541</v>
      </c>
      <c r="F3118" t="s">
        <v>8541</v>
      </c>
      <c r="G3118" s="1">
        <v>42552</v>
      </c>
      <c r="H3118" s="1">
        <v>44546</v>
      </c>
      <c r="I3118" t="s">
        <v>189</v>
      </c>
      <c r="J3118">
        <v>1</v>
      </c>
      <c r="K3118" t="s">
        <v>8542</v>
      </c>
      <c r="L3118" t="s">
        <v>8547</v>
      </c>
    </row>
    <row r="3119" spans="1:40" x14ac:dyDescent="0.35">
      <c r="A3119">
        <v>6824320</v>
      </c>
      <c r="B3119" t="s">
        <v>8548</v>
      </c>
      <c r="C3119" t="str">
        <f>"9781934831236"</f>
        <v>9781934831236</v>
      </c>
      <c r="D3119" t="str">
        <f>"9781934831243"</f>
        <v>9781934831243</v>
      </c>
      <c r="E3119" t="s">
        <v>8541</v>
      </c>
      <c r="F3119" t="s">
        <v>8541</v>
      </c>
      <c r="G3119" s="1">
        <v>43951</v>
      </c>
      <c r="H3119" s="1">
        <v>44546</v>
      </c>
      <c r="I3119" t="s">
        <v>189</v>
      </c>
      <c r="J3119">
        <v>1</v>
      </c>
      <c r="K3119" t="s">
        <v>8542</v>
      </c>
      <c r="L3119" t="s">
        <v>8549</v>
      </c>
    </row>
    <row r="3120" spans="1:40" x14ac:dyDescent="0.35">
      <c r="A3120">
        <v>6824321</v>
      </c>
      <c r="B3120" t="s">
        <v>8550</v>
      </c>
      <c r="C3120" t="str">
        <f>"9781934831144"</f>
        <v>9781934831144</v>
      </c>
      <c r="D3120" t="str">
        <f>"9781934831144"</f>
        <v>9781934831144</v>
      </c>
      <c r="E3120" t="s">
        <v>8541</v>
      </c>
      <c r="F3120" t="s">
        <v>8541</v>
      </c>
      <c r="G3120" s="1">
        <v>42186</v>
      </c>
      <c r="H3120" s="1">
        <v>44546</v>
      </c>
      <c r="I3120" t="s">
        <v>189</v>
      </c>
      <c r="J3120">
        <v>1</v>
      </c>
      <c r="K3120" t="s">
        <v>8542</v>
      </c>
      <c r="L3120" t="s">
        <v>8551</v>
      </c>
    </row>
    <row r="3121" spans="1:40" x14ac:dyDescent="0.35">
      <c r="A3121">
        <v>6824322</v>
      </c>
      <c r="B3121" t="s">
        <v>8552</v>
      </c>
      <c r="C3121" t="str">
        <f>"9781934831076"</f>
        <v>9781934831076</v>
      </c>
      <c r="D3121" t="str">
        <f>"9781934831076"</f>
        <v>9781934831076</v>
      </c>
      <c r="E3121" t="s">
        <v>8541</v>
      </c>
      <c r="F3121" t="s">
        <v>8541</v>
      </c>
      <c r="G3121" s="1">
        <v>42224</v>
      </c>
      <c r="H3121" s="1">
        <v>44546</v>
      </c>
      <c r="I3121" t="s">
        <v>189</v>
      </c>
      <c r="J3121">
        <v>2</v>
      </c>
      <c r="K3121" t="s">
        <v>8542</v>
      </c>
      <c r="L3121" t="s">
        <v>8553</v>
      </c>
      <c r="M3121" t="s">
        <v>847</v>
      </c>
    </row>
    <row r="3122" spans="1:40" x14ac:dyDescent="0.35">
      <c r="A3122">
        <v>6824323</v>
      </c>
      <c r="B3122" t="s">
        <v>8554</v>
      </c>
      <c r="C3122" t="str">
        <f>"9781934831212"</f>
        <v>9781934831212</v>
      </c>
      <c r="D3122" t="str">
        <f>"9781934831212"</f>
        <v>9781934831212</v>
      </c>
      <c r="E3122" t="s">
        <v>8541</v>
      </c>
      <c r="F3122" t="s">
        <v>8541</v>
      </c>
      <c r="G3122" s="1">
        <v>42917</v>
      </c>
      <c r="H3122" s="1">
        <v>44546</v>
      </c>
      <c r="I3122" t="s">
        <v>189</v>
      </c>
      <c r="J3122">
        <v>1</v>
      </c>
      <c r="K3122" t="s">
        <v>8542</v>
      </c>
      <c r="L3122" t="s">
        <v>8555</v>
      </c>
    </row>
    <row r="3123" spans="1:40" x14ac:dyDescent="0.35">
      <c r="A3123">
        <v>6824324</v>
      </c>
      <c r="B3123" t="s">
        <v>8556</v>
      </c>
      <c r="C3123" t="str">
        <f>""</f>
        <v/>
      </c>
      <c r="D3123" t="str">
        <f>"9781934831038"</f>
        <v>9781934831038</v>
      </c>
      <c r="E3123" t="s">
        <v>8541</v>
      </c>
      <c r="F3123" t="s">
        <v>8541</v>
      </c>
      <c r="G3123" s="1">
        <v>40613</v>
      </c>
      <c r="H3123" s="1">
        <v>44546</v>
      </c>
      <c r="I3123" t="s">
        <v>189</v>
      </c>
      <c r="J3123">
        <v>1</v>
      </c>
      <c r="K3123" t="s">
        <v>8542</v>
      </c>
      <c r="L3123" t="s">
        <v>8557</v>
      </c>
    </row>
    <row r="3124" spans="1:40" x14ac:dyDescent="0.35">
      <c r="A3124">
        <v>6824325</v>
      </c>
      <c r="B3124" t="s">
        <v>8558</v>
      </c>
      <c r="C3124" t="str">
        <f>""</f>
        <v/>
      </c>
      <c r="D3124" t="str">
        <f>"9781934831229"</f>
        <v>9781934831229</v>
      </c>
      <c r="E3124" t="s">
        <v>8541</v>
      </c>
      <c r="F3124" t="s">
        <v>8541</v>
      </c>
      <c r="G3124" s="1">
        <v>43282</v>
      </c>
      <c r="H3124" s="1">
        <v>44546</v>
      </c>
      <c r="I3124" t="s">
        <v>189</v>
      </c>
      <c r="J3124">
        <v>1</v>
      </c>
      <c r="K3124" t="s">
        <v>8542</v>
      </c>
      <c r="L3124" t="s">
        <v>8559</v>
      </c>
      <c r="M3124" t="s">
        <v>323</v>
      </c>
      <c r="N3124" t="s">
        <v>8560</v>
      </c>
      <c r="Q3124" t="s">
        <v>260</v>
      </c>
      <c r="R3124" t="s">
        <v>261</v>
      </c>
      <c r="S3124" t="s">
        <v>261</v>
      </c>
      <c r="T3124" t="s">
        <v>261</v>
      </c>
      <c r="U3124" t="s">
        <v>261</v>
      </c>
      <c r="V3124" t="s">
        <v>262</v>
      </c>
      <c r="W3124" t="s">
        <v>261</v>
      </c>
      <c r="X3124" t="s">
        <v>261</v>
      </c>
      <c r="Y3124" t="s">
        <v>261</v>
      </c>
      <c r="AC3124" t="s">
        <v>409</v>
      </c>
      <c r="AD3124" t="s">
        <v>261</v>
      </c>
      <c r="AH3124" t="s">
        <v>262</v>
      </c>
      <c r="AI3124" t="s">
        <v>262</v>
      </c>
      <c r="AJ3124" t="s">
        <v>261</v>
      </c>
      <c r="AK3124" t="s">
        <v>261</v>
      </c>
      <c r="AM3124" t="s">
        <v>262</v>
      </c>
      <c r="AN3124" t="s">
        <v>8561</v>
      </c>
    </row>
    <row r="3125" spans="1:40" x14ac:dyDescent="0.35">
      <c r="A3125">
        <v>6824326</v>
      </c>
      <c r="B3125" t="s">
        <v>8562</v>
      </c>
      <c r="C3125" t="str">
        <f>""</f>
        <v/>
      </c>
      <c r="D3125" t="str">
        <f>"9781934831106"</f>
        <v>9781934831106</v>
      </c>
      <c r="E3125" t="s">
        <v>8541</v>
      </c>
      <c r="F3125" t="s">
        <v>8541</v>
      </c>
      <c r="G3125" s="1">
        <v>41091</v>
      </c>
      <c r="H3125" s="1">
        <v>44546</v>
      </c>
      <c r="I3125" t="s">
        <v>189</v>
      </c>
      <c r="J3125">
        <v>1</v>
      </c>
      <c r="K3125" t="s">
        <v>8542</v>
      </c>
      <c r="L3125" t="s">
        <v>8553</v>
      </c>
      <c r="M3125" t="s">
        <v>249</v>
      </c>
    </row>
    <row r="3126" spans="1:40" x14ac:dyDescent="0.35">
      <c r="A3126">
        <v>6824327</v>
      </c>
      <c r="B3126" t="s">
        <v>8563</v>
      </c>
      <c r="C3126" t="str">
        <f>""</f>
        <v/>
      </c>
      <c r="D3126" t="str">
        <f>"9781934831120"</f>
        <v>9781934831120</v>
      </c>
      <c r="E3126" t="s">
        <v>8541</v>
      </c>
      <c r="F3126" t="s">
        <v>8541</v>
      </c>
      <c r="G3126" s="1">
        <v>41456</v>
      </c>
      <c r="H3126" s="1">
        <v>44546</v>
      </c>
      <c r="I3126" t="s">
        <v>189</v>
      </c>
      <c r="J3126">
        <v>1</v>
      </c>
      <c r="K3126" t="s">
        <v>8542</v>
      </c>
      <c r="L3126" t="s">
        <v>8564</v>
      </c>
    </row>
    <row r="3127" spans="1:40" x14ac:dyDescent="0.35">
      <c r="A3127">
        <v>6824328</v>
      </c>
      <c r="B3127" t="s">
        <v>8565</v>
      </c>
      <c r="C3127" t="str">
        <f>""</f>
        <v/>
      </c>
      <c r="D3127" t="str">
        <f>"9781934831007"</f>
        <v>9781934831007</v>
      </c>
      <c r="E3127" t="s">
        <v>8541</v>
      </c>
      <c r="F3127" t="s">
        <v>8541</v>
      </c>
      <c r="G3127" s="1">
        <v>40438</v>
      </c>
      <c r="H3127" s="1">
        <v>44546</v>
      </c>
      <c r="I3127" t="s">
        <v>189</v>
      </c>
      <c r="J3127">
        <v>2</v>
      </c>
      <c r="K3127" t="s">
        <v>8542</v>
      </c>
      <c r="L3127" t="s">
        <v>8566</v>
      </c>
    </row>
    <row r="3128" spans="1:40" x14ac:dyDescent="0.35">
      <c r="A3128">
        <v>6824329</v>
      </c>
      <c r="B3128" t="s">
        <v>8567</v>
      </c>
      <c r="C3128" t="str">
        <f>""</f>
        <v/>
      </c>
      <c r="D3128" t="str">
        <f>"9781934831083"</f>
        <v>9781934831083</v>
      </c>
      <c r="E3128" t="s">
        <v>8541</v>
      </c>
      <c r="F3128" t="s">
        <v>8541</v>
      </c>
      <c r="G3128" s="1">
        <v>40725</v>
      </c>
      <c r="H3128" s="1">
        <v>44546</v>
      </c>
      <c r="I3128" t="s">
        <v>189</v>
      </c>
      <c r="J3128">
        <v>1</v>
      </c>
      <c r="K3128" t="s">
        <v>8542</v>
      </c>
      <c r="L3128" t="s">
        <v>8568</v>
      </c>
    </row>
    <row r="3129" spans="1:40" x14ac:dyDescent="0.35">
      <c r="A3129">
        <v>6824330</v>
      </c>
      <c r="B3129" t="s">
        <v>8569</v>
      </c>
      <c r="C3129" t="str">
        <f>"9781934831045"</f>
        <v>9781934831045</v>
      </c>
      <c r="D3129" t="str">
        <f>"9781934831045"</f>
        <v>9781934831045</v>
      </c>
      <c r="E3129" t="s">
        <v>8541</v>
      </c>
      <c r="F3129" t="s">
        <v>8541</v>
      </c>
      <c r="G3129" s="1">
        <v>40544</v>
      </c>
      <c r="H3129" s="1">
        <v>44546</v>
      </c>
      <c r="I3129" t="s">
        <v>189</v>
      </c>
      <c r="J3129">
        <v>1</v>
      </c>
      <c r="K3129" t="s">
        <v>8542</v>
      </c>
      <c r="L3129" t="s">
        <v>8564</v>
      </c>
    </row>
    <row r="3130" spans="1:40" x14ac:dyDescent="0.35">
      <c r="A3130">
        <v>6824332</v>
      </c>
      <c r="B3130" t="s">
        <v>8570</v>
      </c>
      <c r="C3130" t="str">
        <f>"9781934831069"</f>
        <v>9781934831069</v>
      </c>
      <c r="D3130" t="str">
        <f>"9781934831069"</f>
        <v>9781934831069</v>
      </c>
      <c r="E3130" t="s">
        <v>8541</v>
      </c>
      <c r="F3130" t="s">
        <v>8541</v>
      </c>
      <c r="G3130" s="1">
        <v>40817</v>
      </c>
      <c r="H3130" s="1">
        <v>44546</v>
      </c>
      <c r="I3130" t="s">
        <v>189</v>
      </c>
      <c r="J3130">
        <v>1</v>
      </c>
      <c r="K3130" t="s">
        <v>8542</v>
      </c>
      <c r="L3130" t="s">
        <v>8571</v>
      </c>
      <c r="M3130" t="s">
        <v>329</v>
      </c>
    </row>
    <row r="3131" spans="1:40" x14ac:dyDescent="0.35">
      <c r="A3131">
        <v>6824333</v>
      </c>
      <c r="B3131" t="s">
        <v>8572</v>
      </c>
      <c r="C3131" t="str">
        <f>""</f>
        <v/>
      </c>
      <c r="D3131" t="str">
        <f>"9781934831014"</f>
        <v>9781934831014</v>
      </c>
      <c r="E3131" t="s">
        <v>8541</v>
      </c>
      <c r="F3131" t="s">
        <v>8541</v>
      </c>
      <c r="G3131" s="1">
        <v>40829</v>
      </c>
      <c r="H3131" s="1">
        <v>44546</v>
      </c>
      <c r="I3131" t="s">
        <v>189</v>
      </c>
      <c r="J3131">
        <v>1</v>
      </c>
      <c r="K3131" t="s">
        <v>8542</v>
      </c>
      <c r="L3131" t="s">
        <v>8573</v>
      </c>
      <c r="M3131" t="s">
        <v>1248</v>
      </c>
      <c r="Q3131" t="s">
        <v>260</v>
      </c>
      <c r="R3131" t="s">
        <v>261</v>
      </c>
      <c r="S3131" t="s">
        <v>261</v>
      </c>
      <c r="T3131" t="s">
        <v>261</v>
      </c>
      <c r="U3131" t="s">
        <v>261</v>
      </c>
      <c r="V3131" t="s">
        <v>262</v>
      </c>
      <c r="W3131" t="s">
        <v>261</v>
      </c>
      <c r="X3131" t="s">
        <v>261</v>
      </c>
      <c r="Y3131" t="s">
        <v>261</v>
      </c>
      <c r="AC3131" t="s">
        <v>409</v>
      </c>
      <c r="AD3131" t="s">
        <v>261</v>
      </c>
      <c r="AH3131" t="s">
        <v>262</v>
      </c>
      <c r="AI3131" t="s">
        <v>262</v>
      </c>
      <c r="AJ3131" t="s">
        <v>261</v>
      </c>
      <c r="AK3131" t="s">
        <v>261</v>
      </c>
      <c r="AM3131" t="s">
        <v>262</v>
      </c>
      <c r="AN3131" t="s">
        <v>8574</v>
      </c>
    </row>
    <row r="3132" spans="1:40" x14ac:dyDescent="0.35">
      <c r="A3132">
        <v>6824334</v>
      </c>
      <c r="B3132" t="s">
        <v>8575</v>
      </c>
      <c r="C3132" t="str">
        <f>""</f>
        <v/>
      </c>
      <c r="D3132" t="str">
        <f>"9781934831137"</f>
        <v>9781934831137</v>
      </c>
      <c r="E3132" t="s">
        <v>8541</v>
      </c>
      <c r="F3132" t="s">
        <v>8541</v>
      </c>
      <c r="G3132" s="1">
        <v>41821</v>
      </c>
      <c r="H3132" s="1">
        <v>44546</v>
      </c>
      <c r="I3132" t="s">
        <v>189</v>
      </c>
      <c r="J3132">
        <v>1</v>
      </c>
      <c r="K3132" t="s">
        <v>8542</v>
      </c>
      <c r="L3132" t="s">
        <v>8576</v>
      </c>
      <c r="M3132" t="s">
        <v>329</v>
      </c>
      <c r="N3132" t="s">
        <v>8577</v>
      </c>
      <c r="Q3132" t="s">
        <v>260</v>
      </c>
      <c r="R3132" t="s">
        <v>261</v>
      </c>
      <c r="S3132" t="s">
        <v>261</v>
      </c>
      <c r="T3132" t="s">
        <v>261</v>
      </c>
      <c r="U3132" t="s">
        <v>261</v>
      </c>
      <c r="V3132" t="s">
        <v>262</v>
      </c>
      <c r="W3132" t="s">
        <v>261</v>
      </c>
      <c r="X3132" t="s">
        <v>261</v>
      </c>
      <c r="Y3132" t="s">
        <v>261</v>
      </c>
      <c r="AC3132" t="s">
        <v>409</v>
      </c>
      <c r="AD3132" t="s">
        <v>261</v>
      </c>
      <c r="AH3132" t="s">
        <v>262</v>
      </c>
      <c r="AI3132" t="s">
        <v>262</v>
      </c>
      <c r="AJ3132" t="s">
        <v>261</v>
      </c>
      <c r="AK3132" t="s">
        <v>261</v>
      </c>
      <c r="AM3132" t="s">
        <v>262</v>
      </c>
      <c r="AN3132" t="s">
        <v>8578</v>
      </c>
    </row>
    <row r="3133" spans="1:40" x14ac:dyDescent="0.35">
      <c r="A3133">
        <v>6824335</v>
      </c>
      <c r="B3133" t="s">
        <v>8579</v>
      </c>
      <c r="C3133" t="str">
        <f>"9781934831168"</f>
        <v>9781934831168</v>
      </c>
      <c r="D3133" t="str">
        <f>"9781934831168"</f>
        <v>9781934831168</v>
      </c>
      <c r="E3133" t="s">
        <v>8541</v>
      </c>
      <c r="F3133" t="s">
        <v>8541</v>
      </c>
      <c r="G3133" s="1">
        <v>42552</v>
      </c>
      <c r="H3133" s="1">
        <v>44546</v>
      </c>
      <c r="I3133" t="s">
        <v>189</v>
      </c>
      <c r="J3133">
        <v>1</v>
      </c>
      <c r="K3133" t="s">
        <v>8542</v>
      </c>
      <c r="L3133" t="s">
        <v>8580</v>
      </c>
      <c r="M3133" t="s">
        <v>535</v>
      </c>
    </row>
    <row r="3134" spans="1:40" x14ac:dyDescent="0.35">
      <c r="A3134">
        <v>6824336</v>
      </c>
      <c r="B3134" t="s">
        <v>8581</v>
      </c>
      <c r="C3134" t="str">
        <f>"9781934831021"</f>
        <v>9781934831021</v>
      </c>
      <c r="D3134" t="str">
        <f>"9781934831021"</f>
        <v>9781934831021</v>
      </c>
      <c r="E3134" t="s">
        <v>8541</v>
      </c>
      <c r="F3134" t="s">
        <v>8541</v>
      </c>
      <c r="G3134" s="1">
        <v>40360</v>
      </c>
      <c r="H3134" s="1">
        <v>44546</v>
      </c>
      <c r="I3134" t="s">
        <v>189</v>
      </c>
      <c r="J3134">
        <v>1</v>
      </c>
      <c r="K3134" t="s">
        <v>8542</v>
      </c>
      <c r="L3134" t="s">
        <v>8582</v>
      </c>
    </row>
    <row r="3135" spans="1:40" x14ac:dyDescent="0.35">
      <c r="A3135">
        <v>6824337</v>
      </c>
      <c r="B3135" t="s">
        <v>8583</v>
      </c>
      <c r="C3135" t="str">
        <f>""</f>
        <v/>
      </c>
      <c r="D3135" t="str">
        <f>"9781934831205"</f>
        <v>9781934831205</v>
      </c>
      <c r="E3135" t="s">
        <v>8541</v>
      </c>
      <c r="F3135" t="s">
        <v>8541</v>
      </c>
      <c r="G3135" s="1">
        <v>42552</v>
      </c>
      <c r="H3135" s="1">
        <v>44546</v>
      </c>
      <c r="I3135" t="s">
        <v>189</v>
      </c>
      <c r="J3135">
        <v>1</v>
      </c>
      <c r="K3135" t="s">
        <v>8542</v>
      </c>
      <c r="L3135" t="s">
        <v>8584</v>
      </c>
    </row>
    <row r="3136" spans="1:40" x14ac:dyDescent="0.35">
      <c r="A3136">
        <v>6824949</v>
      </c>
      <c r="B3136" t="s">
        <v>8585</v>
      </c>
      <c r="C3136" t="str">
        <f>"9783030836399"</f>
        <v>9783030836399</v>
      </c>
      <c r="D3136" t="str">
        <f>"9783030836405"</f>
        <v>9783030836405</v>
      </c>
      <c r="E3136" t="s">
        <v>2289</v>
      </c>
      <c r="F3136" t="s">
        <v>2290</v>
      </c>
      <c r="G3136" s="1">
        <v>44540</v>
      </c>
      <c r="H3136" s="1">
        <v>44544</v>
      </c>
      <c r="I3136" t="s">
        <v>189</v>
      </c>
      <c r="K3136" t="s">
        <v>5944</v>
      </c>
      <c r="L3136" t="s">
        <v>8586</v>
      </c>
    </row>
    <row r="3137" spans="1:40" x14ac:dyDescent="0.35">
      <c r="A3137">
        <v>6824950</v>
      </c>
      <c r="B3137" t="s">
        <v>8587</v>
      </c>
      <c r="C3137" t="str">
        <f>"9783662637920"</f>
        <v>9783662637920</v>
      </c>
      <c r="D3137" t="str">
        <f>"9783662637937"</f>
        <v>9783662637937</v>
      </c>
      <c r="E3137" t="s">
        <v>4047</v>
      </c>
      <c r="F3137" t="s">
        <v>4048</v>
      </c>
      <c r="G3137" s="1">
        <v>44540</v>
      </c>
      <c r="H3137" s="1">
        <v>44544</v>
      </c>
      <c r="I3137" t="s">
        <v>189</v>
      </c>
      <c r="L3137" t="s">
        <v>8588</v>
      </c>
    </row>
    <row r="3138" spans="1:40" x14ac:dyDescent="0.35">
      <c r="A3138">
        <v>6825110</v>
      </c>
      <c r="B3138" t="s">
        <v>8589</v>
      </c>
      <c r="C3138" t="str">
        <f>"9783030770396"</f>
        <v>9783030770396</v>
      </c>
      <c r="D3138" t="str">
        <f>"9783030770402"</f>
        <v>9783030770402</v>
      </c>
      <c r="E3138" t="s">
        <v>2289</v>
      </c>
      <c r="F3138" t="s">
        <v>2290</v>
      </c>
      <c r="G3138" s="1">
        <v>44541</v>
      </c>
      <c r="H3138" s="1">
        <v>44544</v>
      </c>
      <c r="I3138" t="s">
        <v>189</v>
      </c>
      <c r="K3138" t="s">
        <v>8590</v>
      </c>
      <c r="L3138" t="s">
        <v>8591</v>
      </c>
    </row>
    <row r="3139" spans="1:40" x14ac:dyDescent="0.35">
      <c r="A3139">
        <v>6825144</v>
      </c>
      <c r="B3139" t="s">
        <v>8592</v>
      </c>
      <c r="C3139" t="str">
        <f>"9789811678486"</f>
        <v>9789811678486</v>
      </c>
      <c r="D3139" t="str">
        <f>"9789811678493"</f>
        <v>9789811678493</v>
      </c>
      <c r="E3139" t="s">
        <v>3404</v>
      </c>
      <c r="F3139" t="s">
        <v>2663</v>
      </c>
      <c r="G3139" s="1">
        <v>44541</v>
      </c>
      <c r="H3139" s="1">
        <v>44544</v>
      </c>
      <c r="I3139" t="s">
        <v>189</v>
      </c>
      <c r="L3139" t="s">
        <v>8593</v>
      </c>
      <c r="M3139" t="s">
        <v>249</v>
      </c>
      <c r="N3139" t="s">
        <v>3975</v>
      </c>
      <c r="O3139" s="2">
        <v>658001</v>
      </c>
      <c r="Q3139" t="s">
        <v>260</v>
      </c>
      <c r="R3139" t="s">
        <v>261</v>
      </c>
      <c r="S3139" t="s">
        <v>261</v>
      </c>
      <c r="T3139" t="s">
        <v>261</v>
      </c>
      <c r="U3139" t="s">
        <v>261</v>
      </c>
      <c r="V3139" t="s">
        <v>262</v>
      </c>
      <c r="W3139" t="s">
        <v>261</v>
      </c>
      <c r="X3139" t="s">
        <v>261</v>
      </c>
      <c r="Y3139" t="s">
        <v>261</v>
      </c>
      <c r="Z3139" t="s">
        <v>409</v>
      </c>
      <c r="AA3139" t="s">
        <v>409</v>
      </c>
      <c r="AB3139" t="s">
        <v>409</v>
      </c>
      <c r="AC3139" t="s">
        <v>409</v>
      </c>
      <c r="AD3139" t="s">
        <v>261</v>
      </c>
      <c r="AH3139" t="s">
        <v>262</v>
      </c>
      <c r="AI3139" t="s">
        <v>262</v>
      </c>
      <c r="AJ3139" t="s">
        <v>261</v>
      </c>
      <c r="AK3139" t="s">
        <v>261</v>
      </c>
      <c r="AM3139" t="s">
        <v>262</v>
      </c>
      <c r="AN3139" t="s">
        <v>8594</v>
      </c>
    </row>
    <row r="3140" spans="1:40" x14ac:dyDescent="0.35">
      <c r="A3140">
        <v>6825145</v>
      </c>
      <c r="B3140" t="s">
        <v>8595</v>
      </c>
      <c r="C3140" t="str">
        <f>"9783030902551"</f>
        <v>9783030902551</v>
      </c>
      <c r="D3140" t="str">
        <f>"9783030902568"</f>
        <v>9783030902568</v>
      </c>
      <c r="E3140" t="s">
        <v>2289</v>
      </c>
      <c r="F3140" t="s">
        <v>2290</v>
      </c>
      <c r="G3140" s="1">
        <v>44541</v>
      </c>
      <c r="H3140" s="1">
        <v>44544</v>
      </c>
      <c r="I3140" t="s">
        <v>189</v>
      </c>
      <c r="K3140" t="s">
        <v>3980</v>
      </c>
      <c r="L3140" t="s">
        <v>8596</v>
      </c>
    </row>
    <row r="3141" spans="1:40" x14ac:dyDescent="0.35">
      <c r="A3141">
        <v>6825292</v>
      </c>
      <c r="B3141" t="s">
        <v>8597</v>
      </c>
      <c r="C3141" t="str">
        <f>""</f>
        <v/>
      </c>
      <c r="D3141" t="str">
        <f>"9789179291273"</f>
        <v>9789179291273</v>
      </c>
      <c r="E3141" t="s">
        <v>3642</v>
      </c>
      <c r="F3141" t="s">
        <v>3642</v>
      </c>
      <c r="G3141" s="1">
        <v>44540</v>
      </c>
      <c r="H3141" s="1">
        <v>44557</v>
      </c>
      <c r="I3141" t="s">
        <v>189</v>
      </c>
      <c r="J3141">
        <v>1</v>
      </c>
      <c r="L3141" t="s">
        <v>8598</v>
      </c>
      <c r="Q3141" t="s">
        <v>260</v>
      </c>
      <c r="R3141" t="s">
        <v>261</v>
      </c>
      <c r="S3141" t="s">
        <v>261</v>
      </c>
      <c r="T3141" t="s">
        <v>261</v>
      </c>
      <c r="U3141" t="s">
        <v>261</v>
      </c>
      <c r="V3141" t="s">
        <v>262</v>
      </c>
      <c r="W3141" t="s">
        <v>261</v>
      </c>
      <c r="X3141" t="s">
        <v>261</v>
      </c>
      <c r="Y3141" t="s">
        <v>261</v>
      </c>
      <c r="AD3141" t="s">
        <v>261</v>
      </c>
      <c r="AH3141" t="s">
        <v>262</v>
      </c>
      <c r="AI3141" t="s">
        <v>261</v>
      </c>
      <c r="AJ3141" t="s">
        <v>261</v>
      </c>
      <c r="AK3141" t="s">
        <v>261</v>
      </c>
      <c r="AM3141" t="s">
        <v>262</v>
      </c>
      <c r="AN3141" t="s">
        <v>8599</v>
      </c>
    </row>
    <row r="3142" spans="1:40" x14ac:dyDescent="0.35">
      <c r="A3142">
        <v>6825293</v>
      </c>
      <c r="B3142" t="s">
        <v>8600</v>
      </c>
      <c r="C3142" t="str">
        <f>""</f>
        <v/>
      </c>
      <c r="D3142" t="str">
        <f>"9789179291174"</f>
        <v>9789179291174</v>
      </c>
      <c r="E3142" t="s">
        <v>3642</v>
      </c>
      <c r="F3142" t="s">
        <v>3642</v>
      </c>
      <c r="G3142" s="1">
        <v>44538</v>
      </c>
      <c r="H3142" s="1">
        <v>44543</v>
      </c>
      <c r="I3142" t="s">
        <v>189</v>
      </c>
      <c r="J3142">
        <v>1</v>
      </c>
      <c r="L3142" t="s">
        <v>8601</v>
      </c>
      <c r="Q3142" t="s">
        <v>260</v>
      </c>
      <c r="R3142" t="s">
        <v>261</v>
      </c>
      <c r="S3142" t="s">
        <v>261</v>
      </c>
      <c r="T3142" t="s">
        <v>261</v>
      </c>
      <c r="U3142" t="s">
        <v>261</v>
      </c>
      <c r="V3142" t="s">
        <v>262</v>
      </c>
      <c r="W3142" t="s">
        <v>261</v>
      </c>
      <c r="X3142" t="s">
        <v>261</v>
      </c>
      <c r="Y3142" t="s">
        <v>261</v>
      </c>
      <c r="AD3142" t="s">
        <v>261</v>
      </c>
      <c r="AH3142" t="s">
        <v>262</v>
      </c>
      <c r="AI3142" t="s">
        <v>261</v>
      </c>
      <c r="AJ3142" t="s">
        <v>261</v>
      </c>
      <c r="AK3142" t="s">
        <v>261</v>
      </c>
      <c r="AM3142" t="s">
        <v>262</v>
      </c>
      <c r="AN3142" t="s">
        <v>8602</v>
      </c>
    </row>
    <row r="3143" spans="1:40" x14ac:dyDescent="0.35">
      <c r="A3143">
        <v>6825294</v>
      </c>
      <c r="B3143" t="s">
        <v>8603</v>
      </c>
      <c r="C3143" t="str">
        <f>""</f>
        <v/>
      </c>
      <c r="D3143" t="str">
        <f>"9789179291471"</f>
        <v>9789179291471</v>
      </c>
      <c r="E3143" t="s">
        <v>3642</v>
      </c>
      <c r="F3143" t="s">
        <v>3642</v>
      </c>
      <c r="G3143" s="1">
        <v>44533</v>
      </c>
      <c r="H3143" s="1">
        <v>44543</v>
      </c>
      <c r="I3143" t="s">
        <v>189</v>
      </c>
      <c r="J3143">
        <v>1</v>
      </c>
      <c r="L3143" t="s">
        <v>8604</v>
      </c>
      <c r="Q3143" t="s">
        <v>260</v>
      </c>
      <c r="R3143" t="s">
        <v>261</v>
      </c>
      <c r="S3143" t="s">
        <v>261</v>
      </c>
      <c r="T3143" t="s">
        <v>261</v>
      </c>
      <c r="U3143" t="s">
        <v>261</v>
      </c>
      <c r="V3143" t="s">
        <v>262</v>
      </c>
      <c r="W3143" t="s">
        <v>261</v>
      </c>
      <c r="X3143" t="s">
        <v>261</v>
      </c>
      <c r="Y3143" t="s">
        <v>261</v>
      </c>
      <c r="AD3143" t="s">
        <v>261</v>
      </c>
      <c r="AH3143" t="s">
        <v>262</v>
      </c>
      <c r="AI3143" t="s">
        <v>261</v>
      </c>
      <c r="AJ3143" t="s">
        <v>261</v>
      </c>
      <c r="AK3143" t="s">
        <v>261</v>
      </c>
      <c r="AM3143" t="s">
        <v>262</v>
      </c>
      <c r="AN3143" t="s">
        <v>8605</v>
      </c>
    </row>
    <row r="3144" spans="1:40" x14ac:dyDescent="0.35">
      <c r="A3144">
        <v>6825384</v>
      </c>
      <c r="B3144" t="s">
        <v>8606</v>
      </c>
      <c r="C3144" t="str">
        <f>"9783030784973"</f>
        <v>9783030784973</v>
      </c>
      <c r="D3144" t="str">
        <f>"9783030784980"</f>
        <v>9783030784980</v>
      </c>
      <c r="E3144" t="s">
        <v>2289</v>
      </c>
      <c r="F3144" t="s">
        <v>2290</v>
      </c>
      <c r="G3144" s="1">
        <v>44542</v>
      </c>
      <c r="H3144" s="1">
        <v>44544</v>
      </c>
      <c r="I3144" t="s">
        <v>189</v>
      </c>
      <c r="K3144" t="s">
        <v>5004</v>
      </c>
      <c r="L3144" t="s">
        <v>8607</v>
      </c>
      <c r="M3144" t="s">
        <v>249</v>
      </c>
      <c r="N3144" t="s">
        <v>8608</v>
      </c>
      <c r="Q3144" t="s">
        <v>260</v>
      </c>
      <c r="R3144" t="s">
        <v>261</v>
      </c>
      <c r="S3144" t="s">
        <v>261</v>
      </c>
      <c r="T3144" t="s">
        <v>261</v>
      </c>
      <c r="U3144" t="s">
        <v>261</v>
      </c>
      <c r="V3144" t="s">
        <v>262</v>
      </c>
      <c r="W3144" t="s">
        <v>261</v>
      </c>
      <c r="X3144" t="s">
        <v>261</v>
      </c>
      <c r="Y3144" t="s">
        <v>261</v>
      </c>
      <c r="Z3144" t="s">
        <v>409</v>
      </c>
      <c r="AA3144" t="s">
        <v>409</v>
      </c>
      <c r="AB3144" t="s">
        <v>409</v>
      </c>
      <c r="AC3144" t="s">
        <v>409</v>
      </c>
      <c r="AD3144" t="s">
        <v>261</v>
      </c>
      <c r="AH3144" t="s">
        <v>262</v>
      </c>
      <c r="AI3144" t="s">
        <v>262</v>
      </c>
      <c r="AJ3144" t="s">
        <v>261</v>
      </c>
      <c r="AK3144" t="s">
        <v>261</v>
      </c>
      <c r="AM3144" t="s">
        <v>262</v>
      </c>
      <c r="AN3144" t="s">
        <v>8609</v>
      </c>
    </row>
    <row r="3145" spans="1:40" x14ac:dyDescent="0.35">
      <c r="A3145">
        <v>6825627</v>
      </c>
      <c r="B3145" t="s">
        <v>8610</v>
      </c>
      <c r="C3145" t="str">
        <f>"9789633864173"</f>
        <v>9789633864173</v>
      </c>
      <c r="D3145" t="str">
        <f>"9789633864180"</f>
        <v>9789633864180</v>
      </c>
      <c r="E3145" t="s">
        <v>1797</v>
      </c>
      <c r="F3145" t="s">
        <v>1797</v>
      </c>
      <c r="G3145" s="1">
        <v>44666</v>
      </c>
      <c r="H3145" s="1">
        <v>44544</v>
      </c>
      <c r="I3145" t="s">
        <v>189</v>
      </c>
      <c r="J3145">
        <v>1</v>
      </c>
      <c r="L3145" t="s">
        <v>8611</v>
      </c>
      <c r="M3145" t="s">
        <v>676</v>
      </c>
    </row>
    <row r="3146" spans="1:40" x14ac:dyDescent="0.35">
      <c r="A3146">
        <v>6825628</v>
      </c>
      <c r="B3146" t="s">
        <v>8612</v>
      </c>
      <c r="C3146" t="str">
        <f>"9789633864159"</f>
        <v>9789633864159</v>
      </c>
      <c r="D3146" t="str">
        <f>"9789633864166"</f>
        <v>9789633864166</v>
      </c>
      <c r="E3146" t="s">
        <v>1797</v>
      </c>
      <c r="F3146" t="s">
        <v>1797</v>
      </c>
      <c r="G3146" s="1">
        <v>44607</v>
      </c>
      <c r="H3146" s="1">
        <v>44544</v>
      </c>
      <c r="I3146" t="s">
        <v>189</v>
      </c>
      <c r="J3146">
        <v>1</v>
      </c>
      <c r="K3146" t="s">
        <v>8613</v>
      </c>
      <c r="L3146" t="s">
        <v>8614</v>
      </c>
      <c r="M3146" t="s">
        <v>329</v>
      </c>
      <c r="O3146" s="2">
        <v>305891497047</v>
      </c>
      <c r="Q3146" t="s">
        <v>260</v>
      </c>
      <c r="R3146" t="s">
        <v>261</v>
      </c>
      <c r="S3146" t="s">
        <v>261</v>
      </c>
      <c r="T3146" t="s">
        <v>261</v>
      </c>
      <c r="U3146" t="s">
        <v>261</v>
      </c>
      <c r="V3146" t="s">
        <v>262</v>
      </c>
      <c r="W3146" t="s">
        <v>261</v>
      </c>
      <c r="X3146" t="s">
        <v>261</v>
      </c>
      <c r="Y3146" t="s">
        <v>261</v>
      </c>
      <c r="Z3146" t="s">
        <v>409</v>
      </c>
      <c r="AA3146" t="s">
        <v>409</v>
      </c>
      <c r="AB3146" t="s">
        <v>409</v>
      </c>
      <c r="AC3146" t="s">
        <v>409</v>
      </c>
      <c r="AD3146" t="s">
        <v>261</v>
      </c>
      <c r="AH3146" t="s">
        <v>262</v>
      </c>
      <c r="AI3146" t="s">
        <v>262</v>
      </c>
      <c r="AJ3146" t="s">
        <v>261</v>
      </c>
      <c r="AK3146" t="s">
        <v>261</v>
      </c>
      <c r="AM3146" t="s">
        <v>262</v>
      </c>
      <c r="AN3146" t="s">
        <v>8615</v>
      </c>
    </row>
    <row r="3147" spans="1:40" x14ac:dyDescent="0.35">
      <c r="A3147">
        <v>6825723</v>
      </c>
      <c r="B3147" t="s">
        <v>8616</v>
      </c>
      <c r="C3147" t="str">
        <f>"9783658361280"</f>
        <v>9783658361280</v>
      </c>
      <c r="D3147" t="str">
        <f>"9783658361297"</f>
        <v>9783658361297</v>
      </c>
      <c r="E3147" t="s">
        <v>3972</v>
      </c>
      <c r="F3147" t="s">
        <v>3972</v>
      </c>
      <c r="G3147" s="1">
        <v>44543</v>
      </c>
      <c r="H3147" s="1">
        <v>44544</v>
      </c>
      <c r="I3147" t="s">
        <v>189</v>
      </c>
      <c r="K3147" t="s">
        <v>8617</v>
      </c>
      <c r="L3147" t="s">
        <v>8618</v>
      </c>
      <c r="M3147" t="s">
        <v>249</v>
      </c>
      <c r="N3147" t="s">
        <v>3975</v>
      </c>
      <c r="Q3147" t="s">
        <v>408</v>
      </c>
      <c r="R3147" t="s">
        <v>261</v>
      </c>
      <c r="S3147" t="s">
        <v>261</v>
      </c>
      <c r="T3147" t="s">
        <v>261</v>
      </c>
      <c r="U3147" t="s">
        <v>261</v>
      </c>
      <c r="V3147" t="s">
        <v>262</v>
      </c>
      <c r="W3147" t="s">
        <v>261</v>
      </c>
      <c r="X3147" t="s">
        <v>261</v>
      </c>
      <c r="Y3147" t="s">
        <v>261</v>
      </c>
      <c r="Z3147" t="s">
        <v>409</v>
      </c>
      <c r="AA3147" t="s">
        <v>409</v>
      </c>
      <c r="AB3147" t="s">
        <v>409</v>
      </c>
      <c r="AC3147" t="s">
        <v>409</v>
      </c>
      <c r="AD3147" t="s">
        <v>261</v>
      </c>
      <c r="AH3147" t="s">
        <v>262</v>
      </c>
      <c r="AI3147" t="s">
        <v>262</v>
      </c>
      <c r="AJ3147" t="s">
        <v>261</v>
      </c>
      <c r="AK3147" t="s">
        <v>261</v>
      </c>
      <c r="AM3147" t="s">
        <v>262</v>
      </c>
      <c r="AN3147" t="s">
        <v>8619</v>
      </c>
    </row>
    <row r="3148" spans="1:40" x14ac:dyDescent="0.35">
      <c r="A3148">
        <v>6825846</v>
      </c>
      <c r="B3148" t="s">
        <v>8620</v>
      </c>
      <c r="C3148" t="str">
        <f>"9781800642850"</f>
        <v>9781800642850</v>
      </c>
      <c r="D3148" t="str">
        <f>"9781800642867"</f>
        <v>9781800642867</v>
      </c>
      <c r="E3148" t="s">
        <v>1807</v>
      </c>
      <c r="F3148" t="s">
        <v>1807</v>
      </c>
      <c r="G3148" s="1">
        <v>44515</v>
      </c>
      <c r="H3148" s="1">
        <v>44544</v>
      </c>
      <c r="I3148" t="s">
        <v>189</v>
      </c>
      <c r="J3148">
        <v>1</v>
      </c>
      <c r="L3148" t="s">
        <v>8621</v>
      </c>
      <c r="M3148" t="s">
        <v>219</v>
      </c>
      <c r="Q3148" t="s">
        <v>260</v>
      </c>
      <c r="R3148" t="s">
        <v>261</v>
      </c>
      <c r="S3148" t="s">
        <v>261</v>
      </c>
      <c r="T3148" t="s">
        <v>261</v>
      </c>
      <c r="U3148" t="s">
        <v>261</v>
      </c>
      <c r="V3148" t="s">
        <v>262</v>
      </c>
      <c r="W3148" t="s">
        <v>261</v>
      </c>
      <c r="X3148" t="s">
        <v>261</v>
      </c>
      <c r="Y3148" t="s">
        <v>261</v>
      </c>
      <c r="AC3148" t="s">
        <v>409</v>
      </c>
      <c r="AD3148" t="s">
        <v>261</v>
      </c>
      <c r="AH3148" t="s">
        <v>262</v>
      </c>
      <c r="AI3148" t="s">
        <v>262</v>
      </c>
      <c r="AJ3148" t="s">
        <v>261</v>
      </c>
      <c r="AK3148" t="s">
        <v>261</v>
      </c>
      <c r="AM3148" t="s">
        <v>262</v>
      </c>
      <c r="AN3148" t="s">
        <v>8622</v>
      </c>
    </row>
    <row r="3149" spans="1:40" x14ac:dyDescent="0.35">
      <c r="A3149">
        <v>6825847</v>
      </c>
      <c r="B3149" t="s">
        <v>8623</v>
      </c>
      <c r="C3149" t="str">
        <f>"9781800642799"</f>
        <v>9781800642799</v>
      </c>
      <c r="D3149" t="str">
        <f>"9781800642805"</f>
        <v>9781800642805</v>
      </c>
      <c r="E3149" t="s">
        <v>1807</v>
      </c>
      <c r="F3149" t="s">
        <v>1807</v>
      </c>
      <c r="G3149" s="1">
        <v>44531</v>
      </c>
      <c r="H3149" s="1">
        <v>44544</v>
      </c>
      <c r="I3149" t="s">
        <v>189</v>
      </c>
      <c r="J3149">
        <v>1</v>
      </c>
      <c r="L3149" t="s">
        <v>8624</v>
      </c>
      <c r="M3149" t="s">
        <v>1687</v>
      </c>
      <c r="N3149" t="s">
        <v>8625</v>
      </c>
      <c r="O3149" t="s">
        <v>8626</v>
      </c>
      <c r="Q3149" t="s">
        <v>260</v>
      </c>
      <c r="R3149" t="s">
        <v>261</v>
      </c>
      <c r="S3149" t="s">
        <v>261</v>
      </c>
      <c r="T3149" t="s">
        <v>261</v>
      </c>
      <c r="U3149" t="s">
        <v>261</v>
      </c>
      <c r="V3149" t="s">
        <v>262</v>
      </c>
      <c r="W3149" t="s">
        <v>261</v>
      </c>
      <c r="X3149" t="s">
        <v>261</v>
      </c>
      <c r="Y3149" t="s">
        <v>261</v>
      </c>
      <c r="AC3149" t="s">
        <v>409</v>
      </c>
      <c r="AD3149" t="s">
        <v>261</v>
      </c>
      <c r="AH3149" t="s">
        <v>262</v>
      </c>
      <c r="AI3149" t="s">
        <v>262</v>
      </c>
      <c r="AJ3149" t="s">
        <v>261</v>
      </c>
      <c r="AK3149" t="s">
        <v>261</v>
      </c>
      <c r="AM3149" t="s">
        <v>262</v>
      </c>
      <c r="AN3149" t="s">
        <v>8627</v>
      </c>
    </row>
    <row r="3150" spans="1:40" x14ac:dyDescent="0.35">
      <c r="A3150">
        <v>6825848</v>
      </c>
      <c r="B3150" t="s">
        <v>8628</v>
      </c>
      <c r="C3150" t="str">
        <f>"9781800643390"</f>
        <v>9781800643390</v>
      </c>
      <c r="D3150" t="str">
        <f>"9781800643406"</f>
        <v>9781800643406</v>
      </c>
      <c r="E3150" t="s">
        <v>1807</v>
      </c>
      <c r="F3150" t="s">
        <v>1807</v>
      </c>
      <c r="G3150" s="1">
        <v>44540</v>
      </c>
      <c r="H3150" s="1">
        <v>44544</v>
      </c>
      <c r="I3150" t="s">
        <v>189</v>
      </c>
      <c r="J3150">
        <v>1</v>
      </c>
      <c r="L3150" t="s">
        <v>8629</v>
      </c>
      <c r="M3150" t="s">
        <v>199</v>
      </c>
      <c r="O3150">
        <v>192</v>
      </c>
      <c r="Q3150" t="s">
        <v>260</v>
      </c>
      <c r="R3150" t="s">
        <v>261</v>
      </c>
      <c r="S3150" t="s">
        <v>261</v>
      </c>
      <c r="T3150" t="s">
        <v>261</v>
      </c>
      <c r="U3150" t="s">
        <v>261</v>
      </c>
      <c r="V3150" t="s">
        <v>262</v>
      </c>
      <c r="W3150" t="s">
        <v>261</v>
      </c>
      <c r="X3150" t="s">
        <v>261</v>
      </c>
      <c r="Y3150" t="s">
        <v>261</v>
      </c>
      <c r="AC3150" t="s">
        <v>409</v>
      </c>
      <c r="AD3150" t="s">
        <v>261</v>
      </c>
      <c r="AH3150" t="s">
        <v>262</v>
      </c>
      <c r="AI3150" t="s">
        <v>262</v>
      </c>
      <c r="AJ3150" t="s">
        <v>261</v>
      </c>
      <c r="AK3150" t="s">
        <v>261</v>
      </c>
      <c r="AM3150" t="s">
        <v>262</v>
      </c>
      <c r="AN3150" t="s">
        <v>8630</v>
      </c>
    </row>
    <row r="3151" spans="1:40" x14ac:dyDescent="0.35">
      <c r="A3151">
        <v>6825849</v>
      </c>
      <c r="B3151" t="s">
        <v>8631</v>
      </c>
      <c r="C3151" t="str">
        <f>"9781800643512"</f>
        <v>9781800643512</v>
      </c>
      <c r="D3151" t="str">
        <f>"9781800643529"</f>
        <v>9781800643529</v>
      </c>
      <c r="E3151" t="s">
        <v>1807</v>
      </c>
      <c r="F3151" t="s">
        <v>1807</v>
      </c>
      <c r="G3151" s="1">
        <v>44531</v>
      </c>
      <c r="H3151" s="1">
        <v>44544</v>
      </c>
      <c r="I3151" t="s">
        <v>189</v>
      </c>
      <c r="J3151">
        <v>1</v>
      </c>
      <c r="K3151" t="s">
        <v>1851</v>
      </c>
      <c r="L3151" t="s">
        <v>3947</v>
      </c>
    </row>
    <row r="3152" spans="1:40" x14ac:dyDescent="0.35">
      <c r="A3152">
        <v>6825850</v>
      </c>
      <c r="B3152" t="s">
        <v>8632</v>
      </c>
      <c r="C3152" t="str">
        <f>"9781800640665"</f>
        <v>9781800640665</v>
      </c>
      <c r="D3152" t="str">
        <f>"9781800640672"</f>
        <v>9781800640672</v>
      </c>
      <c r="E3152" t="s">
        <v>1807</v>
      </c>
      <c r="F3152" t="s">
        <v>1807</v>
      </c>
      <c r="G3152" s="1">
        <v>44533</v>
      </c>
      <c r="H3152" s="1">
        <v>44544</v>
      </c>
      <c r="I3152" t="s">
        <v>189</v>
      </c>
      <c r="J3152">
        <v>1</v>
      </c>
      <c r="L3152" t="s">
        <v>8633</v>
      </c>
      <c r="M3152" t="s">
        <v>219</v>
      </c>
      <c r="N3152" t="s">
        <v>8634</v>
      </c>
      <c r="Q3152" t="s">
        <v>260</v>
      </c>
      <c r="R3152" t="s">
        <v>261</v>
      </c>
      <c r="S3152" t="s">
        <v>261</v>
      </c>
      <c r="T3152" t="s">
        <v>261</v>
      </c>
      <c r="U3152" t="s">
        <v>261</v>
      </c>
      <c r="V3152" t="s">
        <v>262</v>
      </c>
      <c r="W3152" t="s">
        <v>261</v>
      </c>
      <c r="X3152" t="s">
        <v>261</v>
      </c>
      <c r="Y3152" t="s">
        <v>261</v>
      </c>
      <c r="AC3152" t="s">
        <v>409</v>
      </c>
      <c r="AD3152" t="s">
        <v>261</v>
      </c>
      <c r="AH3152" t="s">
        <v>262</v>
      </c>
      <c r="AI3152" t="s">
        <v>262</v>
      </c>
      <c r="AJ3152" t="s">
        <v>261</v>
      </c>
      <c r="AK3152" t="s">
        <v>261</v>
      </c>
      <c r="AM3152" t="s">
        <v>262</v>
      </c>
      <c r="AN3152" t="s">
        <v>8635</v>
      </c>
    </row>
    <row r="3153" spans="1:40" x14ac:dyDescent="0.35">
      <c r="A3153">
        <v>6825855</v>
      </c>
      <c r="B3153" t="s">
        <v>8636</v>
      </c>
      <c r="C3153" t="str">
        <f>"9783899493245"</f>
        <v>9783899493245</v>
      </c>
      <c r="D3153" t="str">
        <f>"9783110927832"</f>
        <v>9783110927832</v>
      </c>
      <c r="E3153" t="s">
        <v>346</v>
      </c>
      <c r="F3153" t="s">
        <v>346</v>
      </c>
      <c r="G3153" s="1">
        <v>38897</v>
      </c>
      <c r="H3153" s="1">
        <v>44722</v>
      </c>
      <c r="I3153" t="s">
        <v>189</v>
      </c>
      <c r="J3153">
        <v>1</v>
      </c>
      <c r="K3153" t="s">
        <v>552</v>
      </c>
      <c r="L3153" t="s">
        <v>8637</v>
      </c>
    </row>
    <row r="3154" spans="1:40" x14ac:dyDescent="0.35">
      <c r="A3154">
        <v>6826328</v>
      </c>
      <c r="B3154" t="s">
        <v>8638</v>
      </c>
      <c r="C3154" t="str">
        <f>"9789811667824"</f>
        <v>9789811667824</v>
      </c>
      <c r="D3154" t="str">
        <f>"9789811667831"</f>
        <v>9789811667831</v>
      </c>
      <c r="E3154" t="s">
        <v>3404</v>
      </c>
      <c r="F3154" t="s">
        <v>2663</v>
      </c>
      <c r="G3154" s="1">
        <v>44544</v>
      </c>
      <c r="H3154" s="1">
        <v>44547</v>
      </c>
      <c r="I3154" t="s">
        <v>189</v>
      </c>
      <c r="L3154" t="s">
        <v>8639</v>
      </c>
    </row>
    <row r="3155" spans="1:40" x14ac:dyDescent="0.35">
      <c r="A3155">
        <v>6827104</v>
      </c>
      <c r="B3155" t="s">
        <v>8640</v>
      </c>
      <c r="C3155" t="str">
        <f>"9783658356880"</f>
        <v>9783658356880</v>
      </c>
      <c r="D3155" t="str">
        <f>"9783658356897"</f>
        <v>9783658356897</v>
      </c>
      <c r="E3155" t="s">
        <v>3972</v>
      </c>
      <c r="F3155" t="s">
        <v>3998</v>
      </c>
      <c r="G3155" s="1">
        <v>44545</v>
      </c>
      <c r="H3155" s="1">
        <v>44546</v>
      </c>
      <c r="I3155" t="s">
        <v>189</v>
      </c>
      <c r="K3155" t="s">
        <v>7298</v>
      </c>
      <c r="L3155" t="s">
        <v>8641</v>
      </c>
      <c r="M3155" t="s">
        <v>329</v>
      </c>
      <c r="N3155" t="s">
        <v>4064</v>
      </c>
      <c r="Q3155" t="s">
        <v>408</v>
      </c>
      <c r="R3155" t="s">
        <v>261</v>
      </c>
      <c r="S3155" t="s">
        <v>261</v>
      </c>
      <c r="T3155" t="s">
        <v>261</v>
      </c>
      <c r="U3155" t="s">
        <v>261</v>
      </c>
      <c r="V3155" t="s">
        <v>262</v>
      </c>
      <c r="W3155" t="s">
        <v>261</v>
      </c>
      <c r="X3155" t="s">
        <v>261</v>
      </c>
      <c r="Y3155" t="s">
        <v>261</v>
      </c>
      <c r="Z3155" t="s">
        <v>409</v>
      </c>
      <c r="AA3155" t="s">
        <v>409</v>
      </c>
      <c r="AB3155" t="s">
        <v>409</v>
      </c>
      <c r="AC3155" t="s">
        <v>409</v>
      </c>
      <c r="AD3155" t="s">
        <v>261</v>
      </c>
      <c r="AH3155" t="s">
        <v>262</v>
      </c>
      <c r="AI3155" t="s">
        <v>262</v>
      </c>
      <c r="AJ3155" t="s">
        <v>261</v>
      </c>
      <c r="AK3155" t="s">
        <v>261</v>
      </c>
      <c r="AM3155" t="s">
        <v>262</v>
      </c>
      <c r="AN3155" t="s">
        <v>8642</v>
      </c>
    </row>
    <row r="3156" spans="1:40" x14ac:dyDescent="0.35">
      <c r="A3156">
        <v>6827113</v>
      </c>
      <c r="B3156" t="s">
        <v>8643</v>
      </c>
      <c r="C3156" t="str">
        <f>"9783658362867"</f>
        <v>9783658362867</v>
      </c>
      <c r="D3156" t="str">
        <f>"9783658362874"</f>
        <v>9783658362874</v>
      </c>
      <c r="E3156" t="s">
        <v>3972</v>
      </c>
      <c r="F3156" t="s">
        <v>3972</v>
      </c>
      <c r="G3156" s="1">
        <v>44545</v>
      </c>
      <c r="H3156" s="1">
        <v>44546</v>
      </c>
      <c r="I3156" t="s">
        <v>189</v>
      </c>
      <c r="K3156" t="s">
        <v>8644</v>
      </c>
      <c r="L3156" t="s">
        <v>8645</v>
      </c>
      <c r="M3156" t="s">
        <v>249</v>
      </c>
      <c r="N3156" t="s">
        <v>8646</v>
      </c>
      <c r="Q3156" t="s">
        <v>408</v>
      </c>
      <c r="R3156" t="s">
        <v>261</v>
      </c>
      <c r="S3156" t="s">
        <v>261</v>
      </c>
      <c r="T3156" t="s">
        <v>261</v>
      </c>
      <c r="U3156" t="s">
        <v>261</v>
      </c>
      <c r="V3156" t="s">
        <v>262</v>
      </c>
      <c r="W3156" t="s">
        <v>261</v>
      </c>
      <c r="X3156" t="s">
        <v>261</v>
      </c>
      <c r="Y3156" t="s">
        <v>261</v>
      </c>
      <c r="Z3156" t="s">
        <v>409</v>
      </c>
      <c r="AA3156" t="s">
        <v>409</v>
      </c>
      <c r="AB3156" t="s">
        <v>409</v>
      </c>
      <c r="AC3156" t="s">
        <v>409</v>
      </c>
      <c r="AD3156" t="s">
        <v>261</v>
      </c>
      <c r="AH3156" t="s">
        <v>262</v>
      </c>
      <c r="AI3156" t="s">
        <v>262</v>
      </c>
      <c r="AJ3156" t="s">
        <v>261</v>
      </c>
      <c r="AK3156" t="s">
        <v>261</v>
      </c>
      <c r="AM3156" t="s">
        <v>262</v>
      </c>
      <c r="AN3156" t="s">
        <v>8647</v>
      </c>
    </row>
    <row r="3157" spans="1:40" x14ac:dyDescent="0.35">
      <c r="A3157">
        <v>6827120</v>
      </c>
      <c r="B3157" t="s">
        <v>8648</v>
      </c>
      <c r="C3157" t="str">
        <f>"9783030764289"</f>
        <v>9783030764289</v>
      </c>
      <c r="D3157" t="str">
        <f>"9783030764296"</f>
        <v>9783030764296</v>
      </c>
      <c r="E3157" t="s">
        <v>2289</v>
      </c>
      <c r="F3157" t="s">
        <v>2663</v>
      </c>
      <c r="G3157" s="1">
        <v>44545</v>
      </c>
      <c r="H3157" s="1">
        <v>44546</v>
      </c>
      <c r="I3157" t="s">
        <v>189</v>
      </c>
      <c r="L3157" t="s">
        <v>8649</v>
      </c>
    </row>
    <row r="3158" spans="1:40" x14ac:dyDescent="0.35">
      <c r="A3158">
        <v>6827141</v>
      </c>
      <c r="B3158" t="s">
        <v>8650</v>
      </c>
      <c r="C3158" t="str">
        <f>"9783030882020"</f>
        <v>9783030882020</v>
      </c>
      <c r="D3158" t="str">
        <f>"9783030882037"</f>
        <v>9783030882037</v>
      </c>
      <c r="E3158" t="s">
        <v>2289</v>
      </c>
      <c r="F3158" t="s">
        <v>2663</v>
      </c>
      <c r="G3158" s="1">
        <v>44545</v>
      </c>
      <c r="H3158" s="1">
        <v>44546</v>
      </c>
      <c r="I3158" t="s">
        <v>189</v>
      </c>
      <c r="L3158" t="s">
        <v>8651</v>
      </c>
      <c r="M3158" t="s">
        <v>249</v>
      </c>
      <c r="N3158" t="s">
        <v>8652</v>
      </c>
      <c r="O3158" s="2">
        <v>658408</v>
      </c>
      <c r="Q3158" t="s">
        <v>260</v>
      </c>
      <c r="R3158" t="s">
        <v>261</v>
      </c>
      <c r="S3158" t="s">
        <v>261</v>
      </c>
      <c r="T3158" t="s">
        <v>261</v>
      </c>
      <c r="U3158" t="s">
        <v>261</v>
      </c>
      <c r="V3158" t="s">
        <v>262</v>
      </c>
      <c r="W3158" t="s">
        <v>261</v>
      </c>
      <c r="X3158" t="s">
        <v>261</v>
      </c>
      <c r="Y3158" t="s">
        <v>261</v>
      </c>
      <c r="Z3158" t="s">
        <v>409</v>
      </c>
      <c r="AA3158" t="s">
        <v>409</v>
      </c>
      <c r="AB3158" t="s">
        <v>409</v>
      </c>
      <c r="AC3158" t="s">
        <v>409</v>
      </c>
      <c r="AD3158" t="s">
        <v>261</v>
      </c>
      <c r="AH3158" t="s">
        <v>262</v>
      </c>
      <c r="AI3158" t="s">
        <v>262</v>
      </c>
      <c r="AJ3158" t="s">
        <v>261</v>
      </c>
      <c r="AK3158" t="s">
        <v>261</v>
      </c>
      <c r="AM3158" t="s">
        <v>262</v>
      </c>
      <c r="AN3158" t="s">
        <v>8653</v>
      </c>
    </row>
    <row r="3159" spans="1:40" x14ac:dyDescent="0.35">
      <c r="A3159">
        <v>6827145</v>
      </c>
      <c r="B3159" t="s">
        <v>8654</v>
      </c>
      <c r="C3159" t="str">
        <f>"9783030902209"</f>
        <v>9783030902209</v>
      </c>
      <c r="D3159" t="str">
        <f>"9783030902216"</f>
        <v>9783030902216</v>
      </c>
      <c r="E3159" t="s">
        <v>2289</v>
      </c>
      <c r="F3159" t="s">
        <v>2290</v>
      </c>
      <c r="G3159" s="1">
        <v>44545</v>
      </c>
      <c r="H3159" s="1">
        <v>44546</v>
      </c>
      <c r="I3159" t="s">
        <v>189</v>
      </c>
      <c r="K3159" t="s">
        <v>8655</v>
      </c>
      <c r="L3159" t="s">
        <v>8656</v>
      </c>
    </row>
    <row r="3160" spans="1:40" x14ac:dyDescent="0.35">
      <c r="A3160">
        <v>6827683</v>
      </c>
      <c r="B3160" t="s">
        <v>8657</v>
      </c>
      <c r="C3160" t="str">
        <f>"9783030785888"</f>
        <v>9783030785888</v>
      </c>
      <c r="D3160" t="str">
        <f>"9783030785895"</f>
        <v>9783030785895</v>
      </c>
      <c r="E3160" t="s">
        <v>2289</v>
      </c>
      <c r="F3160" t="s">
        <v>2663</v>
      </c>
      <c r="G3160" s="1">
        <v>44534</v>
      </c>
      <c r="H3160" s="1">
        <v>44558</v>
      </c>
      <c r="I3160" t="s">
        <v>189</v>
      </c>
      <c r="K3160" t="s">
        <v>8658</v>
      </c>
      <c r="L3160" t="s">
        <v>8659</v>
      </c>
      <c r="M3160" t="s">
        <v>219</v>
      </c>
      <c r="N3160" t="s">
        <v>8470</v>
      </c>
      <c r="O3160" s="2">
        <v>81093561</v>
      </c>
      <c r="Q3160" t="s">
        <v>260</v>
      </c>
      <c r="R3160" t="s">
        <v>261</v>
      </c>
      <c r="S3160" t="s">
        <v>261</v>
      </c>
      <c r="T3160" t="s">
        <v>261</v>
      </c>
      <c r="U3160" t="s">
        <v>261</v>
      </c>
      <c r="V3160" t="s">
        <v>262</v>
      </c>
      <c r="W3160" t="s">
        <v>261</v>
      </c>
      <c r="X3160" t="s">
        <v>261</v>
      </c>
      <c r="Y3160" t="s">
        <v>261</v>
      </c>
      <c r="Z3160" t="s">
        <v>409</v>
      </c>
      <c r="AA3160" t="s">
        <v>409</v>
      </c>
      <c r="AB3160" t="s">
        <v>409</v>
      </c>
      <c r="AC3160" t="s">
        <v>409</v>
      </c>
      <c r="AD3160" t="s">
        <v>261</v>
      </c>
      <c r="AH3160" t="s">
        <v>262</v>
      </c>
      <c r="AI3160" t="s">
        <v>262</v>
      </c>
      <c r="AJ3160" t="s">
        <v>261</v>
      </c>
      <c r="AK3160" t="s">
        <v>261</v>
      </c>
      <c r="AM3160" t="s">
        <v>262</v>
      </c>
      <c r="AN3160" t="s">
        <v>8660</v>
      </c>
    </row>
    <row r="3161" spans="1:40" x14ac:dyDescent="0.35">
      <c r="A3161">
        <v>6827686</v>
      </c>
      <c r="B3161" t="s">
        <v>8661</v>
      </c>
      <c r="C3161" t="str">
        <f>"9789811631870"</f>
        <v>9789811631870</v>
      </c>
      <c r="D3161" t="str">
        <f>"9789811631887"</f>
        <v>9789811631887</v>
      </c>
      <c r="E3161" t="s">
        <v>3404</v>
      </c>
      <c r="F3161" t="s">
        <v>2290</v>
      </c>
      <c r="G3161" s="1">
        <v>44546</v>
      </c>
      <c r="H3161" s="1">
        <v>44558</v>
      </c>
      <c r="I3161" t="s">
        <v>189</v>
      </c>
      <c r="L3161" t="s">
        <v>8662</v>
      </c>
      <c r="M3161" t="s">
        <v>964</v>
      </c>
      <c r="N3161" t="s">
        <v>5279</v>
      </c>
      <c r="Q3161" t="s">
        <v>260</v>
      </c>
      <c r="R3161" t="s">
        <v>261</v>
      </c>
      <c r="S3161" t="s">
        <v>261</v>
      </c>
      <c r="T3161" t="s">
        <v>261</v>
      </c>
      <c r="U3161" t="s">
        <v>261</v>
      </c>
      <c r="V3161" t="s">
        <v>262</v>
      </c>
      <c r="W3161" t="s">
        <v>261</v>
      </c>
      <c r="X3161" t="s">
        <v>261</v>
      </c>
      <c r="Y3161" t="s">
        <v>261</v>
      </c>
      <c r="Z3161" t="s">
        <v>409</v>
      </c>
      <c r="AA3161" t="s">
        <v>409</v>
      </c>
      <c r="AB3161" t="s">
        <v>409</v>
      </c>
      <c r="AC3161" t="s">
        <v>409</v>
      </c>
      <c r="AD3161" t="s">
        <v>261</v>
      </c>
      <c r="AH3161" t="s">
        <v>262</v>
      </c>
      <c r="AI3161" t="s">
        <v>262</v>
      </c>
      <c r="AJ3161" t="s">
        <v>261</v>
      </c>
      <c r="AK3161" t="s">
        <v>261</v>
      </c>
      <c r="AM3161" t="s">
        <v>262</v>
      </c>
      <c r="AN3161" t="s">
        <v>8663</v>
      </c>
    </row>
    <row r="3162" spans="1:40" x14ac:dyDescent="0.35">
      <c r="A3162">
        <v>6827693</v>
      </c>
      <c r="B3162" t="s">
        <v>8664</v>
      </c>
      <c r="C3162" t="str">
        <f>"9783030884543"</f>
        <v>9783030884543</v>
      </c>
      <c r="D3162" t="str">
        <f>"9783030884550"</f>
        <v>9783030884550</v>
      </c>
      <c r="E3162" t="s">
        <v>2289</v>
      </c>
      <c r="F3162" t="s">
        <v>2663</v>
      </c>
      <c r="G3162" s="1">
        <v>44534</v>
      </c>
      <c r="H3162" s="1">
        <v>44558</v>
      </c>
      <c r="I3162" t="s">
        <v>189</v>
      </c>
      <c r="L3162" t="s">
        <v>8665</v>
      </c>
    </row>
    <row r="3163" spans="1:40" x14ac:dyDescent="0.35">
      <c r="A3163">
        <v>6827695</v>
      </c>
      <c r="B3163" t="s">
        <v>8666</v>
      </c>
      <c r="C3163" t="str">
        <f>"9783030812096"</f>
        <v>9783030812096</v>
      </c>
      <c r="D3163" t="str">
        <f>"9783030812102"</f>
        <v>9783030812102</v>
      </c>
      <c r="E3163" t="s">
        <v>2289</v>
      </c>
      <c r="F3163" t="s">
        <v>2290</v>
      </c>
      <c r="G3163" s="1">
        <v>44532</v>
      </c>
      <c r="H3163" s="1">
        <v>44558</v>
      </c>
      <c r="I3163" t="s">
        <v>189</v>
      </c>
      <c r="K3163" t="s">
        <v>1208</v>
      </c>
      <c r="L3163" t="s">
        <v>8667</v>
      </c>
      <c r="M3163" t="s">
        <v>210</v>
      </c>
      <c r="N3163" t="s">
        <v>4706</v>
      </c>
      <c r="Q3163" t="s">
        <v>260</v>
      </c>
      <c r="R3163" t="s">
        <v>261</v>
      </c>
      <c r="S3163" t="s">
        <v>261</v>
      </c>
      <c r="T3163" t="s">
        <v>261</v>
      </c>
      <c r="U3163" t="s">
        <v>261</v>
      </c>
      <c r="V3163" t="s">
        <v>262</v>
      </c>
      <c r="W3163" t="s">
        <v>261</v>
      </c>
      <c r="X3163" t="s">
        <v>261</v>
      </c>
      <c r="Y3163" t="s">
        <v>261</v>
      </c>
      <c r="Z3163" t="s">
        <v>409</v>
      </c>
      <c r="AA3163" t="s">
        <v>409</v>
      </c>
      <c r="AB3163" t="s">
        <v>409</v>
      </c>
      <c r="AC3163" t="s">
        <v>409</v>
      </c>
      <c r="AD3163" t="s">
        <v>261</v>
      </c>
      <c r="AH3163" t="s">
        <v>262</v>
      </c>
      <c r="AI3163" t="s">
        <v>262</v>
      </c>
      <c r="AJ3163" t="s">
        <v>261</v>
      </c>
      <c r="AK3163" t="s">
        <v>261</v>
      </c>
      <c r="AM3163" t="s">
        <v>262</v>
      </c>
      <c r="AN3163" t="s">
        <v>8668</v>
      </c>
    </row>
    <row r="3164" spans="1:40" x14ac:dyDescent="0.35">
      <c r="A3164">
        <v>6827696</v>
      </c>
      <c r="B3164" t="s">
        <v>8669</v>
      </c>
      <c r="C3164" t="str">
        <f>"9783030827588"</f>
        <v>9783030827588</v>
      </c>
      <c r="D3164" t="str">
        <f>"9783030827595"</f>
        <v>9783030827595</v>
      </c>
      <c r="E3164" t="s">
        <v>2289</v>
      </c>
      <c r="F3164" t="s">
        <v>2290</v>
      </c>
      <c r="G3164" s="1">
        <v>44583</v>
      </c>
      <c r="H3164" s="1">
        <v>44558</v>
      </c>
      <c r="I3164" t="s">
        <v>189</v>
      </c>
      <c r="K3164" t="s">
        <v>5317</v>
      </c>
      <c r="L3164" t="s">
        <v>8670</v>
      </c>
      <c r="M3164" t="s">
        <v>964</v>
      </c>
      <c r="N3164" t="s">
        <v>6317</v>
      </c>
      <c r="Q3164" t="s">
        <v>260</v>
      </c>
      <c r="R3164" t="s">
        <v>261</v>
      </c>
      <c r="S3164" t="s">
        <v>261</v>
      </c>
      <c r="T3164" t="s">
        <v>261</v>
      </c>
      <c r="U3164" t="s">
        <v>261</v>
      </c>
      <c r="V3164" t="s">
        <v>262</v>
      </c>
      <c r="W3164" t="s">
        <v>261</v>
      </c>
      <c r="X3164" t="s">
        <v>261</v>
      </c>
      <c r="Y3164" t="s">
        <v>261</v>
      </c>
      <c r="Z3164" t="s">
        <v>409</v>
      </c>
      <c r="AA3164" t="s">
        <v>409</v>
      </c>
      <c r="AB3164" t="s">
        <v>409</v>
      </c>
      <c r="AC3164" t="s">
        <v>409</v>
      </c>
      <c r="AD3164" t="s">
        <v>261</v>
      </c>
      <c r="AH3164" t="s">
        <v>262</v>
      </c>
      <c r="AI3164" t="s">
        <v>262</v>
      </c>
      <c r="AJ3164" t="s">
        <v>261</v>
      </c>
      <c r="AK3164" t="s">
        <v>261</v>
      </c>
      <c r="AM3164" t="s">
        <v>262</v>
      </c>
      <c r="AN3164" t="s">
        <v>8671</v>
      </c>
    </row>
    <row r="3165" spans="1:40" x14ac:dyDescent="0.35">
      <c r="A3165">
        <v>6827699</v>
      </c>
      <c r="B3165" t="s">
        <v>8672</v>
      </c>
      <c r="C3165" t="str">
        <f>"9783030842802"</f>
        <v>9783030842802</v>
      </c>
      <c r="D3165" t="str">
        <f>"9783030842819"</f>
        <v>9783030842819</v>
      </c>
      <c r="E3165" t="s">
        <v>2289</v>
      </c>
      <c r="F3165" t="s">
        <v>2663</v>
      </c>
      <c r="G3165" s="1">
        <v>44537</v>
      </c>
      <c r="H3165" s="1">
        <v>44558</v>
      </c>
      <c r="I3165" t="s">
        <v>189</v>
      </c>
      <c r="L3165" t="s">
        <v>8673</v>
      </c>
    </row>
    <row r="3166" spans="1:40" x14ac:dyDescent="0.35">
      <c r="A3166">
        <v>6827705</v>
      </c>
      <c r="B3166" t="s">
        <v>8674</v>
      </c>
      <c r="C3166" t="str">
        <f>"9783030842475"</f>
        <v>9783030842475</v>
      </c>
      <c r="D3166" t="str">
        <f>"9783030842482"</f>
        <v>9783030842482</v>
      </c>
      <c r="E3166" t="s">
        <v>2289</v>
      </c>
      <c r="F3166" t="s">
        <v>2663</v>
      </c>
      <c r="G3166" s="1">
        <v>44532</v>
      </c>
      <c r="H3166" s="1">
        <v>44558</v>
      </c>
      <c r="I3166" t="s">
        <v>189</v>
      </c>
      <c r="L3166" t="s">
        <v>8675</v>
      </c>
      <c r="M3166" t="s">
        <v>964</v>
      </c>
      <c r="N3166" t="s">
        <v>8676</v>
      </c>
      <c r="Q3166" t="s">
        <v>260</v>
      </c>
      <c r="R3166" t="s">
        <v>261</v>
      </c>
      <c r="S3166" t="s">
        <v>261</v>
      </c>
      <c r="T3166" t="s">
        <v>261</v>
      </c>
      <c r="U3166" t="s">
        <v>261</v>
      </c>
      <c r="V3166" t="s">
        <v>262</v>
      </c>
      <c r="W3166" t="s">
        <v>261</v>
      </c>
      <c r="X3166" t="s">
        <v>261</v>
      </c>
      <c r="Y3166" t="s">
        <v>261</v>
      </c>
      <c r="Z3166" t="s">
        <v>409</v>
      </c>
      <c r="AA3166" t="s">
        <v>409</v>
      </c>
      <c r="AB3166" t="s">
        <v>409</v>
      </c>
      <c r="AC3166" t="s">
        <v>409</v>
      </c>
      <c r="AD3166" t="s">
        <v>261</v>
      </c>
      <c r="AH3166" t="s">
        <v>262</v>
      </c>
      <c r="AI3166" t="s">
        <v>262</v>
      </c>
      <c r="AJ3166" t="s">
        <v>261</v>
      </c>
      <c r="AK3166" t="s">
        <v>261</v>
      </c>
      <c r="AM3166" t="s">
        <v>262</v>
      </c>
      <c r="AN3166" t="s">
        <v>8677</v>
      </c>
    </row>
    <row r="3167" spans="1:40" x14ac:dyDescent="0.35">
      <c r="A3167">
        <v>6827706</v>
      </c>
      <c r="B3167" t="s">
        <v>8678</v>
      </c>
      <c r="C3167" t="str">
        <f>"9783662644072"</f>
        <v>9783662644072</v>
      </c>
      <c r="D3167" t="str">
        <f>"9783662644089"</f>
        <v>9783662644089</v>
      </c>
      <c r="E3167" t="s">
        <v>4047</v>
      </c>
      <c r="F3167" t="s">
        <v>4084</v>
      </c>
      <c r="G3167" s="1">
        <v>44532</v>
      </c>
      <c r="H3167" s="1">
        <v>44558</v>
      </c>
      <c r="I3167" t="s">
        <v>189</v>
      </c>
      <c r="L3167" t="s">
        <v>4564</v>
      </c>
      <c r="M3167" t="s">
        <v>847</v>
      </c>
    </row>
    <row r="3168" spans="1:40" x14ac:dyDescent="0.35">
      <c r="A3168">
        <v>6827718</v>
      </c>
      <c r="B3168" t="s">
        <v>8679</v>
      </c>
      <c r="C3168" t="str">
        <f>"9789813349711"</f>
        <v>9789813349711</v>
      </c>
      <c r="D3168" t="str">
        <f>"9789813349728"</f>
        <v>9789813349728</v>
      </c>
      <c r="E3168" t="s">
        <v>3404</v>
      </c>
      <c r="F3168" t="s">
        <v>2290</v>
      </c>
      <c r="G3168" s="1">
        <v>44534</v>
      </c>
      <c r="H3168" s="1">
        <v>44558</v>
      </c>
      <c r="I3168" t="s">
        <v>189</v>
      </c>
      <c r="L3168" t="s">
        <v>8680</v>
      </c>
      <c r="M3168" t="s">
        <v>249</v>
      </c>
      <c r="N3168" t="s">
        <v>3975</v>
      </c>
      <c r="Q3168" t="s">
        <v>260</v>
      </c>
      <c r="R3168" t="s">
        <v>261</v>
      </c>
      <c r="S3168" t="s">
        <v>261</v>
      </c>
      <c r="T3168" t="s">
        <v>261</v>
      </c>
      <c r="U3168" t="s">
        <v>261</v>
      </c>
      <c r="V3168" t="s">
        <v>262</v>
      </c>
      <c r="W3168" t="s">
        <v>261</v>
      </c>
      <c r="X3168" t="s">
        <v>261</v>
      </c>
      <c r="Y3168" t="s">
        <v>261</v>
      </c>
      <c r="Z3168" t="s">
        <v>409</v>
      </c>
      <c r="AA3168" t="s">
        <v>409</v>
      </c>
      <c r="AB3168" t="s">
        <v>409</v>
      </c>
      <c r="AC3168" t="s">
        <v>409</v>
      </c>
      <c r="AD3168" t="s">
        <v>261</v>
      </c>
      <c r="AH3168" t="s">
        <v>262</v>
      </c>
      <c r="AI3168" t="s">
        <v>262</v>
      </c>
      <c r="AJ3168" t="s">
        <v>261</v>
      </c>
      <c r="AK3168" t="s">
        <v>261</v>
      </c>
      <c r="AM3168" t="s">
        <v>262</v>
      </c>
      <c r="AN3168" t="s">
        <v>8681</v>
      </c>
    </row>
    <row r="3169" spans="1:40" x14ac:dyDescent="0.35">
      <c r="A3169">
        <v>6827720</v>
      </c>
      <c r="B3169" t="s">
        <v>8682</v>
      </c>
      <c r="C3169" t="str">
        <f>"9783030886615"</f>
        <v>9783030886615</v>
      </c>
      <c r="D3169" t="str">
        <f>"9783030886622"</f>
        <v>9783030886622</v>
      </c>
      <c r="E3169" t="s">
        <v>2289</v>
      </c>
      <c r="F3169" t="s">
        <v>2290</v>
      </c>
      <c r="G3169" s="1">
        <v>44533</v>
      </c>
      <c r="H3169" s="1">
        <v>44558</v>
      </c>
      <c r="I3169" t="s">
        <v>189</v>
      </c>
      <c r="L3169" t="s">
        <v>8683</v>
      </c>
    </row>
    <row r="3170" spans="1:40" x14ac:dyDescent="0.35">
      <c r="A3170">
        <v>6827725</v>
      </c>
      <c r="B3170" t="s">
        <v>8684</v>
      </c>
      <c r="C3170" t="str">
        <f>"9783030835811"</f>
        <v>9783030835811</v>
      </c>
      <c r="D3170" t="str">
        <f>"9783030835828"</f>
        <v>9783030835828</v>
      </c>
      <c r="E3170" t="s">
        <v>2289</v>
      </c>
      <c r="F3170" t="s">
        <v>2663</v>
      </c>
      <c r="G3170" s="1">
        <v>44533</v>
      </c>
      <c r="H3170" s="1">
        <v>44558</v>
      </c>
      <c r="I3170" t="s">
        <v>189</v>
      </c>
      <c r="K3170" t="s">
        <v>8685</v>
      </c>
      <c r="L3170" t="s">
        <v>8686</v>
      </c>
    </row>
    <row r="3171" spans="1:40" x14ac:dyDescent="0.35">
      <c r="A3171">
        <v>6827730</v>
      </c>
      <c r="B3171" t="s">
        <v>8687</v>
      </c>
      <c r="C3171" t="str">
        <f>"9783030912710"</f>
        <v>9783030912710</v>
      </c>
      <c r="D3171" t="str">
        <f>"9783030912727"</f>
        <v>9783030912727</v>
      </c>
      <c r="E3171" t="s">
        <v>2289</v>
      </c>
      <c r="F3171" t="s">
        <v>2663</v>
      </c>
      <c r="G3171" s="1">
        <v>44537</v>
      </c>
      <c r="H3171" s="1">
        <v>44558</v>
      </c>
      <c r="I3171" t="s">
        <v>189</v>
      </c>
      <c r="L3171" t="s">
        <v>8688</v>
      </c>
    </row>
    <row r="3172" spans="1:40" x14ac:dyDescent="0.35">
      <c r="A3172">
        <v>6827731</v>
      </c>
      <c r="B3172" t="s">
        <v>8689</v>
      </c>
      <c r="C3172" t="str">
        <f>"9783030785963"</f>
        <v>9783030785963</v>
      </c>
      <c r="D3172" t="str">
        <f>"9783030785970"</f>
        <v>9783030785970</v>
      </c>
      <c r="E3172" t="s">
        <v>2289</v>
      </c>
      <c r="F3172" t="s">
        <v>2290</v>
      </c>
      <c r="G3172" s="1">
        <v>44533</v>
      </c>
      <c r="H3172" s="1">
        <v>44558</v>
      </c>
      <c r="I3172" t="s">
        <v>189</v>
      </c>
      <c r="K3172" t="s">
        <v>4864</v>
      </c>
      <c r="L3172" t="s">
        <v>8690</v>
      </c>
    </row>
    <row r="3173" spans="1:40" x14ac:dyDescent="0.35">
      <c r="A3173">
        <v>6828233</v>
      </c>
      <c r="B3173" t="s">
        <v>8691</v>
      </c>
      <c r="C3173" t="str">
        <f>""</f>
        <v/>
      </c>
      <c r="D3173" t="str">
        <f>"9782759234684"</f>
        <v>9782759234684</v>
      </c>
      <c r="E3173" t="s">
        <v>1928</v>
      </c>
      <c r="F3173" t="s">
        <v>1928</v>
      </c>
      <c r="G3173" s="1">
        <v>44547</v>
      </c>
      <c r="H3173" s="1">
        <v>44558</v>
      </c>
      <c r="I3173" t="s">
        <v>189</v>
      </c>
      <c r="K3173" t="s">
        <v>7347</v>
      </c>
      <c r="L3173" t="s">
        <v>8692</v>
      </c>
    </row>
    <row r="3174" spans="1:40" x14ac:dyDescent="0.35">
      <c r="A3174">
        <v>6828248</v>
      </c>
      <c r="B3174" t="s">
        <v>8693</v>
      </c>
      <c r="C3174" t="str">
        <f>"9783030844509"</f>
        <v>9783030844509</v>
      </c>
      <c r="D3174" t="str">
        <f>"9783030844516"</f>
        <v>9783030844516</v>
      </c>
      <c r="E3174" t="s">
        <v>2289</v>
      </c>
      <c r="F3174" t="s">
        <v>2663</v>
      </c>
      <c r="G3174" s="1">
        <v>44547</v>
      </c>
      <c r="H3174" s="1">
        <v>44558</v>
      </c>
      <c r="I3174" t="s">
        <v>189</v>
      </c>
      <c r="K3174" t="s">
        <v>8694</v>
      </c>
      <c r="L3174" t="s">
        <v>8695</v>
      </c>
    </row>
    <row r="3175" spans="1:40" x14ac:dyDescent="0.35">
      <c r="A3175">
        <v>6828249</v>
      </c>
      <c r="B3175" t="s">
        <v>8696</v>
      </c>
      <c r="C3175" t="str">
        <f>"9783030790530"</f>
        <v>9783030790530</v>
      </c>
      <c r="D3175" t="str">
        <f>"9783030790547"</f>
        <v>9783030790547</v>
      </c>
      <c r="E3175" t="s">
        <v>2289</v>
      </c>
      <c r="F3175" t="s">
        <v>2663</v>
      </c>
      <c r="G3175" s="1">
        <v>44547</v>
      </c>
      <c r="H3175" s="1">
        <v>44558</v>
      </c>
      <c r="I3175" t="s">
        <v>189</v>
      </c>
      <c r="L3175" t="s">
        <v>8697</v>
      </c>
    </row>
    <row r="3176" spans="1:40" x14ac:dyDescent="0.35">
      <c r="A3176">
        <v>6828603</v>
      </c>
      <c r="B3176" t="s">
        <v>8698</v>
      </c>
      <c r="C3176" t="str">
        <f>""</f>
        <v/>
      </c>
      <c r="D3176" t="str">
        <f>"9789179291457"</f>
        <v>9789179291457</v>
      </c>
      <c r="E3176" t="s">
        <v>3642</v>
      </c>
      <c r="F3176" t="s">
        <v>3642</v>
      </c>
      <c r="G3176" s="1">
        <v>44539</v>
      </c>
      <c r="H3176" s="1">
        <v>44550</v>
      </c>
      <c r="I3176" t="s">
        <v>189</v>
      </c>
      <c r="J3176">
        <v>1</v>
      </c>
      <c r="L3176" t="s">
        <v>8699</v>
      </c>
      <c r="Q3176" t="s">
        <v>260</v>
      </c>
      <c r="R3176" t="s">
        <v>261</v>
      </c>
      <c r="S3176" t="s">
        <v>261</v>
      </c>
      <c r="T3176" t="s">
        <v>261</v>
      </c>
      <c r="U3176" t="s">
        <v>261</v>
      </c>
      <c r="V3176" t="s">
        <v>262</v>
      </c>
      <c r="W3176" t="s">
        <v>261</v>
      </c>
      <c r="X3176" t="s">
        <v>261</v>
      </c>
      <c r="Y3176" t="s">
        <v>261</v>
      </c>
      <c r="AD3176" t="s">
        <v>261</v>
      </c>
      <c r="AH3176" t="s">
        <v>262</v>
      </c>
      <c r="AI3176" t="s">
        <v>261</v>
      </c>
      <c r="AJ3176" t="s">
        <v>261</v>
      </c>
      <c r="AK3176" t="s">
        <v>261</v>
      </c>
      <c r="AM3176" t="s">
        <v>262</v>
      </c>
      <c r="AN3176" t="s">
        <v>8700</v>
      </c>
    </row>
    <row r="3177" spans="1:40" x14ac:dyDescent="0.35">
      <c r="A3177">
        <v>6837122</v>
      </c>
      <c r="B3177" t="s">
        <v>8701</v>
      </c>
      <c r="C3177" t="str">
        <f>""</f>
        <v/>
      </c>
      <c r="D3177" t="str">
        <f>"9789179291723"</f>
        <v>9789179291723</v>
      </c>
      <c r="E3177" t="s">
        <v>3642</v>
      </c>
      <c r="F3177" t="s">
        <v>3642</v>
      </c>
      <c r="G3177" s="1">
        <v>44540</v>
      </c>
      <c r="H3177" s="1">
        <v>44557</v>
      </c>
      <c r="I3177" t="s">
        <v>189</v>
      </c>
      <c r="J3177">
        <v>1</v>
      </c>
      <c r="L3177" t="s">
        <v>8702</v>
      </c>
      <c r="Q3177" t="s">
        <v>260</v>
      </c>
      <c r="R3177" t="s">
        <v>261</v>
      </c>
      <c r="S3177" t="s">
        <v>261</v>
      </c>
      <c r="T3177" t="s">
        <v>261</v>
      </c>
      <c r="U3177" t="s">
        <v>261</v>
      </c>
      <c r="V3177" t="s">
        <v>262</v>
      </c>
      <c r="W3177" t="s">
        <v>261</v>
      </c>
      <c r="X3177" t="s">
        <v>261</v>
      </c>
      <c r="Y3177" t="s">
        <v>261</v>
      </c>
      <c r="AD3177" t="s">
        <v>261</v>
      </c>
      <c r="AH3177" t="s">
        <v>262</v>
      </c>
      <c r="AI3177" t="s">
        <v>261</v>
      </c>
      <c r="AJ3177" t="s">
        <v>261</v>
      </c>
      <c r="AK3177" t="s">
        <v>261</v>
      </c>
      <c r="AM3177" t="s">
        <v>262</v>
      </c>
      <c r="AN3177" t="s">
        <v>8703</v>
      </c>
    </row>
    <row r="3178" spans="1:40" x14ac:dyDescent="0.35">
      <c r="A3178">
        <v>6837544</v>
      </c>
      <c r="B3178" t="s">
        <v>8704</v>
      </c>
      <c r="C3178" t="str">
        <f>"9789633864395"</f>
        <v>9789633864395</v>
      </c>
      <c r="D3178" t="str">
        <f>"9789633864401"</f>
        <v>9789633864401</v>
      </c>
      <c r="E3178" t="s">
        <v>1797</v>
      </c>
      <c r="F3178" t="s">
        <v>1797</v>
      </c>
      <c r="G3178" s="1">
        <v>44571</v>
      </c>
      <c r="H3178" s="1">
        <v>44567</v>
      </c>
      <c r="I3178" t="s">
        <v>189</v>
      </c>
      <c r="J3178">
        <v>1</v>
      </c>
      <c r="L3178" t="s">
        <v>8705</v>
      </c>
    </row>
    <row r="3179" spans="1:40" x14ac:dyDescent="0.35">
      <c r="A3179">
        <v>6838564</v>
      </c>
      <c r="B3179" t="s">
        <v>8706</v>
      </c>
      <c r="C3179" t="str">
        <f>"9783658360375"</f>
        <v>9783658360375</v>
      </c>
      <c r="D3179" t="str">
        <f>"9783658360382"</f>
        <v>9783658360382</v>
      </c>
      <c r="E3179" t="s">
        <v>3972</v>
      </c>
      <c r="F3179" t="s">
        <v>3998</v>
      </c>
      <c r="G3179" s="1">
        <v>44551</v>
      </c>
      <c r="H3179" s="1">
        <v>44567</v>
      </c>
      <c r="I3179" t="s">
        <v>189</v>
      </c>
      <c r="L3179" t="s">
        <v>8707</v>
      </c>
      <c r="M3179" t="s">
        <v>323</v>
      </c>
      <c r="N3179" t="s">
        <v>8708</v>
      </c>
      <c r="Q3179" t="s">
        <v>408</v>
      </c>
      <c r="R3179" t="s">
        <v>261</v>
      </c>
      <c r="S3179" t="s">
        <v>261</v>
      </c>
      <c r="T3179" t="s">
        <v>261</v>
      </c>
      <c r="U3179" t="s">
        <v>261</v>
      </c>
      <c r="V3179" t="s">
        <v>262</v>
      </c>
      <c r="W3179" t="s">
        <v>261</v>
      </c>
      <c r="X3179" t="s">
        <v>261</v>
      </c>
      <c r="Y3179" t="s">
        <v>261</v>
      </c>
      <c r="Z3179" t="s">
        <v>409</v>
      </c>
      <c r="AA3179" t="s">
        <v>409</v>
      </c>
      <c r="AB3179" t="s">
        <v>409</v>
      </c>
      <c r="AC3179" t="s">
        <v>409</v>
      </c>
      <c r="AD3179" t="s">
        <v>261</v>
      </c>
      <c r="AH3179" t="s">
        <v>262</v>
      </c>
      <c r="AI3179" t="s">
        <v>262</v>
      </c>
      <c r="AJ3179" t="s">
        <v>261</v>
      </c>
      <c r="AK3179" t="s">
        <v>261</v>
      </c>
      <c r="AM3179" t="s">
        <v>262</v>
      </c>
      <c r="AN3179" t="s">
        <v>8709</v>
      </c>
    </row>
    <row r="3180" spans="1:40" x14ac:dyDescent="0.35">
      <c r="A3180">
        <v>6838608</v>
      </c>
      <c r="B3180" t="s">
        <v>8710</v>
      </c>
      <c r="C3180" t="str">
        <f>"9783030840433"</f>
        <v>9783030840433</v>
      </c>
      <c r="D3180" t="str">
        <f>"9783030840440"</f>
        <v>9783030840440</v>
      </c>
      <c r="E3180" t="s">
        <v>2289</v>
      </c>
      <c r="F3180" t="s">
        <v>2290</v>
      </c>
      <c r="G3180" s="1">
        <v>44551</v>
      </c>
      <c r="H3180" s="1">
        <v>44567</v>
      </c>
      <c r="I3180" t="s">
        <v>189</v>
      </c>
      <c r="K3180" t="s">
        <v>8711</v>
      </c>
      <c r="L3180" t="s">
        <v>8712</v>
      </c>
    </row>
    <row r="3181" spans="1:40" x14ac:dyDescent="0.35">
      <c r="A3181">
        <v>6838610</v>
      </c>
      <c r="B3181" t="s">
        <v>4814</v>
      </c>
      <c r="C3181" t="str">
        <f>"9783030795146"</f>
        <v>9783030795146</v>
      </c>
      <c r="D3181" t="str">
        <f>"9783030795153"</f>
        <v>9783030795153</v>
      </c>
      <c r="E3181" t="s">
        <v>2289</v>
      </c>
      <c r="F3181" t="s">
        <v>2290</v>
      </c>
      <c r="G3181" s="1">
        <v>44551</v>
      </c>
      <c r="H3181" s="1">
        <v>44567</v>
      </c>
      <c r="I3181" t="s">
        <v>189</v>
      </c>
      <c r="J3181">
        <v>2</v>
      </c>
      <c r="L3181" t="s">
        <v>4815</v>
      </c>
    </row>
    <row r="3182" spans="1:40" x14ac:dyDescent="0.35">
      <c r="A3182">
        <v>6838640</v>
      </c>
      <c r="B3182" t="s">
        <v>8713</v>
      </c>
      <c r="C3182" t="str">
        <f>"9783658357634"</f>
        <v>9783658357634</v>
      </c>
      <c r="D3182" t="str">
        <f>"9783658357641"</f>
        <v>9783658357641</v>
      </c>
      <c r="E3182" t="s">
        <v>3972</v>
      </c>
      <c r="F3182" t="s">
        <v>3998</v>
      </c>
      <c r="G3182" s="1">
        <v>44553</v>
      </c>
      <c r="H3182" s="1">
        <v>44567</v>
      </c>
      <c r="I3182" t="s">
        <v>189</v>
      </c>
      <c r="L3182" t="s">
        <v>8714</v>
      </c>
    </row>
    <row r="3183" spans="1:40" x14ac:dyDescent="0.35">
      <c r="A3183">
        <v>6838680</v>
      </c>
      <c r="B3183" t="s">
        <v>8715</v>
      </c>
      <c r="C3183" t="str">
        <f>"9783030773625"</f>
        <v>9783030773625</v>
      </c>
      <c r="D3183" t="str">
        <f>"9783030773632"</f>
        <v>9783030773632</v>
      </c>
      <c r="E3183" t="s">
        <v>2289</v>
      </c>
      <c r="F3183" t="s">
        <v>2290</v>
      </c>
      <c r="G3183" s="1">
        <v>44552</v>
      </c>
      <c r="H3183" s="1">
        <v>44567</v>
      </c>
      <c r="I3183" t="s">
        <v>189</v>
      </c>
      <c r="K3183" t="s">
        <v>3379</v>
      </c>
      <c r="L3183" t="s">
        <v>8716</v>
      </c>
      <c r="M3183" t="s">
        <v>199</v>
      </c>
      <c r="N3183" t="s">
        <v>3381</v>
      </c>
      <c r="Q3183" t="s">
        <v>260</v>
      </c>
      <c r="R3183" t="s">
        <v>261</v>
      </c>
      <c r="S3183" t="s">
        <v>261</v>
      </c>
      <c r="T3183" t="s">
        <v>261</v>
      </c>
      <c r="U3183" t="s">
        <v>261</v>
      </c>
      <c r="V3183" t="s">
        <v>262</v>
      </c>
      <c r="W3183" t="s">
        <v>261</v>
      </c>
      <c r="X3183" t="s">
        <v>261</v>
      </c>
      <c r="Y3183" t="s">
        <v>261</v>
      </c>
      <c r="Z3183" t="s">
        <v>409</v>
      </c>
      <c r="AA3183" t="s">
        <v>409</v>
      </c>
      <c r="AB3183" t="s">
        <v>409</v>
      </c>
      <c r="AC3183" t="s">
        <v>409</v>
      </c>
      <c r="AD3183" t="s">
        <v>261</v>
      </c>
      <c r="AH3183" t="s">
        <v>262</v>
      </c>
      <c r="AI3183" t="s">
        <v>262</v>
      </c>
      <c r="AJ3183" t="s">
        <v>261</v>
      </c>
      <c r="AK3183" t="s">
        <v>261</v>
      </c>
      <c r="AM3183" t="s">
        <v>262</v>
      </c>
      <c r="AN3183" t="s">
        <v>8717</v>
      </c>
    </row>
    <row r="3184" spans="1:40" x14ac:dyDescent="0.35">
      <c r="A3184">
        <v>6838723</v>
      </c>
      <c r="B3184" t="s">
        <v>5905</v>
      </c>
      <c r="C3184" t="str">
        <f>"9783030859176"</f>
        <v>9783030859176</v>
      </c>
      <c r="D3184" t="str">
        <f>"9783030859183"</f>
        <v>9783030859183</v>
      </c>
      <c r="E3184" t="s">
        <v>2289</v>
      </c>
      <c r="F3184" t="s">
        <v>2290</v>
      </c>
      <c r="G3184" s="1">
        <v>44549</v>
      </c>
      <c r="H3184" s="1">
        <v>44567</v>
      </c>
      <c r="I3184" t="s">
        <v>189</v>
      </c>
      <c r="K3184" t="s">
        <v>4011</v>
      </c>
      <c r="L3184" t="s">
        <v>8718</v>
      </c>
      <c r="M3184" t="s">
        <v>847</v>
      </c>
    </row>
    <row r="3185" spans="1:40" x14ac:dyDescent="0.35">
      <c r="A3185">
        <v>6838776</v>
      </c>
      <c r="B3185" t="s">
        <v>8719</v>
      </c>
      <c r="C3185" t="str">
        <f>"9783030837792"</f>
        <v>9783030837792</v>
      </c>
      <c r="D3185" t="str">
        <f>"9783030837808"</f>
        <v>9783030837808</v>
      </c>
      <c r="E3185" t="s">
        <v>2289</v>
      </c>
      <c r="F3185" t="s">
        <v>2663</v>
      </c>
      <c r="G3185" s="1">
        <v>44548</v>
      </c>
      <c r="H3185" s="1">
        <v>44567</v>
      </c>
      <c r="I3185" t="s">
        <v>189</v>
      </c>
      <c r="J3185">
        <v>2</v>
      </c>
      <c r="L3185" t="s">
        <v>8720</v>
      </c>
    </row>
    <row r="3186" spans="1:40" x14ac:dyDescent="0.35">
      <c r="A3186">
        <v>6838799</v>
      </c>
      <c r="B3186" t="s">
        <v>8721</v>
      </c>
      <c r="C3186" t="str">
        <f>"9783662633250"</f>
        <v>9783662633250</v>
      </c>
      <c r="D3186" t="str">
        <f>"9783662633267"</f>
        <v>9783662633267</v>
      </c>
      <c r="E3186" t="s">
        <v>4047</v>
      </c>
      <c r="F3186" t="s">
        <v>2290</v>
      </c>
      <c r="G3186" s="1">
        <v>44591</v>
      </c>
      <c r="H3186" s="1">
        <v>44567</v>
      </c>
      <c r="I3186" t="s">
        <v>189</v>
      </c>
      <c r="L3186" t="s">
        <v>8722</v>
      </c>
    </row>
    <row r="3187" spans="1:40" x14ac:dyDescent="0.35">
      <c r="A3187">
        <v>6838834</v>
      </c>
      <c r="B3187" t="s">
        <v>8723</v>
      </c>
      <c r="C3187" t="str">
        <f>"9789811668104"</f>
        <v>9789811668104</v>
      </c>
      <c r="D3187" t="str">
        <f>"9789811668111"</f>
        <v>9789811668111</v>
      </c>
      <c r="E3187" t="s">
        <v>3404</v>
      </c>
      <c r="F3187" t="s">
        <v>2290</v>
      </c>
      <c r="G3187" s="1">
        <v>44560</v>
      </c>
      <c r="H3187" s="1">
        <v>44567</v>
      </c>
      <c r="I3187" t="s">
        <v>189</v>
      </c>
      <c r="K3187" t="s">
        <v>7445</v>
      </c>
      <c r="L3187" t="s">
        <v>8724</v>
      </c>
      <c r="M3187" t="s">
        <v>210</v>
      </c>
      <c r="N3187" t="s">
        <v>8725</v>
      </c>
      <c r="Q3187" t="s">
        <v>260</v>
      </c>
      <c r="R3187" t="s">
        <v>261</v>
      </c>
      <c r="S3187" t="s">
        <v>261</v>
      </c>
      <c r="T3187" t="s">
        <v>261</v>
      </c>
      <c r="U3187" t="s">
        <v>261</v>
      </c>
      <c r="V3187" t="s">
        <v>262</v>
      </c>
      <c r="W3187" t="s">
        <v>261</v>
      </c>
      <c r="X3187" t="s">
        <v>261</v>
      </c>
      <c r="Y3187" t="s">
        <v>261</v>
      </c>
      <c r="Z3187" t="s">
        <v>409</v>
      </c>
      <c r="AA3187" t="s">
        <v>409</v>
      </c>
      <c r="AB3187" t="s">
        <v>409</v>
      </c>
      <c r="AC3187" t="s">
        <v>409</v>
      </c>
      <c r="AD3187" t="s">
        <v>261</v>
      </c>
      <c r="AH3187" t="s">
        <v>262</v>
      </c>
      <c r="AI3187" t="s">
        <v>262</v>
      </c>
      <c r="AJ3187" t="s">
        <v>261</v>
      </c>
      <c r="AK3187" t="s">
        <v>261</v>
      </c>
      <c r="AM3187" t="s">
        <v>262</v>
      </c>
      <c r="AN3187" t="s">
        <v>8726</v>
      </c>
    </row>
    <row r="3188" spans="1:40" x14ac:dyDescent="0.35">
      <c r="A3188">
        <v>6838904</v>
      </c>
      <c r="B3188" t="s">
        <v>8727</v>
      </c>
      <c r="C3188" t="str">
        <f>"9783658346973"</f>
        <v>9783658346973</v>
      </c>
      <c r="D3188" t="str">
        <f>"9783658346980"</f>
        <v>9783658346980</v>
      </c>
      <c r="E3188" t="s">
        <v>3972</v>
      </c>
      <c r="F3188" t="s">
        <v>3998</v>
      </c>
      <c r="G3188" s="1">
        <v>44552</v>
      </c>
      <c r="H3188" s="1">
        <v>44567</v>
      </c>
      <c r="I3188" t="s">
        <v>189</v>
      </c>
      <c r="L3188" t="s">
        <v>8728</v>
      </c>
    </row>
    <row r="3189" spans="1:40" x14ac:dyDescent="0.35">
      <c r="A3189">
        <v>6838905</v>
      </c>
      <c r="B3189" t="s">
        <v>8729</v>
      </c>
      <c r="C3189" t="str">
        <f>"9789811649103"</f>
        <v>9789811649103</v>
      </c>
      <c r="D3189" t="str">
        <f>"9789811649110"</f>
        <v>9789811649110</v>
      </c>
      <c r="E3189" t="s">
        <v>3404</v>
      </c>
      <c r="F3189" t="s">
        <v>2663</v>
      </c>
      <c r="G3189" s="1">
        <v>44551</v>
      </c>
      <c r="H3189" s="1">
        <v>44567</v>
      </c>
      <c r="I3189" t="s">
        <v>189</v>
      </c>
      <c r="L3189" t="s">
        <v>8730</v>
      </c>
    </row>
    <row r="3190" spans="1:40" x14ac:dyDescent="0.35">
      <c r="A3190">
        <v>6838935</v>
      </c>
      <c r="B3190" t="s">
        <v>8731</v>
      </c>
      <c r="C3190" t="str">
        <f>"9789813342675"</f>
        <v>9789813342675</v>
      </c>
      <c r="D3190" t="str">
        <f>"9789813342682"</f>
        <v>9789813342682</v>
      </c>
      <c r="E3190" t="s">
        <v>3404</v>
      </c>
      <c r="F3190" t="s">
        <v>2290</v>
      </c>
      <c r="G3190" s="1">
        <v>44549</v>
      </c>
      <c r="H3190" s="1">
        <v>44567</v>
      </c>
      <c r="I3190" t="s">
        <v>189</v>
      </c>
      <c r="K3190" t="s">
        <v>5936</v>
      </c>
      <c r="L3190" t="s">
        <v>5937</v>
      </c>
    </row>
    <row r="3191" spans="1:40" x14ac:dyDescent="0.35">
      <c r="A3191">
        <v>6838944</v>
      </c>
      <c r="B3191" t="s">
        <v>8732</v>
      </c>
      <c r="C3191" t="str">
        <f>"9783030740313"</f>
        <v>9783030740313</v>
      </c>
      <c r="D3191" t="str">
        <f>"9783030740320"</f>
        <v>9783030740320</v>
      </c>
      <c r="E3191" t="s">
        <v>2289</v>
      </c>
      <c r="F3191" t="s">
        <v>2290</v>
      </c>
      <c r="G3191" s="1">
        <v>44550</v>
      </c>
      <c r="H3191" s="1">
        <v>44567</v>
      </c>
      <c r="I3191" t="s">
        <v>189</v>
      </c>
      <c r="L3191" t="s">
        <v>8733</v>
      </c>
    </row>
    <row r="3192" spans="1:40" x14ac:dyDescent="0.35">
      <c r="A3192">
        <v>6838959</v>
      </c>
      <c r="B3192" t="s">
        <v>8734</v>
      </c>
      <c r="C3192" t="str">
        <f>"9789811647987"</f>
        <v>9789811647987</v>
      </c>
      <c r="D3192" t="str">
        <f>"9789811647994"</f>
        <v>9789811647994</v>
      </c>
      <c r="E3192" t="s">
        <v>3404</v>
      </c>
      <c r="F3192" t="s">
        <v>2290</v>
      </c>
      <c r="G3192" s="1">
        <v>44552</v>
      </c>
      <c r="H3192" s="1">
        <v>44567</v>
      </c>
      <c r="I3192" t="s">
        <v>189</v>
      </c>
      <c r="L3192" t="s">
        <v>8735</v>
      </c>
      <c r="M3192" t="s">
        <v>964</v>
      </c>
      <c r="N3192" t="s">
        <v>8676</v>
      </c>
      <c r="Q3192" t="s">
        <v>260</v>
      </c>
      <c r="R3192" t="s">
        <v>261</v>
      </c>
      <c r="S3192" t="s">
        <v>261</v>
      </c>
      <c r="T3192" t="s">
        <v>261</v>
      </c>
      <c r="U3192" t="s">
        <v>261</v>
      </c>
      <c r="V3192" t="s">
        <v>262</v>
      </c>
      <c r="W3192" t="s">
        <v>261</v>
      </c>
      <c r="X3192" t="s">
        <v>261</v>
      </c>
      <c r="Y3192" t="s">
        <v>261</v>
      </c>
      <c r="Z3192" t="s">
        <v>409</v>
      </c>
      <c r="AA3192" t="s">
        <v>409</v>
      </c>
      <c r="AB3192" t="s">
        <v>409</v>
      </c>
      <c r="AC3192" t="s">
        <v>409</v>
      </c>
      <c r="AD3192" t="s">
        <v>261</v>
      </c>
      <c r="AH3192" t="s">
        <v>262</v>
      </c>
      <c r="AI3192" t="s">
        <v>262</v>
      </c>
      <c r="AJ3192" t="s">
        <v>261</v>
      </c>
      <c r="AK3192" t="s">
        <v>261</v>
      </c>
      <c r="AM3192" t="s">
        <v>262</v>
      </c>
      <c r="AN3192" t="s">
        <v>8736</v>
      </c>
    </row>
    <row r="3193" spans="1:40" x14ac:dyDescent="0.35">
      <c r="A3193">
        <v>6840130</v>
      </c>
      <c r="B3193" t="s">
        <v>8737</v>
      </c>
      <c r="C3193" t="str">
        <f>"9783030846466"</f>
        <v>9783030846466</v>
      </c>
      <c r="D3193" t="str">
        <f>"9783030846473"</f>
        <v>9783030846473</v>
      </c>
      <c r="E3193" t="s">
        <v>2289</v>
      </c>
      <c r="F3193" t="s">
        <v>2290</v>
      </c>
      <c r="G3193" s="1">
        <v>44603</v>
      </c>
      <c r="H3193" s="1">
        <v>44571</v>
      </c>
      <c r="I3193" t="s">
        <v>189</v>
      </c>
      <c r="K3193" t="s">
        <v>8738</v>
      </c>
      <c r="L3193" t="s">
        <v>8739</v>
      </c>
    </row>
    <row r="3194" spans="1:40" x14ac:dyDescent="0.35">
      <c r="A3194">
        <v>6840137</v>
      </c>
      <c r="B3194" t="s">
        <v>8740</v>
      </c>
      <c r="C3194" t="str">
        <f>"9783030752620"</f>
        <v>9783030752620</v>
      </c>
      <c r="D3194" t="str">
        <f>"9783030752637"</f>
        <v>9783030752637</v>
      </c>
      <c r="E3194" t="s">
        <v>2289</v>
      </c>
      <c r="F3194" t="s">
        <v>2663</v>
      </c>
      <c r="G3194" s="1">
        <v>44596</v>
      </c>
      <c r="H3194" s="1">
        <v>44571</v>
      </c>
      <c r="I3194" t="s">
        <v>189</v>
      </c>
      <c r="L3194" t="s">
        <v>8741</v>
      </c>
    </row>
    <row r="3195" spans="1:40" x14ac:dyDescent="0.35">
      <c r="A3195">
        <v>6840154</v>
      </c>
      <c r="B3195" t="s">
        <v>8742</v>
      </c>
      <c r="C3195" t="str">
        <f>"9783030784393"</f>
        <v>9783030784393</v>
      </c>
      <c r="D3195" t="str">
        <f>"9783030784409"</f>
        <v>9783030784409</v>
      </c>
      <c r="E3195" t="s">
        <v>2289</v>
      </c>
      <c r="F3195" t="s">
        <v>2663</v>
      </c>
      <c r="G3195" s="1">
        <v>44565</v>
      </c>
      <c r="H3195" s="1">
        <v>44571</v>
      </c>
      <c r="I3195" t="s">
        <v>189</v>
      </c>
      <c r="K3195" t="s">
        <v>8743</v>
      </c>
      <c r="L3195" t="s">
        <v>8744</v>
      </c>
    </row>
    <row r="3196" spans="1:40" x14ac:dyDescent="0.35">
      <c r="A3196">
        <v>6840160</v>
      </c>
      <c r="B3196" t="s">
        <v>8745</v>
      </c>
      <c r="C3196" t="str">
        <f>"9789811680434"</f>
        <v>9789811680434</v>
      </c>
      <c r="D3196" t="str">
        <f>"9789811680441"</f>
        <v>9789811680441</v>
      </c>
      <c r="E3196" t="s">
        <v>2290</v>
      </c>
      <c r="F3196" t="s">
        <v>2290</v>
      </c>
      <c r="G3196" s="1">
        <v>44565</v>
      </c>
      <c r="H3196" s="1">
        <v>44571</v>
      </c>
      <c r="I3196" t="s">
        <v>189</v>
      </c>
      <c r="K3196" t="s">
        <v>8746</v>
      </c>
      <c r="L3196" t="s">
        <v>8747</v>
      </c>
    </row>
    <row r="3197" spans="1:40" x14ac:dyDescent="0.35">
      <c r="A3197">
        <v>6841090</v>
      </c>
      <c r="B3197" t="s">
        <v>8748</v>
      </c>
      <c r="C3197" t="str">
        <f>"9783030853211"</f>
        <v>9783030853211</v>
      </c>
      <c r="D3197" t="str">
        <f>"9783030853228"</f>
        <v>9783030853228</v>
      </c>
      <c r="E3197" t="s">
        <v>2289</v>
      </c>
      <c r="F3197" t="s">
        <v>2290</v>
      </c>
      <c r="G3197" s="1">
        <v>44592</v>
      </c>
      <c r="H3197" s="1">
        <v>44571</v>
      </c>
      <c r="I3197" t="s">
        <v>189</v>
      </c>
      <c r="K3197" t="s">
        <v>4871</v>
      </c>
      <c r="L3197" t="s">
        <v>8749</v>
      </c>
      <c r="M3197" t="s">
        <v>964</v>
      </c>
      <c r="N3197" t="s">
        <v>8750</v>
      </c>
      <c r="Q3197" t="s">
        <v>260</v>
      </c>
      <c r="R3197" t="s">
        <v>261</v>
      </c>
      <c r="S3197" t="s">
        <v>261</v>
      </c>
      <c r="T3197" t="s">
        <v>261</v>
      </c>
      <c r="U3197" t="s">
        <v>261</v>
      </c>
      <c r="V3197" t="s">
        <v>262</v>
      </c>
      <c r="W3197" t="s">
        <v>261</v>
      </c>
      <c r="X3197" t="s">
        <v>261</v>
      </c>
      <c r="Y3197" t="s">
        <v>261</v>
      </c>
      <c r="Z3197" t="s">
        <v>409</v>
      </c>
      <c r="AA3197" t="s">
        <v>409</v>
      </c>
      <c r="AB3197" t="s">
        <v>409</v>
      </c>
      <c r="AC3197" t="s">
        <v>409</v>
      </c>
      <c r="AD3197" t="s">
        <v>261</v>
      </c>
      <c r="AH3197" t="s">
        <v>262</v>
      </c>
      <c r="AI3197" t="s">
        <v>262</v>
      </c>
      <c r="AJ3197" t="s">
        <v>261</v>
      </c>
      <c r="AK3197" t="s">
        <v>261</v>
      </c>
      <c r="AM3197" t="s">
        <v>262</v>
      </c>
      <c r="AN3197" t="s">
        <v>8751</v>
      </c>
    </row>
    <row r="3198" spans="1:40" x14ac:dyDescent="0.35">
      <c r="A3198">
        <v>6845970</v>
      </c>
      <c r="B3198" t="s">
        <v>8752</v>
      </c>
      <c r="C3198" t="str">
        <f>"9783030947507"</f>
        <v>9783030947507</v>
      </c>
      <c r="D3198" t="str">
        <f>"9783030947514"</f>
        <v>9783030947514</v>
      </c>
      <c r="E3198" t="s">
        <v>2289</v>
      </c>
      <c r="F3198" t="s">
        <v>2290</v>
      </c>
      <c r="G3198" s="1">
        <v>44603</v>
      </c>
      <c r="H3198" s="1">
        <v>44571</v>
      </c>
      <c r="I3198" t="s">
        <v>189</v>
      </c>
      <c r="L3198" t="s">
        <v>8753</v>
      </c>
    </row>
    <row r="3199" spans="1:40" x14ac:dyDescent="0.35">
      <c r="A3199">
        <v>6845974</v>
      </c>
      <c r="B3199" t="s">
        <v>8754</v>
      </c>
      <c r="C3199" t="str">
        <f>"9783030678173"</f>
        <v>9783030678173</v>
      </c>
      <c r="D3199" t="str">
        <f>"9783030678180"</f>
        <v>9783030678180</v>
      </c>
      <c r="E3199" t="s">
        <v>2289</v>
      </c>
      <c r="F3199" t="s">
        <v>2663</v>
      </c>
      <c r="G3199" s="1">
        <v>44569</v>
      </c>
      <c r="H3199" s="1">
        <v>44571</v>
      </c>
      <c r="I3199" t="s">
        <v>189</v>
      </c>
      <c r="L3199" t="s">
        <v>8755</v>
      </c>
      <c r="M3199" t="s">
        <v>210</v>
      </c>
    </row>
    <row r="3200" spans="1:40" x14ac:dyDescent="0.35">
      <c r="A3200">
        <v>6845980</v>
      </c>
      <c r="B3200" t="s">
        <v>8756</v>
      </c>
      <c r="C3200" t="str">
        <f>"9783030701307"</f>
        <v>9783030701307</v>
      </c>
      <c r="D3200" t="str">
        <f>"9783030701314"</f>
        <v>9783030701314</v>
      </c>
      <c r="E3200" t="s">
        <v>2289</v>
      </c>
      <c r="F3200" t="s">
        <v>2663</v>
      </c>
      <c r="G3200" s="1">
        <v>44569</v>
      </c>
      <c r="H3200" s="1">
        <v>44571</v>
      </c>
      <c r="I3200" t="s">
        <v>189</v>
      </c>
      <c r="K3200" t="s">
        <v>8757</v>
      </c>
      <c r="L3200" t="s">
        <v>8758</v>
      </c>
      <c r="M3200" t="s">
        <v>1191</v>
      </c>
    </row>
    <row r="3201" spans="1:40" x14ac:dyDescent="0.35">
      <c r="A3201">
        <v>6846445</v>
      </c>
      <c r="B3201" t="s">
        <v>8759</v>
      </c>
      <c r="C3201" t="str">
        <f>"9789633863800"</f>
        <v>9789633863800</v>
      </c>
      <c r="D3201" t="str">
        <f>"9789633863817"</f>
        <v>9789633863817</v>
      </c>
      <c r="E3201" t="s">
        <v>1797</v>
      </c>
      <c r="F3201" t="s">
        <v>1797</v>
      </c>
      <c r="G3201" s="1">
        <v>44607</v>
      </c>
      <c r="H3201" s="1">
        <v>44572</v>
      </c>
      <c r="I3201" t="s">
        <v>189</v>
      </c>
      <c r="J3201">
        <v>1</v>
      </c>
      <c r="K3201" t="s">
        <v>8328</v>
      </c>
      <c r="L3201" t="s">
        <v>8760</v>
      </c>
      <c r="M3201" t="s">
        <v>239</v>
      </c>
      <c r="Q3201" t="s">
        <v>260</v>
      </c>
      <c r="R3201" t="s">
        <v>261</v>
      </c>
      <c r="S3201" t="s">
        <v>261</v>
      </c>
      <c r="T3201" t="s">
        <v>261</v>
      </c>
      <c r="U3201" t="s">
        <v>261</v>
      </c>
      <c r="V3201" t="s">
        <v>262</v>
      </c>
      <c r="W3201" t="s">
        <v>261</v>
      </c>
      <c r="X3201" t="s">
        <v>261</v>
      </c>
      <c r="Y3201" t="s">
        <v>261</v>
      </c>
      <c r="AC3201" t="s">
        <v>409</v>
      </c>
      <c r="AD3201" t="s">
        <v>261</v>
      </c>
      <c r="AH3201" t="s">
        <v>262</v>
      </c>
      <c r="AI3201" t="s">
        <v>262</v>
      </c>
      <c r="AJ3201" t="s">
        <v>261</v>
      </c>
      <c r="AK3201" t="s">
        <v>261</v>
      </c>
      <c r="AM3201" t="s">
        <v>262</v>
      </c>
      <c r="AN3201" t="s">
        <v>8761</v>
      </c>
    </row>
    <row r="3202" spans="1:40" x14ac:dyDescent="0.35">
      <c r="A3202">
        <v>6846891</v>
      </c>
      <c r="B3202" t="s">
        <v>8762</v>
      </c>
      <c r="C3202" t="str">
        <f>"9780472038916"</f>
        <v>9780472038916</v>
      </c>
      <c r="D3202" t="str">
        <f>"9780472902644"</f>
        <v>9780472902644</v>
      </c>
      <c r="E3202" t="s">
        <v>2090</v>
      </c>
      <c r="F3202" t="s">
        <v>2090</v>
      </c>
      <c r="G3202" s="1">
        <v>44566</v>
      </c>
      <c r="H3202" s="1">
        <v>44574</v>
      </c>
      <c r="I3202" t="s">
        <v>189</v>
      </c>
      <c r="L3202" t="s">
        <v>8763</v>
      </c>
    </row>
    <row r="3203" spans="1:40" x14ac:dyDescent="0.35">
      <c r="A3203">
        <v>6850455</v>
      </c>
      <c r="B3203" t="s">
        <v>8764</v>
      </c>
      <c r="C3203" t="str">
        <f>"9783658364106"</f>
        <v>9783658364106</v>
      </c>
      <c r="D3203" t="str">
        <f>"9783658364113"</f>
        <v>9783658364113</v>
      </c>
      <c r="E3203" t="s">
        <v>3972</v>
      </c>
      <c r="F3203" t="s">
        <v>3972</v>
      </c>
      <c r="G3203" s="1">
        <v>44601</v>
      </c>
      <c r="H3203" s="1">
        <v>44574</v>
      </c>
      <c r="I3203" t="s">
        <v>189</v>
      </c>
      <c r="L3203" t="s">
        <v>8765</v>
      </c>
    </row>
    <row r="3204" spans="1:40" x14ac:dyDescent="0.35">
      <c r="A3204">
        <v>6850469</v>
      </c>
      <c r="B3204" t="s">
        <v>8766</v>
      </c>
      <c r="C3204" t="str">
        <f>"9783030780623"</f>
        <v>9783030780623</v>
      </c>
      <c r="D3204" t="str">
        <f>"9783030780630"</f>
        <v>9783030780630</v>
      </c>
      <c r="E3204" t="s">
        <v>2289</v>
      </c>
      <c r="F3204" t="s">
        <v>2290</v>
      </c>
      <c r="G3204" s="1">
        <v>44596</v>
      </c>
      <c r="H3204" s="1">
        <v>44574</v>
      </c>
      <c r="I3204" t="s">
        <v>189</v>
      </c>
      <c r="K3204" t="s">
        <v>6083</v>
      </c>
      <c r="L3204" t="s">
        <v>8767</v>
      </c>
    </row>
    <row r="3205" spans="1:40" x14ac:dyDescent="0.35">
      <c r="A3205">
        <v>6850554</v>
      </c>
      <c r="B3205" t="s">
        <v>8768</v>
      </c>
      <c r="C3205" t="str">
        <f>"9781800642676"</f>
        <v>9781800642676</v>
      </c>
      <c r="D3205" t="str">
        <f>"9781800642683"</f>
        <v>9781800642683</v>
      </c>
      <c r="E3205" t="s">
        <v>1807</v>
      </c>
      <c r="F3205" t="s">
        <v>1807</v>
      </c>
      <c r="G3205" s="1">
        <v>44545</v>
      </c>
      <c r="H3205" s="1">
        <v>44573</v>
      </c>
      <c r="I3205" t="s">
        <v>189</v>
      </c>
      <c r="J3205">
        <v>1</v>
      </c>
      <c r="L3205" t="s">
        <v>8769</v>
      </c>
      <c r="M3205" t="s">
        <v>323</v>
      </c>
    </row>
    <row r="3206" spans="1:40" x14ac:dyDescent="0.35">
      <c r="A3206">
        <v>6850555</v>
      </c>
      <c r="B3206" t="s">
        <v>8770</v>
      </c>
      <c r="C3206" t="str">
        <f>"9781800642973"</f>
        <v>9781800642973</v>
      </c>
      <c r="D3206" t="str">
        <f>"9781800642980"</f>
        <v>9781800642980</v>
      </c>
      <c r="E3206" t="s">
        <v>1807</v>
      </c>
      <c r="F3206" t="s">
        <v>1807</v>
      </c>
      <c r="G3206" s="1">
        <v>44536</v>
      </c>
      <c r="H3206" s="1">
        <v>44573</v>
      </c>
      <c r="I3206" t="s">
        <v>189</v>
      </c>
      <c r="J3206">
        <v>1</v>
      </c>
      <c r="K3206" t="s">
        <v>3667</v>
      </c>
      <c r="L3206" t="s">
        <v>8771</v>
      </c>
      <c r="M3206" t="s">
        <v>389</v>
      </c>
    </row>
    <row r="3207" spans="1:40" x14ac:dyDescent="0.35">
      <c r="A3207">
        <v>6850556</v>
      </c>
      <c r="B3207" t="s">
        <v>8772</v>
      </c>
      <c r="C3207" t="str">
        <f>"9781800643215"</f>
        <v>9781800643215</v>
      </c>
      <c r="D3207" t="str">
        <f>"9781800643222"</f>
        <v>9781800643222</v>
      </c>
      <c r="E3207" t="s">
        <v>1807</v>
      </c>
      <c r="F3207" t="s">
        <v>1807</v>
      </c>
      <c r="G3207" s="1">
        <v>44545</v>
      </c>
      <c r="H3207" s="1">
        <v>44573</v>
      </c>
      <c r="I3207" t="s">
        <v>189</v>
      </c>
      <c r="J3207">
        <v>1</v>
      </c>
      <c r="L3207" t="s">
        <v>8773</v>
      </c>
      <c r="M3207" t="s">
        <v>219</v>
      </c>
      <c r="Q3207" t="s">
        <v>260</v>
      </c>
      <c r="R3207" t="s">
        <v>261</v>
      </c>
      <c r="S3207" t="s">
        <v>261</v>
      </c>
      <c r="T3207" t="s">
        <v>261</v>
      </c>
      <c r="U3207" t="s">
        <v>261</v>
      </c>
      <c r="V3207" t="s">
        <v>262</v>
      </c>
      <c r="W3207" t="s">
        <v>261</v>
      </c>
      <c r="X3207" t="s">
        <v>261</v>
      </c>
      <c r="Y3207" t="s">
        <v>261</v>
      </c>
      <c r="AC3207" t="s">
        <v>409</v>
      </c>
      <c r="AD3207" t="s">
        <v>261</v>
      </c>
      <c r="AH3207" t="s">
        <v>262</v>
      </c>
      <c r="AI3207" t="s">
        <v>262</v>
      </c>
      <c r="AJ3207" t="s">
        <v>261</v>
      </c>
      <c r="AK3207" t="s">
        <v>261</v>
      </c>
      <c r="AM3207" t="s">
        <v>262</v>
      </c>
      <c r="AN3207" t="s">
        <v>8774</v>
      </c>
    </row>
    <row r="3208" spans="1:40" x14ac:dyDescent="0.35">
      <c r="A3208">
        <v>6852152</v>
      </c>
      <c r="B3208" t="s">
        <v>8775</v>
      </c>
      <c r="C3208" t="str">
        <f>"9783030845131"</f>
        <v>9783030845131</v>
      </c>
      <c r="D3208" t="str">
        <f>"9783030845148"</f>
        <v>9783030845148</v>
      </c>
      <c r="E3208" t="s">
        <v>2289</v>
      </c>
      <c r="F3208" t="s">
        <v>2290</v>
      </c>
      <c r="G3208" s="1">
        <v>44573</v>
      </c>
      <c r="H3208" s="1">
        <v>44582</v>
      </c>
      <c r="I3208" t="s">
        <v>189</v>
      </c>
      <c r="K3208" t="s">
        <v>8776</v>
      </c>
      <c r="L3208" t="s">
        <v>8777</v>
      </c>
    </row>
    <row r="3209" spans="1:40" x14ac:dyDescent="0.35">
      <c r="A3209">
        <v>6852900</v>
      </c>
      <c r="B3209" t="s">
        <v>8778</v>
      </c>
      <c r="C3209" t="str">
        <f>"9789027210784"</f>
        <v>9789027210784</v>
      </c>
      <c r="D3209" t="str">
        <f>"9789027258168"</f>
        <v>9789027258168</v>
      </c>
      <c r="E3209" t="s">
        <v>1372</v>
      </c>
      <c r="F3209" t="s">
        <v>1372</v>
      </c>
      <c r="G3209" s="1">
        <v>44601</v>
      </c>
      <c r="H3209" s="1">
        <v>44582</v>
      </c>
      <c r="I3209" t="s">
        <v>189</v>
      </c>
      <c r="J3209">
        <v>1</v>
      </c>
      <c r="K3209" t="s">
        <v>8779</v>
      </c>
      <c r="L3209" t="s">
        <v>8780</v>
      </c>
    </row>
    <row r="3210" spans="1:40" x14ac:dyDescent="0.35">
      <c r="A3210">
        <v>6854483</v>
      </c>
      <c r="B3210" t="s">
        <v>8781</v>
      </c>
      <c r="C3210" t="str">
        <f>"9783030788520"</f>
        <v>9783030788520</v>
      </c>
      <c r="D3210" t="str">
        <f>"9783030788537"</f>
        <v>9783030788537</v>
      </c>
      <c r="E3210" t="s">
        <v>2289</v>
      </c>
      <c r="F3210" t="s">
        <v>2290</v>
      </c>
      <c r="G3210" s="1">
        <v>44610</v>
      </c>
      <c r="H3210" s="1">
        <v>44582</v>
      </c>
      <c r="I3210" t="s">
        <v>189</v>
      </c>
      <c r="K3210" t="s">
        <v>8685</v>
      </c>
      <c r="L3210" t="s">
        <v>8782</v>
      </c>
    </row>
    <row r="3211" spans="1:40" x14ac:dyDescent="0.35">
      <c r="A3211">
        <v>6854734</v>
      </c>
      <c r="B3211" t="s">
        <v>8783</v>
      </c>
      <c r="C3211" t="str">
        <f>"9783658363673"</f>
        <v>9783658363673</v>
      </c>
      <c r="D3211" t="str">
        <f>"9783658363680"</f>
        <v>9783658363680</v>
      </c>
      <c r="E3211" t="s">
        <v>3972</v>
      </c>
      <c r="F3211" t="s">
        <v>3998</v>
      </c>
      <c r="G3211" s="1">
        <v>44575</v>
      </c>
      <c r="H3211" s="1">
        <v>44582</v>
      </c>
      <c r="I3211" t="s">
        <v>189</v>
      </c>
      <c r="L3211" t="s">
        <v>8784</v>
      </c>
      <c r="M3211" t="s">
        <v>329</v>
      </c>
      <c r="N3211" t="s">
        <v>8785</v>
      </c>
      <c r="Q3211" t="s">
        <v>408</v>
      </c>
      <c r="R3211" t="s">
        <v>261</v>
      </c>
      <c r="S3211" t="s">
        <v>261</v>
      </c>
      <c r="T3211" t="s">
        <v>261</v>
      </c>
      <c r="U3211" t="s">
        <v>261</v>
      </c>
      <c r="V3211" t="s">
        <v>262</v>
      </c>
      <c r="W3211" t="s">
        <v>261</v>
      </c>
      <c r="X3211" t="s">
        <v>261</v>
      </c>
      <c r="Y3211" t="s">
        <v>261</v>
      </c>
      <c r="Z3211" t="s">
        <v>409</v>
      </c>
      <c r="AA3211" t="s">
        <v>409</v>
      </c>
      <c r="AB3211" t="s">
        <v>409</v>
      </c>
      <c r="AC3211" t="s">
        <v>409</v>
      </c>
      <c r="AD3211" t="s">
        <v>261</v>
      </c>
      <c r="AH3211" t="s">
        <v>262</v>
      </c>
      <c r="AI3211" t="s">
        <v>262</v>
      </c>
      <c r="AJ3211" t="s">
        <v>261</v>
      </c>
      <c r="AK3211" t="s">
        <v>261</v>
      </c>
      <c r="AM3211" t="s">
        <v>262</v>
      </c>
      <c r="AN3211" t="s">
        <v>8786</v>
      </c>
    </row>
    <row r="3212" spans="1:40" x14ac:dyDescent="0.35">
      <c r="A3212">
        <v>6854864</v>
      </c>
      <c r="B3212" t="s">
        <v>8787</v>
      </c>
      <c r="C3212" t="str">
        <f>"9783662646328"</f>
        <v>9783662646328</v>
      </c>
      <c r="D3212" t="str">
        <f>"9783662646335"</f>
        <v>9783662646335</v>
      </c>
      <c r="E3212" t="s">
        <v>5118</v>
      </c>
      <c r="F3212" t="s">
        <v>5118</v>
      </c>
      <c r="G3212" s="1">
        <v>44606</v>
      </c>
      <c r="H3212" s="1">
        <v>44582</v>
      </c>
      <c r="I3212" t="s">
        <v>189</v>
      </c>
      <c r="L3212" t="s">
        <v>8788</v>
      </c>
      <c r="M3212" t="s">
        <v>249</v>
      </c>
      <c r="N3212" t="s">
        <v>8789</v>
      </c>
      <c r="Q3212" t="s">
        <v>408</v>
      </c>
      <c r="R3212" t="s">
        <v>261</v>
      </c>
      <c r="S3212" t="s">
        <v>261</v>
      </c>
      <c r="T3212" t="s">
        <v>261</v>
      </c>
      <c r="U3212" t="s">
        <v>261</v>
      </c>
      <c r="V3212" t="s">
        <v>262</v>
      </c>
      <c r="W3212" t="s">
        <v>261</v>
      </c>
      <c r="X3212" t="s">
        <v>261</v>
      </c>
      <c r="Y3212" t="s">
        <v>261</v>
      </c>
      <c r="Z3212" t="s">
        <v>409</v>
      </c>
      <c r="AA3212" t="s">
        <v>409</v>
      </c>
      <c r="AB3212" t="s">
        <v>409</v>
      </c>
      <c r="AC3212" t="s">
        <v>409</v>
      </c>
      <c r="AD3212" t="s">
        <v>261</v>
      </c>
      <c r="AH3212" t="s">
        <v>262</v>
      </c>
      <c r="AI3212" t="s">
        <v>262</v>
      </c>
      <c r="AJ3212" t="s">
        <v>261</v>
      </c>
      <c r="AK3212" t="s">
        <v>261</v>
      </c>
      <c r="AM3212" t="s">
        <v>262</v>
      </c>
      <c r="AN3212" t="s">
        <v>8790</v>
      </c>
    </row>
    <row r="3213" spans="1:40" x14ac:dyDescent="0.35">
      <c r="A3213">
        <v>6855260</v>
      </c>
      <c r="B3213" t="s">
        <v>8791</v>
      </c>
      <c r="C3213" t="str">
        <f>"9783030890094"</f>
        <v>9783030890094</v>
      </c>
      <c r="D3213" t="str">
        <f>"9783030890100"</f>
        <v>9783030890100</v>
      </c>
      <c r="E3213" t="s">
        <v>2289</v>
      </c>
      <c r="F3213" t="s">
        <v>2290</v>
      </c>
      <c r="G3213" s="1">
        <v>44575</v>
      </c>
      <c r="H3213" s="1">
        <v>44582</v>
      </c>
      <c r="I3213" t="s">
        <v>189</v>
      </c>
      <c r="L3213" t="s">
        <v>8792</v>
      </c>
    </row>
    <row r="3214" spans="1:40" x14ac:dyDescent="0.35">
      <c r="A3214">
        <v>6855292</v>
      </c>
      <c r="B3214" t="s">
        <v>8793</v>
      </c>
      <c r="C3214" t="str">
        <f>"9783658361600"</f>
        <v>9783658361600</v>
      </c>
      <c r="D3214" t="str">
        <f>"9783658361617"</f>
        <v>9783658361617</v>
      </c>
      <c r="E3214" t="s">
        <v>3972</v>
      </c>
      <c r="F3214" t="s">
        <v>3998</v>
      </c>
      <c r="G3214" s="1">
        <v>44575</v>
      </c>
      <c r="H3214" s="1">
        <v>44582</v>
      </c>
      <c r="I3214" t="s">
        <v>189</v>
      </c>
      <c r="K3214" t="s">
        <v>8794</v>
      </c>
      <c r="L3214" t="s">
        <v>8795</v>
      </c>
      <c r="M3214" t="s">
        <v>578</v>
      </c>
      <c r="N3214" t="s">
        <v>781</v>
      </c>
      <c r="Q3214" t="s">
        <v>408</v>
      </c>
      <c r="R3214" t="s">
        <v>261</v>
      </c>
      <c r="S3214" t="s">
        <v>261</v>
      </c>
      <c r="T3214" t="s">
        <v>261</v>
      </c>
      <c r="U3214" t="s">
        <v>261</v>
      </c>
      <c r="V3214" t="s">
        <v>262</v>
      </c>
      <c r="W3214" t="s">
        <v>261</v>
      </c>
      <c r="X3214" t="s">
        <v>261</v>
      </c>
      <c r="Y3214" t="s">
        <v>261</v>
      </c>
      <c r="Z3214" t="s">
        <v>409</v>
      </c>
      <c r="AA3214" t="s">
        <v>409</v>
      </c>
      <c r="AB3214" t="s">
        <v>409</v>
      </c>
      <c r="AC3214" t="s">
        <v>409</v>
      </c>
      <c r="AD3214" t="s">
        <v>261</v>
      </c>
      <c r="AH3214" t="s">
        <v>262</v>
      </c>
      <c r="AI3214" t="s">
        <v>262</v>
      </c>
      <c r="AJ3214" t="s">
        <v>261</v>
      </c>
      <c r="AK3214" t="s">
        <v>261</v>
      </c>
      <c r="AM3214" t="s">
        <v>262</v>
      </c>
      <c r="AN3214" t="s">
        <v>8796</v>
      </c>
    </row>
    <row r="3215" spans="1:40" x14ac:dyDescent="0.35">
      <c r="A3215">
        <v>6855517</v>
      </c>
      <c r="B3215" t="s">
        <v>8797</v>
      </c>
      <c r="C3215" t="str">
        <f>"9783030885083"</f>
        <v>9783030885083</v>
      </c>
      <c r="D3215" t="str">
        <f>"9783030885090"</f>
        <v>9783030885090</v>
      </c>
      <c r="E3215" t="s">
        <v>2289</v>
      </c>
      <c r="F3215" t="s">
        <v>2663</v>
      </c>
      <c r="G3215" s="1">
        <v>44574</v>
      </c>
      <c r="H3215" s="1">
        <v>44582</v>
      </c>
      <c r="I3215" t="s">
        <v>189</v>
      </c>
      <c r="K3215" t="s">
        <v>8685</v>
      </c>
      <c r="L3215" t="s">
        <v>8798</v>
      </c>
    </row>
    <row r="3216" spans="1:40" x14ac:dyDescent="0.35">
      <c r="A3216">
        <v>6857696</v>
      </c>
      <c r="B3216" t="s">
        <v>8799</v>
      </c>
      <c r="C3216" t="str">
        <f>""</f>
        <v/>
      </c>
      <c r="D3216" t="str">
        <f>"9789179291846"</f>
        <v>9789179291846</v>
      </c>
      <c r="E3216" t="s">
        <v>3642</v>
      </c>
      <c r="F3216" t="s">
        <v>3642</v>
      </c>
      <c r="G3216" s="1">
        <v>44575</v>
      </c>
      <c r="H3216" s="1">
        <v>44578</v>
      </c>
      <c r="I3216" t="s">
        <v>189</v>
      </c>
      <c r="J3216">
        <v>1</v>
      </c>
      <c r="L3216" t="s">
        <v>8800</v>
      </c>
      <c r="Q3216" t="s">
        <v>260</v>
      </c>
      <c r="R3216" t="s">
        <v>261</v>
      </c>
      <c r="S3216" t="s">
        <v>261</v>
      </c>
      <c r="T3216" t="s">
        <v>261</v>
      </c>
      <c r="U3216" t="s">
        <v>261</v>
      </c>
      <c r="V3216" t="s">
        <v>262</v>
      </c>
      <c r="W3216" t="s">
        <v>261</v>
      </c>
      <c r="X3216" t="s">
        <v>261</v>
      </c>
      <c r="Y3216" t="s">
        <v>261</v>
      </c>
      <c r="AD3216" t="s">
        <v>261</v>
      </c>
      <c r="AH3216" t="s">
        <v>262</v>
      </c>
      <c r="AI3216" t="s">
        <v>261</v>
      </c>
      <c r="AJ3216" t="s">
        <v>261</v>
      </c>
      <c r="AK3216" t="s">
        <v>261</v>
      </c>
      <c r="AM3216" t="s">
        <v>262</v>
      </c>
      <c r="AN3216" t="s">
        <v>8801</v>
      </c>
    </row>
    <row r="3217" spans="1:40" x14ac:dyDescent="0.35">
      <c r="A3217">
        <v>6857697</v>
      </c>
      <c r="B3217" t="s">
        <v>8802</v>
      </c>
      <c r="C3217" t="str">
        <f>""</f>
        <v/>
      </c>
      <c r="D3217" t="str">
        <f>"9789179291914"</f>
        <v>9789179291914</v>
      </c>
      <c r="E3217" t="s">
        <v>3642</v>
      </c>
      <c r="F3217" t="s">
        <v>3642</v>
      </c>
      <c r="G3217" s="1">
        <v>44574</v>
      </c>
      <c r="H3217" s="1">
        <v>44578</v>
      </c>
      <c r="I3217" t="s">
        <v>189</v>
      </c>
      <c r="J3217">
        <v>1</v>
      </c>
      <c r="L3217" t="s">
        <v>8803</v>
      </c>
      <c r="Q3217" t="s">
        <v>260</v>
      </c>
      <c r="R3217" t="s">
        <v>261</v>
      </c>
      <c r="S3217" t="s">
        <v>261</v>
      </c>
      <c r="T3217" t="s">
        <v>261</v>
      </c>
      <c r="U3217" t="s">
        <v>261</v>
      </c>
      <c r="V3217" t="s">
        <v>262</v>
      </c>
      <c r="W3217" t="s">
        <v>261</v>
      </c>
      <c r="X3217" t="s">
        <v>261</v>
      </c>
      <c r="Y3217" t="s">
        <v>261</v>
      </c>
      <c r="AD3217" t="s">
        <v>261</v>
      </c>
      <c r="AH3217" t="s">
        <v>262</v>
      </c>
      <c r="AI3217" t="s">
        <v>261</v>
      </c>
      <c r="AJ3217" t="s">
        <v>261</v>
      </c>
      <c r="AK3217" t="s">
        <v>261</v>
      </c>
      <c r="AM3217" t="s">
        <v>262</v>
      </c>
      <c r="AN3217" t="s">
        <v>8804</v>
      </c>
    </row>
    <row r="3218" spans="1:40" x14ac:dyDescent="0.35">
      <c r="A3218">
        <v>6859756</v>
      </c>
      <c r="B3218" t="s">
        <v>8805</v>
      </c>
      <c r="C3218" t="str">
        <f>"9789633863763"</f>
        <v>9789633863763</v>
      </c>
      <c r="D3218" t="str">
        <f>"9789633863770"</f>
        <v>9789633863770</v>
      </c>
      <c r="E3218" t="s">
        <v>1797</v>
      </c>
      <c r="F3218" t="s">
        <v>1797</v>
      </c>
      <c r="G3218" s="1">
        <v>44607</v>
      </c>
      <c r="H3218" s="1">
        <v>44580</v>
      </c>
      <c r="I3218" t="s">
        <v>189</v>
      </c>
      <c r="J3218">
        <v>1</v>
      </c>
      <c r="L3218" t="s">
        <v>8806</v>
      </c>
      <c r="M3218" t="s">
        <v>239</v>
      </c>
      <c r="Q3218" t="s">
        <v>260</v>
      </c>
      <c r="R3218" t="s">
        <v>261</v>
      </c>
      <c r="S3218" t="s">
        <v>261</v>
      </c>
      <c r="T3218" t="s">
        <v>261</v>
      </c>
      <c r="U3218" t="s">
        <v>261</v>
      </c>
      <c r="V3218" t="s">
        <v>262</v>
      </c>
      <c r="W3218" t="s">
        <v>261</v>
      </c>
      <c r="X3218" t="s">
        <v>261</v>
      </c>
      <c r="Y3218" t="s">
        <v>261</v>
      </c>
      <c r="AC3218" t="s">
        <v>409</v>
      </c>
      <c r="AD3218" t="s">
        <v>261</v>
      </c>
      <c r="AH3218" t="s">
        <v>262</v>
      </c>
      <c r="AI3218" t="s">
        <v>262</v>
      </c>
      <c r="AJ3218" t="s">
        <v>261</v>
      </c>
      <c r="AK3218" t="s">
        <v>261</v>
      </c>
      <c r="AM3218" t="s">
        <v>262</v>
      </c>
      <c r="AN3218" t="s">
        <v>8807</v>
      </c>
    </row>
    <row r="3219" spans="1:40" x14ac:dyDescent="0.35">
      <c r="A3219">
        <v>6869058</v>
      </c>
      <c r="B3219" t="s">
        <v>8808</v>
      </c>
      <c r="C3219" t="str">
        <f>"9780472073023"</f>
        <v>9780472073023</v>
      </c>
      <c r="D3219" t="str">
        <f>"9780472900671"</f>
        <v>9780472900671</v>
      </c>
      <c r="E3219" t="s">
        <v>2090</v>
      </c>
      <c r="F3219" t="s">
        <v>2090</v>
      </c>
      <c r="G3219" s="1">
        <v>42500</v>
      </c>
      <c r="H3219" s="1">
        <v>44588</v>
      </c>
      <c r="I3219" t="s">
        <v>189</v>
      </c>
      <c r="L3219" t="s">
        <v>8809</v>
      </c>
      <c r="M3219" t="s">
        <v>219</v>
      </c>
      <c r="N3219" t="s">
        <v>8810</v>
      </c>
      <c r="O3219" t="s">
        <v>8811</v>
      </c>
      <c r="Q3219" t="s">
        <v>260</v>
      </c>
      <c r="R3219" t="s">
        <v>261</v>
      </c>
      <c r="S3219" t="s">
        <v>261</v>
      </c>
      <c r="T3219" t="s">
        <v>261</v>
      </c>
      <c r="U3219" t="s">
        <v>261</v>
      </c>
      <c r="V3219" t="s">
        <v>262</v>
      </c>
      <c r="W3219" t="s">
        <v>261</v>
      </c>
      <c r="X3219" t="s">
        <v>261</v>
      </c>
      <c r="Y3219" t="s">
        <v>261</v>
      </c>
      <c r="AA3219" t="s">
        <v>409</v>
      </c>
      <c r="AB3219" t="s">
        <v>409</v>
      </c>
      <c r="AC3219" t="s">
        <v>409</v>
      </c>
      <c r="AD3219" t="s">
        <v>261</v>
      </c>
      <c r="AH3219" t="s">
        <v>262</v>
      </c>
      <c r="AI3219" t="s">
        <v>262</v>
      </c>
      <c r="AJ3219" t="s">
        <v>261</v>
      </c>
      <c r="AK3219" t="s">
        <v>261</v>
      </c>
      <c r="AM3219" t="s">
        <v>262</v>
      </c>
      <c r="AN3219" t="s">
        <v>8812</v>
      </c>
    </row>
    <row r="3220" spans="1:40" x14ac:dyDescent="0.35">
      <c r="A3220">
        <v>6869059</v>
      </c>
      <c r="B3220" t="s">
        <v>8813</v>
      </c>
      <c r="C3220" t="str">
        <f>"9780472072804"</f>
        <v>9780472072804</v>
      </c>
      <c r="D3220" t="str">
        <f>"9780472900077"</f>
        <v>9780472900077</v>
      </c>
      <c r="E3220" t="s">
        <v>2090</v>
      </c>
      <c r="F3220" t="s">
        <v>2090</v>
      </c>
      <c r="G3220" s="1">
        <v>42263</v>
      </c>
      <c r="H3220" s="1">
        <v>44588</v>
      </c>
      <c r="I3220" t="s">
        <v>189</v>
      </c>
      <c r="K3220" t="s">
        <v>7107</v>
      </c>
      <c r="L3220" t="s">
        <v>8814</v>
      </c>
      <c r="M3220" t="s">
        <v>389</v>
      </c>
      <c r="N3220" t="s">
        <v>8815</v>
      </c>
      <c r="O3220" t="s">
        <v>8816</v>
      </c>
      <c r="Q3220" t="s">
        <v>260</v>
      </c>
      <c r="R3220" t="s">
        <v>261</v>
      </c>
      <c r="S3220" t="s">
        <v>261</v>
      </c>
      <c r="T3220" t="s">
        <v>261</v>
      </c>
      <c r="U3220" t="s">
        <v>261</v>
      </c>
      <c r="V3220" t="s">
        <v>262</v>
      </c>
      <c r="W3220" t="s">
        <v>261</v>
      </c>
      <c r="X3220" t="s">
        <v>261</v>
      </c>
      <c r="Y3220" t="s">
        <v>261</v>
      </c>
      <c r="AA3220" t="s">
        <v>409</v>
      </c>
      <c r="AB3220" t="s">
        <v>409</v>
      </c>
      <c r="AC3220" t="s">
        <v>409</v>
      </c>
      <c r="AD3220" t="s">
        <v>261</v>
      </c>
      <c r="AH3220" t="s">
        <v>262</v>
      </c>
      <c r="AI3220" t="s">
        <v>262</v>
      </c>
      <c r="AJ3220" t="s">
        <v>261</v>
      </c>
      <c r="AK3220" t="s">
        <v>261</v>
      </c>
      <c r="AM3220" t="s">
        <v>262</v>
      </c>
      <c r="AN3220" t="s">
        <v>8817</v>
      </c>
    </row>
    <row r="3221" spans="1:40" x14ac:dyDescent="0.35">
      <c r="A3221">
        <v>6869061</v>
      </c>
      <c r="B3221" t="s">
        <v>8818</v>
      </c>
      <c r="C3221" t="str">
        <f>"9780472130917"</f>
        <v>9780472130917</v>
      </c>
      <c r="D3221" t="str">
        <f>"9780472902613"</f>
        <v>9780472902613</v>
      </c>
      <c r="E3221" t="s">
        <v>2090</v>
      </c>
      <c r="F3221" t="s">
        <v>2090</v>
      </c>
      <c r="G3221" s="1">
        <v>43373</v>
      </c>
      <c r="H3221" s="1">
        <v>44588</v>
      </c>
      <c r="I3221" t="s">
        <v>189</v>
      </c>
      <c r="L3221" t="s">
        <v>8819</v>
      </c>
    </row>
    <row r="3222" spans="1:40" x14ac:dyDescent="0.35">
      <c r="A3222">
        <v>6869065</v>
      </c>
      <c r="B3222" t="s">
        <v>8820</v>
      </c>
      <c r="C3222" t="str">
        <f>"9780472109524"</f>
        <v>9780472109524</v>
      </c>
      <c r="D3222" t="str">
        <f>"9780472900732"</f>
        <v>9780472900732</v>
      </c>
      <c r="E3222" t="s">
        <v>2090</v>
      </c>
      <c r="F3222" t="s">
        <v>2090</v>
      </c>
      <c r="G3222" s="1">
        <v>36083</v>
      </c>
      <c r="H3222" s="1">
        <v>44588</v>
      </c>
      <c r="I3222" t="s">
        <v>189</v>
      </c>
      <c r="L3222" t="s">
        <v>8821</v>
      </c>
      <c r="M3222" t="s">
        <v>282</v>
      </c>
    </row>
    <row r="3223" spans="1:40" x14ac:dyDescent="0.35">
      <c r="A3223">
        <v>6869274</v>
      </c>
      <c r="B3223" t="s">
        <v>8822</v>
      </c>
      <c r="C3223" t="str">
        <f>""</f>
        <v/>
      </c>
      <c r="D3223" t="str">
        <f>"9789179291648"</f>
        <v>9789179291648</v>
      </c>
      <c r="E3223" t="s">
        <v>3642</v>
      </c>
      <c r="F3223" t="s">
        <v>3642</v>
      </c>
      <c r="G3223" s="1">
        <v>44546</v>
      </c>
      <c r="H3223" s="1">
        <v>44585</v>
      </c>
      <c r="I3223" t="s">
        <v>189</v>
      </c>
      <c r="J3223">
        <v>1</v>
      </c>
      <c r="L3223" t="s">
        <v>8823</v>
      </c>
      <c r="Q3223" t="s">
        <v>260</v>
      </c>
      <c r="R3223" t="s">
        <v>261</v>
      </c>
      <c r="S3223" t="s">
        <v>261</v>
      </c>
      <c r="T3223" t="s">
        <v>261</v>
      </c>
      <c r="U3223" t="s">
        <v>261</v>
      </c>
      <c r="V3223" t="s">
        <v>262</v>
      </c>
      <c r="W3223" t="s">
        <v>261</v>
      </c>
      <c r="X3223" t="s">
        <v>261</v>
      </c>
      <c r="Y3223" t="s">
        <v>261</v>
      </c>
      <c r="AD3223" t="s">
        <v>261</v>
      </c>
      <c r="AH3223" t="s">
        <v>262</v>
      </c>
      <c r="AI3223" t="s">
        <v>261</v>
      </c>
      <c r="AJ3223" t="s">
        <v>261</v>
      </c>
      <c r="AK3223" t="s">
        <v>261</v>
      </c>
      <c r="AM3223" t="s">
        <v>262</v>
      </c>
      <c r="AN3223" t="s">
        <v>8824</v>
      </c>
    </row>
    <row r="3224" spans="1:40" x14ac:dyDescent="0.35">
      <c r="A3224">
        <v>6870834</v>
      </c>
      <c r="B3224" t="s">
        <v>8825</v>
      </c>
      <c r="C3224" t="str">
        <f>"9781478015260"</f>
        <v>9781478015260</v>
      </c>
      <c r="D3224" t="str">
        <f>"9781478091820"</f>
        <v>9781478091820</v>
      </c>
      <c r="E3224" t="s">
        <v>687</v>
      </c>
      <c r="F3224" t="s">
        <v>687</v>
      </c>
      <c r="G3224" s="1">
        <v>44603</v>
      </c>
      <c r="H3224" s="1">
        <v>44589</v>
      </c>
      <c r="I3224" t="s">
        <v>189</v>
      </c>
      <c r="J3224">
        <v>1</v>
      </c>
      <c r="L3224" t="s">
        <v>8826</v>
      </c>
      <c r="M3224" t="s">
        <v>1578</v>
      </c>
      <c r="N3224" t="s">
        <v>8827</v>
      </c>
      <c r="O3224" s="2">
        <v>720967</v>
      </c>
      <c r="Q3224" t="s">
        <v>260</v>
      </c>
      <c r="R3224" t="s">
        <v>261</v>
      </c>
      <c r="S3224" t="s">
        <v>261</v>
      </c>
      <c r="T3224" t="s">
        <v>261</v>
      </c>
      <c r="U3224" t="s">
        <v>261</v>
      </c>
      <c r="V3224" t="s">
        <v>262</v>
      </c>
      <c r="W3224" t="s">
        <v>261</v>
      </c>
      <c r="X3224" t="s">
        <v>261</v>
      </c>
      <c r="Y3224" t="s">
        <v>261</v>
      </c>
      <c r="AC3224" t="s">
        <v>409</v>
      </c>
      <c r="AD3224" t="s">
        <v>261</v>
      </c>
      <c r="AH3224" t="s">
        <v>262</v>
      </c>
      <c r="AI3224" t="s">
        <v>262</v>
      </c>
      <c r="AJ3224" t="s">
        <v>261</v>
      </c>
      <c r="AK3224" t="s">
        <v>261</v>
      </c>
      <c r="AM3224" t="s">
        <v>262</v>
      </c>
      <c r="AN3224" t="s">
        <v>8828</v>
      </c>
    </row>
    <row r="3225" spans="1:40" x14ac:dyDescent="0.35">
      <c r="A3225">
        <v>6870835</v>
      </c>
      <c r="B3225" t="s">
        <v>8829</v>
      </c>
      <c r="C3225" t="str">
        <f>"9781478009801"</f>
        <v>9781478009801</v>
      </c>
      <c r="D3225" t="str">
        <f>"9781478092452"</f>
        <v>9781478092452</v>
      </c>
      <c r="E3225" t="s">
        <v>687</v>
      </c>
      <c r="F3225" t="s">
        <v>687</v>
      </c>
      <c r="G3225" s="1">
        <v>44645</v>
      </c>
      <c r="H3225" s="1">
        <v>44589</v>
      </c>
      <c r="I3225" t="s">
        <v>189</v>
      </c>
      <c r="J3225">
        <v>1</v>
      </c>
      <c r="K3225" t="s">
        <v>8830</v>
      </c>
      <c r="L3225" t="s">
        <v>8831</v>
      </c>
      <c r="M3225" t="s">
        <v>210</v>
      </c>
    </row>
    <row r="3226" spans="1:40" x14ac:dyDescent="0.35">
      <c r="A3226">
        <v>6870836</v>
      </c>
      <c r="B3226" t="s">
        <v>8832</v>
      </c>
      <c r="C3226" t="str">
        <f>"9781478015314"</f>
        <v>9781478015314</v>
      </c>
      <c r="D3226" t="str">
        <f>"9781478092445"</f>
        <v>9781478092445</v>
      </c>
      <c r="E3226" t="s">
        <v>687</v>
      </c>
      <c r="F3226" t="s">
        <v>687</v>
      </c>
      <c r="G3226" s="1">
        <v>44624</v>
      </c>
      <c r="H3226" s="1">
        <v>44589</v>
      </c>
      <c r="I3226" t="s">
        <v>189</v>
      </c>
      <c r="J3226">
        <v>1</v>
      </c>
      <c r="L3226" t="s">
        <v>8833</v>
      </c>
      <c r="M3226" t="s">
        <v>219</v>
      </c>
      <c r="N3226" t="s">
        <v>538</v>
      </c>
      <c r="O3226" s="2">
        <v>8109868073</v>
      </c>
      <c r="Q3226" t="s">
        <v>260</v>
      </c>
      <c r="R3226" t="s">
        <v>261</v>
      </c>
      <c r="S3226" t="s">
        <v>261</v>
      </c>
      <c r="T3226" t="s">
        <v>261</v>
      </c>
      <c r="U3226" t="s">
        <v>262</v>
      </c>
      <c r="V3226" t="s">
        <v>262</v>
      </c>
      <c r="W3226" t="s">
        <v>261</v>
      </c>
      <c r="X3226" t="s">
        <v>261</v>
      </c>
      <c r="Y3226" t="s">
        <v>261</v>
      </c>
      <c r="AC3226" t="s">
        <v>703</v>
      </c>
      <c r="AD3226" t="s">
        <v>261</v>
      </c>
      <c r="AH3226" t="s">
        <v>262</v>
      </c>
      <c r="AI3226" t="s">
        <v>262</v>
      </c>
      <c r="AJ3226" t="s">
        <v>261</v>
      </c>
      <c r="AK3226" t="s">
        <v>261</v>
      </c>
      <c r="AM3226" t="s">
        <v>262</v>
      </c>
      <c r="AN3226" t="s">
        <v>8834</v>
      </c>
    </row>
    <row r="3227" spans="1:40" x14ac:dyDescent="0.35">
      <c r="A3227">
        <v>6871063</v>
      </c>
      <c r="B3227" t="s">
        <v>8835</v>
      </c>
      <c r="C3227" t="str">
        <f>"9781644690642"</f>
        <v>9781644690642</v>
      </c>
      <c r="D3227" t="str">
        <f>"9781644690659"</f>
        <v>9781644690659</v>
      </c>
      <c r="E3227" t="s">
        <v>1592</v>
      </c>
      <c r="F3227" t="s">
        <v>1592</v>
      </c>
      <c r="G3227" s="1">
        <v>43921</v>
      </c>
      <c r="H3227" s="1">
        <v>44589</v>
      </c>
      <c r="I3227" t="s">
        <v>189</v>
      </c>
      <c r="J3227">
        <v>1</v>
      </c>
      <c r="L3227" t="s">
        <v>8836</v>
      </c>
    </row>
    <row r="3228" spans="1:40" x14ac:dyDescent="0.35">
      <c r="A3228">
        <v>6871064</v>
      </c>
      <c r="B3228" t="s">
        <v>8837</v>
      </c>
      <c r="C3228" t="str">
        <f>"9781618118363"</f>
        <v>9781618118363</v>
      </c>
      <c r="D3228" t="str">
        <f>"9781644691137"</f>
        <v>9781644691137</v>
      </c>
      <c r="E3228" t="s">
        <v>1592</v>
      </c>
      <c r="F3228" t="s">
        <v>1592</v>
      </c>
      <c r="G3228" s="1">
        <v>43781</v>
      </c>
      <c r="H3228" s="1">
        <v>44589</v>
      </c>
      <c r="I3228" t="s">
        <v>189</v>
      </c>
      <c r="J3228">
        <v>1</v>
      </c>
      <c r="L3228" t="s">
        <v>8838</v>
      </c>
      <c r="M3228" t="s">
        <v>578</v>
      </c>
      <c r="O3228" s="2">
        <v>791430233092</v>
      </c>
      <c r="Q3228" t="s">
        <v>260</v>
      </c>
      <c r="R3228" t="s">
        <v>261</v>
      </c>
      <c r="S3228" t="s">
        <v>261</v>
      </c>
      <c r="T3228" t="s">
        <v>261</v>
      </c>
      <c r="U3228" t="s">
        <v>261</v>
      </c>
      <c r="V3228" t="s">
        <v>262</v>
      </c>
      <c r="W3228" t="s">
        <v>261</v>
      </c>
      <c r="X3228" t="s">
        <v>261</v>
      </c>
      <c r="Y3228" t="s">
        <v>261</v>
      </c>
      <c r="Z3228" t="s">
        <v>409</v>
      </c>
      <c r="AA3228" t="s">
        <v>409</v>
      </c>
      <c r="AB3228" t="s">
        <v>409</v>
      </c>
      <c r="AC3228" t="s">
        <v>409</v>
      </c>
      <c r="AD3228" t="s">
        <v>261</v>
      </c>
      <c r="AH3228" t="s">
        <v>262</v>
      </c>
      <c r="AI3228" t="s">
        <v>262</v>
      </c>
      <c r="AJ3228" t="s">
        <v>261</v>
      </c>
      <c r="AK3228" t="s">
        <v>261</v>
      </c>
      <c r="AM3228" t="s">
        <v>262</v>
      </c>
      <c r="AN3228" t="s">
        <v>8839</v>
      </c>
    </row>
    <row r="3229" spans="1:40" x14ac:dyDescent="0.35">
      <c r="A3229">
        <v>6871212</v>
      </c>
      <c r="B3229" t="s">
        <v>8840</v>
      </c>
      <c r="C3229" t="str">
        <f>"9783030769697"</f>
        <v>9783030769697</v>
      </c>
      <c r="D3229" t="str">
        <f>"9783030769703"</f>
        <v>9783030769703</v>
      </c>
      <c r="E3229" t="s">
        <v>2289</v>
      </c>
      <c r="F3229" t="s">
        <v>2663</v>
      </c>
      <c r="G3229" s="1">
        <v>44580</v>
      </c>
      <c r="H3229" s="1">
        <v>44589</v>
      </c>
      <c r="I3229" t="s">
        <v>189</v>
      </c>
      <c r="L3229" t="s">
        <v>8841</v>
      </c>
    </row>
    <row r="3230" spans="1:40" x14ac:dyDescent="0.35">
      <c r="A3230">
        <v>6871862</v>
      </c>
      <c r="B3230" t="s">
        <v>8842</v>
      </c>
      <c r="C3230" t="str">
        <f>"9781618114303"</f>
        <v>9781618114303</v>
      </c>
      <c r="D3230" t="str">
        <f>"9781618119230"</f>
        <v>9781618119230</v>
      </c>
      <c r="E3230" t="s">
        <v>1592</v>
      </c>
      <c r="F3230" t="s">
        <v>1592</v>
      </c>
      <c r="G3230" s="1">
        <v>42109</v>
      </c>
      <c r="H3230" s="1">
        <v>44596</v>
      </c>
      <c r="I3230" t="s">
        <v>189</v>
      </c>
      <c r="J3230">
        <v>1</v>
      </c>
      <c r="K3230" t="s">
        <v>1680</v>
      </c>
      <c r="L3230" t="s">
        <v>8843</v>
      </c>
    </row>
    <row r="3231" spans="1:40" x14ac:dyDescent="0.35">
      <c r="A3231">
        <v>6874774</v>
      </c>
      <c r="B3231" t="s">
        <v>8844</v>
      </c>
      <c r="C3231" t="str">
        <f>"9783030846893"</f>
        <v>9783030846893</v>
      </c>
      <c r="D3231" t="str">
        <f>"9783030846909"</f>
        <v>9783030846909</v>
      </c>
      <c r="E3231" t="s">
        <v>2289</v>
      </c>
      <c r="F3231" t="s">
        <v>2290</v>
      </c>
      <c r="G3231" s="1">
        <v>44584</v>
      </c>
      <c r="H3231" s="1">
        <v>44594</v>
      </c>
      <c r="I3231" t="s">
        <v>189</v>
      </c>
      <c r="K3231" t="s">
        <v>8845</v>
      </c>
      <c r="L3231" t="s">
        <v>8846</v>
      </c>
    </row>
    <row r="3232" spans="1:40" x14ac:dyDescent="0.35">
      <c r="A3232">
        <v>6874796</v>
      </c>
      <c r="B3232" t="s">
        <v>8847</v>
      </c>
      <c r="C3232" t="str">
        <f>"9789811692284"</f>
        <v>9789811692284</v>
      </c>
      <c r="D3232" t="str">
        <f>"9789811692291"</f>
        <v>9789811692291</v>
      </c>
      <c r="E3232" t="s">
        <v>3404</v>
      </c>
      <c r="F3232" t="s">
        <v>2290</v>
      </c>
      <c r="G3232" s="1">
        <v>44583</v>
      </c>
      <c r="H3232" s="1">
        <v>44628</v>
      </c>
      <c r="I3232" t="s">
        <v>189</v>
      </c>
      <c r="K3232" t="s">
        <v>5734</v>
      </c>
      <c r="L3232" t="s">
        <v>5735</v>
      </c>
    </row>
    <row r="3233" spans="1:40" x14ac:dyDescent="0.35">
      <c r="A3233">
        <v>6874848</v>
      </c>
      <c r="B3233" t="s">
        <v>8848</v>
      </c>
      <c r="C3233" t="str">
        <f>"9789811668265"</f>
        <v>9789811668265</v>
      </c>
      <c r="D3233" t="str">
        <f>"9789811668272"</f>
        <v>9789811668272</v>
      </c>
      <c r="E3233" t="s">
        <v>3404</v>
      </c>
      <c r="F3233" t="s">
        <v>2290</v>
      </c>
      <c r="G3233" s="1">
        <v>44584</v>
      </c>
      <c r="H3233" s="1">
        <v>44594</v>
      </c>
      <c r="I3233" t="s">
        <v>189</v>
      </c>
      <c r="L3233" t="s">
        <v>8849</v>
      </c>
    </row>
    <row r="3234" spans="1:40" x14ac:dyDescent="0.35">
      <c r="A3234">
        <v>6874868</v>
      </c>
      <c r="B3234" t="s">
        <v>8850</v>
      </c>
      <c r="C3234" t="str">
        <f>"9789811677144"</f>
        <v>9789811677144</v>
      </c>
      <c r="D3234" t="str">
        <f>"9789811677151"</f>
        <v>9789811677151</v>
      </c>
      <c r="E3234" t="s">
        <v>3404</v>
      </c>
      <c r="F3234" t="s">
        <v>2290</v>
      </c>
      <c r="G3234" s="1">
        <v>44587</v>
      </c>
      <c r="H3234" s="1">
        <v>44594</v>
      </c>
      <c r="I3234" t="s">
        <v>189</v>
      </c>
      <c r="L3234" t="s">
        <v>4989</v>
      </c>
    </row>
    <row r="3235" spans="1:40" x14ac:dyDescent="0.35">
      <c r="A3235">
        <v>6874872</v>
      </c>
      <c r="B3235" t="s">
        <v>8851</v>
      </c>
      <c r="C3235" t="str">
        <f>"9789811666902"</f>
        <v>9789811666902</v>
      </c>
      <c r="D3235" t="str">
        <f>"9789811666919"</f>
        <v>9789811666919</v>
      </c>
      <c r="E3235" t="s">
        <v>3404</v>
      </c>
      <c r="F3235" t="s">
        <v>2290</v>
      </c>
      <c r="G3235" s="1">
        <v>44586</v>
      </c>
      <c r="H3235" s="1">
        <v>44594</v>
      </c>
      <c r="I3235" t="s">
        <v>189</v>
      </c>
      <c r="K3235" t="s">
        <v>8852</v>
      </c>
      <c r="L3235" t="s">
        <v>8853</v>
      </c>
      <c r="M3235" t="s">
        <v>964</v>
      </c>
      <c r="N3235" t="s">
        <v>8676</v>
      </c>
      <c r="Q3235" t="s">
        <v>260</v>
      </c>
      <c r="R3235" t="s">
        <v>261</v>
      </c>
      <c r="S3235" t="s">
        <v>261</v>
      </c>
      <c r="T3235" t="s">
        <v>261</v>
      </c>
      <c r="U3235" t="s">
        <v>261</v>
      </c>
      <c r="V3235" t="s">
        <v>262</v>
      </c>
      <c r="W3235" t="s">
        <v>261</v>
      </c>
      <c r="X3235" t="s">
        <v>261</v>
      </c>
      <c r="Y3235" t="s">
        <v>261</v>
      </c>
      <c r="Z3235" t="s">
        <v>409</v>
      </c>
      <c r="AA3235" t="s">
        <v>409</v>
      </c>
      <c r="AB3235" t="s">
        <v>409</v>
      </c>
      <c r="AC3235" t="s">
        <v>409</v>
      </c>
      <c r="AD3235" t="s">
        <v>261</v>
      </c>
      <c r="AH3235" t="s">
        <v>262</v>
      </c>
      <c r="AI3235" t="s">
        <v>262</v>
      </c>
      <c r="AJ3235" t="s">
        <v>261</v>
      </c>
      <c r="AK3235" t="s">
        <v>261</v>
      </c>
      <c r="AM3235" t="s">
        <v>262</v>
      </c>
      <c r="AN3235" t="s">
        <v>8854</v>
      </c>
    </row>
    <row r="3236" spans="1:40" x14ac:dyDescent="0.35">
      <c r="A3236">
        <v>6874889</v>
      </c>
      <c r="B3236" t="s">
        <v>8855</v>
      </c>
      <c r="C3236" t="str">
        <f>"9783030868963"</f>
        <v>9783030868963</v>
      </c>
      <c r="D3236" t="str">
        <f>"9783030868970"</f>
        <v>9783030868970</v>
      </c>
      <c r="E3236" t="s">
        <v>2289</v>
      </c>
      <c r="F3236" t="s">
        <v>2663</v>
      </c>
      <c r="G3236" s="1">
        <v>44583</v>
      </c>
      <c r="H3236" s="1">
        <v>44594</v>
      </c>
      <c r="I3236" t="s">
        <v>189</v>
      </c>
      <c r="L3236" t="s">
        <v>8856</v>
      </c>
    </row>
    <row r="3237" spans="1:40" x14ac:dyDescent="0.35">
      <c r="A3237">
        <v>6875089</v>
      </c>
      <c r="B3237" t="s">
        <v>8857</v>
      </c>
      <c r="C3237" t="str">
        <f>"9783319918419"</f>
        <v>9783319918419</v>
      </c>
      <c r="D3237" t="str">
        <f>"9783319918433"</f>
        <v>9783319918433</v>
      </c>
      <c r="E3237" t="s">
        <v>2289</v>
      </c>
      <c r="F3237" t="s">
        <v>2290</v>
      </c>
      <c r="G3237" s="1">
        <v>44582</v>
      </c>
      <c r="H3237" s="1">
        <v>44594</v>
      </c>
      <c r="I3237" t="s">
        <v>189</v>
      </c>
      <c r="K3237" t="s">
        <v>6034</v>
      </c>
      <c r="L3237" t="s">
        <v>8858</v>
      </c>
    </row>
    <row r="3238" spans="1:40" x14ac:dyDescent="0.35">
      <c r="A3238">
        <v>6875108</v>
      </c>
      <c r="B3238" t="s">
        <v>8859</v>
      </c>
      <c r="C3238" t="str">
        <f>"9789811667909"</f>
        <v>9789811667909</v>
      </c>
      <c r="D3238" t="str">
        <f>"9789811667916"</f>
        <v>9789811667916</v>
      </c>
      <c r="E3238" t="s">
        <v>2290</v>
      </c>
      <c r="F3238" t="s">
        <v>2290</v>
      </c>
      <c r="G3238" s="1">
        <v>44587</v>
      </c>
      <c r="H3238" s="1">
        <v>44594</v>
      </c>
      <c r="I3238" t="s">
        <v>189</v>
      </c>
      <c r="K3238" t="s">
        <v>8860</v>
      </c>
      <c r="L3238" t="s">
        <v>8861</v>
      </c>
      <c r="M3238" t="s">
        <v>3610</v>
      </c>
    </row>
    <row r="3239" spans="1:40" x14ac:dyDescent="0.35">
      <c r="A3239">
        <v>6875122</v>
      </c>
      <c r="B3239" t="s">
        <v>8862</v>
      </c>
      <c r="C3239" t="str">
        <f>"9783030812065"</f>
        <v>9783030812065</v>
      </c>
      <c r="D3239" t="str">
        <f>"9783030812072"</f>
        <v>9783030812072</v>
      </c>
      <c r="E3239" t="s">
        <v>2289</v>
      </c>
      <c r="F3239" t="s">
        <v>2290</v>
      </c>
      <c r="G3239" s="1">
        <v>44581</v>
      </c>
      <c r="H3239" s="1">
        <v>44594</v>
      </c>
      <c r="I3239" t="s">
        <v>189</v>
      </c>
      <c r="K3239" t="s">
        <v>4871</v>
      </c>
      <c r="L3239" t="s">
        <v>8863</v>
      </c>
    </row>
    <row r="3240" spans="1:40" x14ac:dyDescent="0.35">
      <c r="A3240">
        <v>6876043</v>
      </c>
      <c r="B3240" t="s">
        <v>8864</v>
      </c>
      <c r="C3240" t="str">
        <f>""</f>
        <v/>
      </c>
      <c r="D3240" t="str">
        <f>"9789179291549"</f>
        <v>9789179291549</v>
      </c>
      <c r="E3240" t="s">
        <v>3642</v>
      </c>
      <c r="F3240" t="s">
        <v>3642</v>
      </c>
      <c r="G3240" s="1">
        <v>44585</v>
      </c>
      <c r="H3240" s="1">
        <v>44592</v>
      </c>
      <c r="I3240" t="s">
        <v>189</v>
      </c>
      <c r="J3240">
        <v>1</v>
      </c>
      <c r="L3240" t="s">
        <v>8865</v>
      </c>
      <c r="Q3240" t="s">
        <v>260</v>
      </c>
      <c r="R3240" t="s">
        <v>261</v>
      </c>
      <c r="S3240" t="s">
        <v>261</v>
      </c>
      <c r="T3240" t="s">
        <v>261</v>
      </c>
      <c r="U3240" t="s">
        <v>261</v>
      </c>
      <c r="V3240" t="s">
        <v>262</v>
      </c>
      <c r="W3240" t="s">
        <v>261</v>
      </c>
      <c r="X3240" t="s">
        <v>261</v>
      </c>
      <c r="Y3240" t="s">
        <v>261</v>
      </c>
      <c r="AD3240" t="s">
        <v>261</v>
      </c>
      <c r="AH3240" t="s">
        <v>262</v>
      </c>
      <c r="AI3240" t="s">
        <v>261</v>
      </c>
      <c r="AJ3240" t="s">
        <v>261</v>
      </c>
      <c r="AK3240" t="s">
        <v>261</v>
      </c>
      <c r="AM3240" t="s">
        <v>262</v>
      </c>
      <c r="AN3240" t="s">
        <v>8866</v>
      </c>
    </row>
    <row r="3241" spans="1:40" x14ac:dyDescent="0.35">
      <c r="A3241">
        <v>6876156</v>
      </c>
      <c r="B3241" t="s">
        <v>8867</v>
      </c>
      <c r="C3241" t="str">
        <f>"9783030855796"</f>
        <v>9783030855796</v>
      </c>
      <c r="D3241" t="str">
        <f>"9783030855802"</f>
        <v>9783030855802</v>
      </c>
      <c r="E3241" t="s">
        <v>2289</v>
      </c>
      <c r="F3241" t="s">
        <v>2663</v>
      </c>
      <c r="G3241" s="1">
        <v>44628</v>
      </c>
      <c r="H3241" s="1">
        <v>44594</v>
      </c>
      <c r="I3241" t="s">
        <v>189</v>
      </c>
      <c r="K3241" t="s">
        <v>8868</v>
      </c>
      <c r="L3241" t="s">
        <v>8869</v>
      </c>
    </row>
    <row r="3242" spans="1:40" x14ac:dyDescent="0.35">
      <c r="A3242">
        <v>6877486</v>
      </c>
      <c r="B3242" t="s">
        <v>8870</v>
      </c>
      <c r="C3242" t="str">
        <f>"9783030911935"</f>
        <v>9783030911935</v>
      </c>
      <c r="D3242" t="str">
        <f>"9783030911942"</f>
        <v>9783030911942</v>
      </c>
      <c r="E3242" t="s">
        <v>2289</v>
      </c>
      <c r="F3242" t="s">
        <v>2290</v>
      </c>
      <c r="G3242" s="1">
        <v>44642</v>
      </c>
      <c r="H3242" s="1">
        <v>44595</v>
      </c>
      <c r="I3242" t="s">
        <v>189</v>
      </c>
      <c r="L3242" t="s">
        <v>8871</v>
      </c>
    </row>
    <row r="3243" spans="1:40" x14ac:dyDescent="0.35">
      <c r="A3243">
        <v>6877730</v>
      </c>
      <c r="B3243" t="s">
        <v>8872</v>
      </c>
      <c r="C3243" t="str">
        <f>"9783030917302"</f>
        <v>9783030917302</v>
      </c>
      <c r="D3243" t="str">
        <f>"9783030917319"</f>
        <v>9783030917319</v>
      </c>
      <c r="E3243" t="s">
        <v>2289</v>
      </c>
      <c r="F3243" t="s">
        <v>2290</v>
      </c>
      <c r="G3243" s="1">
        <v>44630</v>
      </c>
      <c r="H3243" s="1">
        <v>44595</v>
      </c>
      <c r="I3243" t="s">
        <v>189</v>
      </c>
      <c r="K3243" t="s">
        <v>1208</v>
      </c>
      <c r="L3243" t="s">
        <v>8873</v>
      </c>
      <c r="M3243" t="s">
        <v>210</v>
      </c>
      <c r="N3243" t="s">
        <v>4706</v>
      </c>
      <c r="Q3243" t="s">
        <v>260</v>
      </c>
      <c r="R3243" t="s">
        <v>261</v>
      </c>
      <c r="S3243" t="s">
        <v>261</v>
      </c>
      <c r="T3243" t="s">
        <v>261</v>
      </c>
      <c r="U3243" t="s">
        <v>261</v>
      </c>
      <c r="V3243" t="s">
        <v>262</v>
      </c>
      <c r="W3243" t="s">
        <v>261</v>
      </c>
      <c r="X3243" t="s">
        <v>261</v>
      </c>
      <c r="Y3243" t="s">
        <v>261</v>
      </c>
      <c r="Z3243" t="s">
        <v>409</v>
      </c>
      <c r="AA3243" t="s">
        <v>409</v>
      </c>
      <c r="AB3243" t="s">
        <v>409</v>
      </c>
      <c r="AC3243" t="s">
        <v>409</v>
      </c>
      <c r="AD3243" t="s">
        <v>261</v>
      </c>
      <c r="AH3243" t="s">
        <v>262</v>
      </c>
      <c r="AI3243" t="s">
        <v>262</v>
      </c>
      <c r="AJ3243" t="s">
        <v>261</v>
      </c>
      <c r="AK3243" t="s">
        <v>261</v>
      </c>
      <c r="AM3243" t="s">
        <v>262</v>
      </c>
      <c r="AN3243" t="s">
        <v>8874</v>
      </c>
    </row>
    <row r="3244" spans="1:40" x14ac:dyDescent="0.35">
      <c r="A3244">
        <v>6877773</v>
      </c>
      <c r="B3244" t="s">
        <v>8875</v>
      </c>
      <c r="C3244" t="str">
        <f>"9783030862107"</f>
        <v>9783030862107</v>
      </c>
      <c r="D3244" t="str">
        <f>"9783030862114"</f>
        <v>9783030862114</v>
      </c>
      <c r="E3244" t="s">
        <v>2289</v>
      </c>
      <c r="F3244" t="s">
        <v>2290</v>
      </c>
      <c r="G3244" s="1">
        <v>44593</v>
      </c>
      <c r="H3244" s="1">
        <v>44595</v>
      </c>
      <c r="I3244" t="s">
        <v>189</v>
      </c>
      <c r="K3244" t="s">
        <v>5317</v>
      </c>
      <c r="L3244" t="s">
        <v>8876</v>
      </c>
    </row>
    <row r="3245" spans="1:40" x14ac:dyDescent="0.35">
      <c r="A3245">
        <v>6877842</v>
      </c>
      <c r="B3245" t="s">
        <v>8877</v>
      </c>
      <c r="C3245" t="str">
        <f>"9783030860752"</f>
        <v>9783030860752</v>
      </c>
      <c r="D3245" t="str">
        <f>"9783030860769"</f>
        <v>9783030860769</v>
      </c>
      <c r="E3245" t="s">
        <v>2289</v>
      </c>
      <c r="F3245" t="s">
        <v>2290</v>
      </c>
      <c r="G3245" s="1">
        <v>44636</v>
      </c>
      <c r="H3245" s="1">
        <v>44595</v>
      </c>
      <c r="I3245" t="s">
        <v>189</v>
      </c>
      <c r="K3245" t="s">
        <v>5476</v>
      </c>
      <c r="L3245" t="s">
        <v>5477</v>
      </c>
    </row>
    <row r="3246" spans="1:40" x14ac:dyDescent="0.35">
      <c r="A3246">
        <v>6877979</v>
      </c>
      <c r="B3246" t="s">
        <v>8878</v>
      </c>
      <c r="C3246" t="str">
        <f>"9783030860042"</f>
        <v>9783030860042</v>
      </c>
      <c r="D3246" t="str">
        <f>"9783030860059"</f>
        <v>9783030860059</v>
      </c>
      <c r="E3246" t="s">
        <v>2289</v>
      </c>
      <c r="F3246" t="s">
        <v>2663</v>
      </c>
      <c r="G3246" s="1">
        <v>44647</v>
      </c>
      <c r="H3246" s="1">
        <v>44595</v>
      </c>
      <c r="I3246" t="s">
        <v>189</v>
      </c>
      <c r="L3246" t="s">
        <v>8879</v>
      </c>
    </row>
    <row r="3247" spans="1:40" x14ac:dyDescent="0.35">
      <c r="A3247">
        <v>6878098</v>
      </c>
      <c r="B3247" t="s">
        <v>8880</v>
      </c>
      <c r="C3247" t="str">
        <f>"9783030876630"</f>
        <v>9783030876630</v>
      </c>
      <c r="D3247" t="str">
        <f>"9783030876647"</f>
        <v>9783030876647</v>
      </c>
      <c r="E3247" t="s">
        <v>2289</v>
      </c>
      <c r="F3247" t="s">
        <v>2290</v>
      </c>
      <c r="G3247" s="1">
        <v>44635</v>
      </c>
      <c r="H3247" s="1">
        <v>44595</v>
      </c>
      <c r="I3247" t="s">
        <v>189</v>
      </c>
      <c r="K3247" t="s">
        <v>8881</v>
      </c>
      <c r="L3247" t="s">
        <v>8882</v>
      </c>
    </row>
    <row r="3248" spans="1:40" x14ac:dyDescent="0.35">
      <c r="A3248">
        <v>6878119</v>
      </c>
      <c r="B3248" t="s">
        <v>8883</v>
      </c>
      <c r="C3248" t="str">
        <f>"9781478013860"</f>
        <v>9781478013860</v>
      </c>
      <c r="D3248" t="str">
        <f>"9781478091684"</f>
        <v>9781478091684</v>
      </c>
      <c r="E3248" t="s">
        <v>687</v>
      </c>
      <c r="F3248" t="s">
        <v>687</v>
      </c>
      <c r="G3248" s="1">
        <v>44586</v>
      </c>
      <c r="H3248" s="1">
        <v>44595</v>
      </c>
      <c r="I3248" t="s">
        <v>189</v>
      </c>
      <c r="J3248">
        <v>1</v>
      </c>
      <c r="L3248" t="s">
        <v>8884</v>
      </c>
      <c r="M3248" t="s">
        <v>323</v>
      </c>
      <c r="N3248" t="s">
        <v>8885</v>
      </c>
      <c r="O3248" s="2">
        <v>37091734</v>
      </c>
      <c r="Q3248" t="s">
        <v>260</v>
      </c>
      <c r="R3248" t="s">
        <v>261</v>
      </c>
      <c r="S3248" t="s">
        <v>261</v>
      </c>
      <c r="T3248" t="s">
        <v>261</v>
      </c>
      <c r="U3248" t="s">
        <v>261</v>
      </c>
      <c r="V3248" t="s">
        <v>262</v>
      </c>
      <c r="W3248" t="s">
        <v>261</v>
      </c>
      <c r="X3248" t="s">
        <v>261</v>
      </c>
      <c r="Y3248" t="s">
        <v>261</v>
      </c>
      <c r="AD3248" t="s">
        <v>261</v>
      </c>
      <c r="AH3248" t="s">
        <v>262</v>
      </c>
      <c r="AI3248" t="s">
        <v>262</v>
      </c>
      <c r="AJ3248" t="s">
        <v>261</v>
      </c>
      <c r="AK3248" t="s">
        <v>261</v>
      </c>
      <c r="AM3248" t="s">
        <v>262</v>
      </c>
      <c r="AN3248" t="s">
        <v>8886</v>
      </c>
    </row>
    <row r="3249" spans="1:40" x14ac:dyDescent="0.35">
      <c r="A3249">
        <v>6878120</v>
      </c>
      <c r="B3249" t="s">
        <v>8887</v>
      </c>
      <c r="C3249" t="str">
        <f>"9781478013532"</f>
        <v>9781478013532</v>
      </c>
      <c r="D3249" t="str">
        <f>"9781478091769"</f>
        <v>9781478091769</v>
      </c>
      <c r="E3249" t="s">
        <v>687</v>
      </c>
      <c r="F3249" t="s">
        <v>687</v>
      </c>
      <c r="G3249" s="1">
        <v>44519</v>
      </c>
      <c r="H3249" s="1">
        <v>44595</v>
      </c>
      <c r="I3249" t="s">
        <v>189</v>
      </c>
      <c r="J3249">
        <v>1</v>
      </c>
      <c r="L3249" t="s">
        <v>8888</v>
      </c>
      <c r="M3249" t="s">
        <v>578</v>
      </c>
    </row>
    <row r="3250" spans="1:40" x14ac:dyDescent="0.35">
      <c r="A3250">
        <v>6878121</v>
      </c>
      <c r="B3250" t="s">
        <v>8889</v>
      </c>
      <c r="C3250" t="str">
        <f>"9781478010746"</f>
        <v>9781478010746</v>
      </c>
      <c r="D3250" t="str">
        <f>"9781478091691"</f>
        <v>9781478091691</v>
      </c>
      <c r="E3250" t="s">
        <v>687</v>
      </c>
      <c r="F3250" t="s">
        <v>687</v>
      </c>
      <c r="G3250" s="1">
        <v>44372</v>
      </c>
      <c r="H3250" s="1">
        <v>44595</v>
      </c>
      <c r="I3250" t="s">
        <v>189</v>
      </c>
      <c r="J3250">
        <v>1</v>
      </c>
      <c r="K3250" t="s">
        <v>1064</v>
      </c>
      <c r="L3250" t="s">
        <v>3490</v>
      </c>
    </row>
    <row r="3251" spans="1:40" x14ac:dyDescent="0.35">
      <c r="A3251">
        <v>6878122</v>
      </c>
      <c r="B3251" t="s">
        <v>8890</v>
      </c>
      <c r="C3251" t="str">
        <f>"9781478013792"</f>
        <v>9781478013792</v>
      </c>
      <c r="D3251" t="str">
        <f>"9781478091776"</f>
        <v>9781478091776</v>
      </c>
      <c r="E3251" t="s">
        <v>687</v>
      </c>
      <c r="F3251" t="s">
        <v>687</v>
      </c>
      <c r="G3251" s="1">
        <v>44505</v>
      </c>
      <c r="H3251" s="1">
        <v>44595</v>
      </c>
      <c r="I3251" t="s">
        <v>189</v>
      </c>
      <c r="J3251">
        <v>1</v>
      </c>
      <c r="K3251" t="s">
        <v>2968</v>
      </c>
      <c r="L3251" t="s">
        <v>8891</v>
      </c>
      <c r="M3251" t="s">
        <v>339</v>
      </c>
    </row>
    <row r="3252" spans="1:40" x14ac:dyDescent="0.35">
      <c r="A3252">
        <v>6878123</v>
      </c>
      <c r="B3252" t="s">
        <v>8892</v>
      </c>
      <c r="C3252" t="str">
        <f>"9781478013686"</f>
        <v>9781478013686</v>
      </c>
      <c r="D3252" t="str">
        <f>"9781478091813"</f>
        <v>9781478091813</v>
      </c>
      <c r="E3252" t="s">
        <v>687</v>
      </c>
      <c r="F3252" t="s">
        <v>687</v>
      </c>
      <c r="G3252" s="1">
        <v>44519</v>
      </c>
      <c r="H3252" s="1">
        <v>44595</v>
      </c>
      <c r="I3252" t="s">
        <v>189</v>
      </c>
      <c r="J3252">
        <v>1</v>
      </c>
      <c r="L3252" t="s">
        <v>8893</v>
      </c>
      <c r="M3252" t="s">
        <v>578</v>
      </c>
      <c r="N3252" t="s">
        <v>3396</v>
      </c>
      <c r="O3252" s="2">
        <v>78099683</v>
      </c>
      <c r="Q3252" t="s">
        <v>260</v>
      </c>
      <c r="R3252" t="s">
        <v>262</v>
      </c>
      <c r="S3252" t="s">
        <v>261</v>
      </c>
      <c r="T3252" t="s">
        <v>261</v>
      </c>
      <c r="U3252" t="s">
        <v>262</v>
      </c>
      <c r="V3252" t="s">
        <v>262</v>
      </c>
      <c r="W3252" t="s">
        <v>261</v>
      </c>
      <c r="X3252" t="s">
        <v>261</v>
      </c>
      <c r="Y3252" t="s">
        <v>262</v>
      </c>
      <c r="AC3252" t="s">
        <v>703</v>
      </c>
      <c r="AD3252" t="s">
        <v>261</v>
      </c>
      <c r="AH3252" t="s">
        <v>262</v>
      </c>
      <c r="AI3252" t="s">
        <v>262</v>
      </c>
      <c r="AJ3252" t="s">
        <v>261</v>
      </c>
      <c r="AK3252" t="s">
        <v>261</v>
      </c>
      <c r="AM3252" t="s">
        <v>262</v>
      </c>
      <c r="AN3252" t="s">
        <v>8894</v>
      </c>
    </row>
    <row r="3253" spans="1:40" x14ac:dyDescent="0.35">
      <c r="A3253">
        <v>6881097</v>
      </c>
      <c r="B3253" t="s">
        <v>8895</v>
      </c>
      <c r="C3253" t="str">
        <f>""</f>
        <v/>
      </c>
      <c r="D3253" t="str">
        <f>"9789179291976"</f>
        <v>9789179291976</v>
      </c>
      <c r="E3253" t="s">
        <v>3642</v>
      </c>
      <c r="F3253" t="s">
        <v>3642</v>
      </c>
      <c r="G3253" s="1">
        <v>44588</v>
      </c>
      <c r="H3253" s="1">
        <v>44599</v>
      </c>
      <c r="I3253" t="s">
        <v>189</v>
      </c>
      <c r="J3253">
        <v>1</v>
      </c>
      <c r="L3253" t="s">
        <v>8896</v>
      </c>
      <c r="Q3253" t="s">
        <v>260</v>
      </c>
      <c r="R3253" t="s">
        <v>261</v>
      </c>
      <c r="S3253" t="s">
        <v>261</v>
      </c>
      <c r="T3253" t="s">
        <v>261</v>
      </c>
      <c r="U3253" t="s">
        <v>261</v>
      </c>
      <c r="V3253" t="s">
        <v>262</v>
      </c>
      <c r="W3253" t="s">
        <v>261</v>
      </c>
      <c r="X3253" t="s">
        <v>261</v>
      </c>
      <c r="Y3253" t="s">
        <v>261</v>
      </c>
      <c r="AD3253" t="s">
        <v>261</v>
      </c>
      <c r="AH3253" t="s">
        <v>262</v>
      </c>
      <c r="AI3253" t="s">
        <v>261</v>
      </c>
      <c r="AJ3253" t="s">
        <v>261</v>
      </c>
      <c r="AK3253" t="s">
        <v>261</v>
      </c>
      <c r="AM3253" t="s">
        <v>262</v>
      </c>
      <c r="AN3253" t="s">
        <v>8897</v>
      </c>
    </row>
    <row r="3254" spans="1:40" x14ac:dyDescent="0.35">
      <c r="A3254">
        <v>6882488</v>
      </c>
      <c r="B3254" t="s">
        <v>8898</v>
      </c>
      <c r="C3254" t="str">
        <f>"9783030893965"</f>
        <v>9783030893965</v>
      </c>
      <c r="D3254" t="str">
        <f>"9783030893972"</f>
        <v>9783030893972</v>
      </c>
      <c r="E3254" t="s">
        <v>2289</v>
      </c>
      <c r="F3254" t="s">
        <v>3635</v>
      </c>
      <c r="G3254" s="1">
        <v>44595</v>
      </c>
      <c r="H3254" s="1">
        <v>44609</v>
      </c>
      <c r="I3254" t="s">
        <v>189</v>
      </c>
      <c r="K3254" t="s">
        <v>8899</v>
      </c>
      <c r="L3254" t="s">
        <v>8900</v>
      </c>
    </row>
    <row r="3255" spans="1:40" x14ac:dyDescent="0.35">
      <c r="A3255">
        <v>6882491</v>
      </c>
      <c r="B3255" t="s">
        <v>8901</v>
      </c>
      <c r="C3255" t="str">
        <f>"9783030826536"</f>
        <v>9783030826536</v>
      </c>
      <c r="D3255" t="str">
        <f>"9783030826543"</f>
        <v>9783030826543</v>
      </c>
      <c r="E3255" t="s">
        <v>2289</v>
      </c>
      <c r="F3255" t="s">
        <v>2663</v>
      </c>
      <c r="G3255" s="1">
        <v>44632</v>
      </c>
      <c r="H3255" s="1">
        <v>44609</v>
      </c>
      <c r="I3255" t="s">
        <v>189</v>
      </c>
      <c r="K3255" t="s">
        <v>8902</v>
      </c>
      <c r="L3255" t="s">
        <v>8903</v>
      </c>
    </row>
    <row r="3256" spans="1:40" x14ac:dyDescent="0.35">
      <c r="A3256">
        <v>6884828</v>
      </c>
      <c r="B3256" t="s">
        <v>8904</v>
      </c>
      <c r="C3256" t="str">
        <f>"9780472038527"</f>
        <v>9780472038527</v>
      </c>
      <c r="D3256" t="str">
        <f>"9780472902590"</f>
        <v>9780472902590</v>
      </c>
      <c r="E3256" t="s">
        <v>2090</v>
      </c>
      <c r="F3256" t="s">
        <v>2090</v>
      </c>
      <c r="G3256" s="1">
        <v>44615</v>
      </c>
      <c r="H3256" s="1">
        <v>44609</v>
      </c>
      <c r="I3256" t="s">
        <v>189</v>
      </c>
      <c r="L3256" t="s">
        <v>8905</v>
      </c>
      <c r="M3256" t="s">
        <v>1302</v>
      </c>
    </row>
    <row r="3257" spans="1:40" x14ac:dyDescent="0.35">
      <c r="A3257">
        <v>6884889</v>
      </c>
      <c r="B3257" t="s">
        <v>8906</v>
      </c>
      <c r="C3257" t="str">
        <f>"9783030785352"</f>
        <v>9783030785352</v>
      </c>
      <c r="D3257" t="str">
        <f>"9783030785369"</f>
        <v>9783030785369</v>
      </c>
      <c r="E3257" t="s">
        <v>2289</v>
      </c>
      <c r="F3257" t="s">
        <v>2290</v>
      </c>
      <c r="G3257" s="1">
        <v>44600</v>
      </c>
      <c r="H3257" s="1">
        <v>44609</v>
      </c>
      <c r="I3257" t="s">
        <v>189</v>
      </c>
      <c r="K3257" t="s">
        <v>8907</v>
      </c>
      <c r="L3257" t="s">
        <v>8908</v>
      </c>
    </row>
    <row r="3258" spans="1:40" x14ac:dyDescent="0.35">
      <c r="A3258">
        <v>6884913</v>
      </c>
      <c r="B3258" t="s">
        <v>8909</v>
      </c>
      <c r="C3258" t="str">
        <f>"9783030897918"</f>
        <v>9783030897918</v>
      </c>
      <c r="D3258" t="str">
        <f>"9783030897925"</f>
        <v>9783030897925</v>
      </c>
      <c r="E3258" t="s">
        <v>2289</v>
      </c>
      <c r="F3258" t="s">
        <v>2290</v>
      </c>
      <c r="G3258" s="1">
        <v>44635</v>
      </c>
      <c r="H3258" s="1">
        <v>44609</v>
      </c>
      <c r="I3258" t="s">
        <v>189</v>
      </c>
      <c r="K3258" t="s">
        <v>4011</v>
      </c>
      <c r="L3258" t="s">
        <v>8910</v>
      </c>
    </row>
    <row r="3259" spans="1:40" x14ac:dyDescent="0.35">
      <c r="A3259">
        <v>6884928</v>
      </c>
      <c r="B3259" t="s">
        <v>8911</v>
      </c>
      <c r="C3259" t="str">
        <f>"9783030943523"</f>
        <v>9783030943523</v>
      </c>
      <c r="D3259" t="str">
        <f>"9783030943530"</f>
        <v>9783030943530</v>
      </c>
      <c r="E3259" t="s">
        <v>2289</v>
      </c>
      <c r="F3259" t="s">
        <v>2290</v>
      </c>
      <c r="G3259" s="1">
        <v>44616</v>
      </c>
      <c r="H3259" s="1">
        <v>44609</v>
      </c>
      <c r="I3259" t="s">
        <v>189</v>
      </c>
      <c r="L3259" t="s">
        <v>8912</v>
      </c>
    </row>
    <row r="3260" spans="1:40" x14ac:dyDescent="0.35">
      <c r="A3260">
        <v>6885901</v>
      </c>
      <c r="B3260" t="s">
        <v>8913</v>
      </c>
      <c r="C3260" t="str">
        <f>"9783030939502"</f>
        <v>9783030939502</v>
      </c>
      <c r="D3260" t="str">
        <f>"9783030939519"</f>
        <v>9783030939519</v>
      </c>
      <c r="E3260" t="s">
        <v>2289</v>
      </c>
      <c r="F3260" t="s">
        <v>2290</v>
      </c>
      <c r="G3260" s="1">
        <v>44633</v>
      </c>
      <c r="H3260" s="1">
        <v>44609</v>
      </c>
      <c r="I3260" t="s">
        <v>189</v>
      </c>
      <c r="L3260" t="s">
        <v>4530</v>
      </c>
    </row>
    <row r="3261" spans="1:40" x14ac:dyDescent="0.35">
      <c r="A3261">
        <v>6885922</v>
      </c>
      <c r="B3261" t="s">
        <v>8914</v>
      </c>
      <c r="C3261" t="str">
        <f>"9783030827854"</f>
        <v>9783030827854</v>
      </c>
      <c r="D3261" t="str">
        <f>"9783030827861"</f>
        <v>9783030827861</v>
      </c>
      <c r="E3261" t="s">
        <v>2289</v>
      </c>
      <c r="F3261" t="s">
        <v>2290</v>
      </c>
      <c r="G3261" s="1">
        <v>44633</v>
      </c>
      <c r="H3261" s="1">
        <v>44609</v>
      </c>
      <c r="I3261" t="s">
        <v>189</v>
      </c>
      <c r="L3261" t="s">
        <v>8915</v>
      </c>
    </row>
    <row r="3262" spans="1:40" x14ac:dyDescent="0.35">
      <c r="A3262">
        <v>6886954</v>
      </c>
      <c r="B3262" t="s">
        <v>8916</v>
      </c>
      <c r="C3262" t="str">
        <f>"9781800643031"</f>
        <v>9781800643031</v>
      </c>
      <c r="D3262" t="str">
        <f>"9781800643048"</f>
        <v>9781800643048</v>
      </c>
      <c r="E3262" t="s">
        <v>1807</v>
      </c>
      <c r="F3262" t="s">
        <v>1807</v>
      </c>
      <c r="G3262" s="1">
        <v>44593</v>
      </c>
      <c r="H3262" s="1">
        <v>44604</v>
      </c>
      <c r="I3262" t="s">
        <v>189</v>
      </c>
      <c r="J3262">
        <v>1</v>
      </c>
      <c r="K3262" t="s">
        <v>3667</v>
      </c>
      <c r="L3262" t="s">
        <v>8917</v>
      </c>
      <c r="M3262" t="s">
        <v>676</v>
      </c>
      <c r="N3262" t="s">
        <v>8918</v>
      </c>
      <c r="O3262" t="s">
        <v>8919</v>
      </c>
      <c r="P3262" t="s">
        <v>8920</v>
      </c>
    </row>
    <row r="3263" spans="1:40" x14ac:dyDescent="0.35">
      <c r="A3263">
        <v>6886955</v>
      </c>
      <c r="B3263" t="s">
        <v>8921</v>
      </c>
      <c r="C3263" t="str">
        <f>"9781800642430"</f>
        <v>9781800642430</v>
      </c>
      <c r="D3263" t="str">
        <f>"9781800642447"</f>
        <v>9781800642447</v>
      </c>
      <c r="E3263" t="s">
        <v>1807</v>
      </c>
      <c r="F3263" t="s">
        <v>1807</v>
      </c>
      <c r="G3263" s="1">
        <v>44599</v>
      </c>
      <c r="H3263" s="1">
        <v>44604</v>
      </c>
      <c r="I3263" t="s">
        <v>189</v>
      </c>
      <c r="J3263">
        <v>1</v>
      </c>
      <c r="L3263" t="s">
        <v>6223</v>
      </c>
    </row>
    <row r="3264" spans="1:40" x14ac:dyDescent="0.35">
      <c r="A3264">
        <v>6886956</v>
      </c>
      <c r="B3264" t="s">
        <v>8922</v>
      </c>
      <c r="C3264" t="str">
        <f>"9781800643093"</f>
        <v>9781800643093</v>
      </c>
      <c r="D3264" t="str">
        <f>"9781800643109"</f>
        <v>9781800643109</v>
      </c>
      <c r="E3264" t="s">
        <v>1807</v>
      </c>
      <c r="F3264" t="s">
        <v>1807</v>
      </c>
      <c r="G3264" s="1">
        <v>44580</v>
      </c>
      <c r="H3264" s="1">
        <v>44604</v>
      </c>
      <c r="I3264" t="s">
        <v>189</v>
      </c>
      <c r="J3264">
        <v>1</v>
      </c>
      <c r="L3264" t="s">
        <v>8923</v>
      </c>
      <c r="M3264" t="s">
        <v>329</v>
      </c>
      <c r="N3264" t="s">
        <v>8924</v>
      </c>
      <c r="O3264" s="2">
        <v>301072</v>
      </c>
      <c r="P3264" t="s">
        <v>8925</v>
      </c>
    </row>
    <row r="3265" spans="1:40" x14ac:dyDescent="0.35">
      <c r="A3265">
        <v>6887009</v>
      </c>
      <c r="B3265" t="s">
        <v>8926</v>
      </c>
      <c r="C3265" t="str">
        <f>"9783030894450"</f>
        <v>9783030894450</v>
      </c>
      <c r="D3265" t="str">
        <f>"9783030894467"</f>
        <v>9783030894467</v>
      </c>
      <c r="E3265" t="s">
        <v>2289</v>
      </c>
      <c r="F3265" t="s">
        <v>2663</v>
      </c>
      <c r="G3265" s="1">
        <v>44641</v>
      </c>
      <c r="H3265" s="1">
        <v>44609</v>
      </c>
      <c r="I3265" t="s">
        <v>189</v>
      </c>
      <c r="L3265" t="s">
        <v>8927</v>
      </c>
    </row>
    <row r="3266" spans="1:40" x14ac:dyDescent="0.35">
      <c r="A3266">
        <v>6887015</v>
      </c>
      <c r="B3266" t="s">
        <v>8928</v>
      </c>
      <c r="C3266" t="str">
        <f>"9783030930349"</f>
        <v>9783030930349</v>
      </c>
      <c r="D3266" t="str">
        <f>"9783030930356"</f>
        <v>9783030930356</v>
      </c>
      <c r="E3266" t="s">
        <v>2289</v>
      </c>
      <c r="F3266" t="s">
        <v>2290</v>
      </c>
      <c r="G3266" s="1">
        <v>44640</v>
      </c>
      <c r="H3266" s="1">
        <v>44609</v>
      </c>
      <c r="I3266" t="s">
        <v>189</v>
      </c>
      <c r="K3266" t="s">
        <v>1208</v>
      </c>
      <c r="L3266" t="s">
        <v>8929</v>
      </c>
      <c r="M3266" t="s">
        <v>210</v>
      </c>
      <c r="N3266" t="s">
        <v>4706</v>
      </c>
      <c r="Q3266" t="s">
        <v>260</v>
      </c>
      <c r="R3266" t="s">
        <v>261</v>
      </c>
      <c r="S3266" t="s">
        <v>261</v>
      </c>
      <c r="T3266" t="s">
        <v>261</v>
      </c>
      <c r="U3266" t="s">
        <v>261</v>
      </c>
      <c r="V3266" t="s">
        <v>262</v>
      </c>
      <c r="W3266" t="s">
        <v>261</v>
      </c>
      <c r="X3266" t="s">
        <v>261</v>
      </c>
      <c r="Y3266" t="s">
        <v>261</v>
      </c>
      <c r="Z3266" t="s">
        <v>409</v>
      </c>
      <c r="AA3266" t="s">
        <v>409</v>
      </c>
      <c r="AB3266" t="s">
        <v>409</v>
      </c>
      <c r="AC3266" t="s">
        <v>409</v>
      </c>
      <c r="AD3266" t="s">
        <v>261</v>
      </c>
      <c r="AH3266" t="s">
        <v>262</v>
      </c>
      <c r="AI3266" t="s">
        <v>262</v>
      </c>
      <c r="AJ3266" t="s">
        <v>261</v>
      </c>
      <c r="AK3266" t="s">
        <v>261</v>
      </c>
      <c r="AM3266" t="s">
        <v>262</v>
      </c>
      <c r="AN3266" t="s">
        <v>8930</v>
      </c>
    </row>
    <row r="3267" spans="1:40" x14ac:dyDescent="0.35">
      <c r="A3267">
        <v>6887180</v>
      </c>
      <c r="B3267" t="s">
        <v>8931</v>
      </c>
      <c r="C3267" t="str">
        <f>"9783030891466"</f>
        <v>9783030891466</v>
      </c>
      <c r="D3267" t="str">
        <f>"9783030891473"</f>
        <v>9783030891473</v>
      </c>
      <c r="E3267" t="s">
        <v>2289</v>
      </c>
      <c r="F3267" t="s">
        <v>2290</v>
      </c>
      <c r="G3267" s="1">
        <v>44640</v>
      </c>
      <c r="H3267" s="1">
        <v>44609</v>
      </c>
      <c r="I3267" t="s">
        <v>189</v>
      </c>
      <c r="L3267" t="s">
        <v>8932</v>
      </c>
    </row>
    <row r="3268" spans="1:40" x14ac:dyDescent="0.35">
      <c r="A3268">
        <v>6887200</v>
      </c>
      <c r="B3268" t="s">
        <v>8933</v>
      </c>
      <c r="C3268" t="str">
        <f>"9783030936532"</f>
        <v>9783030936532</v>
      </c>
      <c r="D3268" t="str">
        <f>"9783030936549"</f>
        <v>9783030936549</v>
      </c>
      <c r="E3268" t="s">
        <v>2289</v>
      </c>
      <c r="F3268" t="s">
        <v>2663</v>
      </c>
      <c r="G3268" s="1">
        <v>44646</v>
      </c>
      <c r="H3268" s="1">
        <v>44609</v>
      </c>
      <c r="I3268" t="s">
        <v>189</v>
      </c>
      <c r="K3268" t="s">
        <v>8934</v>
      </c>
      <c r="L3268" t="s">
        <v>8935</v>
      </c>
      <c r="M3268" t="s">
        <v>210</v>
      </c>
    </row>
    <row r="3269" spans="1:40" x14ac:dyDescent="0.35">
      <c r="A3269">
        <v>6887234</v>
      </c>
      <c r="B3269" t="s">
        <v>8936</v>
      </c>
      <c r="C3269" t="str">
        <f>""</f>
        <v/>
      </c>
      <c r="D3269" t="str">
        <f>"9789179291952"</f>
        <v>9789179291952</v>
      </c>
      <c r="E3269" t="s">
        <v>3642</v>
      </c>
      <c r="F3269" t="s">
        <v>3642</v>
      </c>
      <c r="G3269" s="1">
        <v>44545</v>
      </c>
      <c r="H3269" s="1">
        <v>44606</v>
      </c>
      <c r="I3269" t="s">
        <v>189</v>
      </c>
      <c r="J3269">
        <v>1</v>
      </c>
      <c r="L3269" t="s">
        <v>8937</v>
      </c>
      <c r="Q3269" t="s">
        <v>260</v>
      </c>
      <c r="R3269" t="s">
        <v>261</v>
      </c>
      <c r="S3269" t="s">
        <v>261</v>
      </c>
      <c r="T3269" t="s">
        <v>261</v>
      </c>
      <c r="U3269" t="s">
        <v>261</v>
      </c>
      <c r="V3269" t="s">
        <v>262</v>
      </c>
      <c r="W3269" t="s">
        <v>261</v>
      </c>
      <c r="X3269" t="s">
        <v>261</v>
      </c>
      <c r="Y3269" t="s">
        <v>261</v>
      </c>
      <c r="AD3269" t="s">
        <v>261</v>
      </c>
      <c r="AH3269" t="s">
        <v>262</v>
      </c>
      <c r="AI3269" t="s">
        <v>261</v>
      </c>
      <c r="AJ3269" t="s">
        <v>261</v>
      </c>
      <c r="AK3269" t="s">
        <v>261</v>
      </c>
      <c r="AM3269" t="s">
        <v>262</v>
      </c>
      <c r="AN3269" t="s">
        <v>8938</v>
      </c>
    </row>
    <row r="3270" spans="1:40" x14ac:dyDescent="0.35">
      <c r="A3270">
        <v>6887237</v>
      </c>
      <c r="B3270" t="s">
        <v>8939</v>
      </c>
      <c r="C3270" t="str">
        <f>""</f>
        <v/>
      </c>
      <c r="D3270" t="str">
        <f>"9789179291686"</f>
        <v>9789179291686</v>
      </c>
      <c r="E3270" t="s">
        <v>3642</v>
      </c>
      <c r="F3270" t="s">
        <v>3642</v>
      </c>
      <c r="G3270" s="1">
        <v>44599</v>
      </c>
      <c r="H3270" s="1">
        <v>44613</v>
      </c>
      <c r="I3270" t="s">
        <v>189</v>
      </c>
      <c r="J3270">
        <v>1</v>
      </c>
      <c r="L3270" t="s">
        <v>8940</v>
      </c>
      <c r="Q3270" t="s">
        <v>260</v>
      </c>
      <c r="R3270" t="s">
        <v>261</v>
      </c>
      <c r="S3270" t="s">
        <v>261</v>
      </c>
      <c r="T3270" t="s">
        <v>261</v>
      </c>
      <c r="U3270" t="s">
        <v>261</v>
      </c>
      <c r="V3270" t="s">
        <v>262</v>
      </c>
      <c r="W3270" t="s">
        <v>261</v>
      </c>
      <c r="X3270" t="s">
        <v>261</v>
      </c>
      <c r="Y3270" t="s">
        <v>261</v>
      </c>
      <c r="AD3270" t="s">
        <v>261</v>
      </c>
      <c r="AH3270" t="s">
        <v>262</v>
      </c>
      <c r="AI3270" t="s">
        <v>261</v>
      </c>
      <c r="AJ3270" t="s">
        <v>261</v>
      </c>
      <c r="AK3270" t="s">
        <v>261</v>
      </c>
      <c r="AM3270" t="s">
        <v>262</v>
      </c>
      <c r="AN3270" t="s">
        <v>8941</v>
      </c>
    </row>
    <row r="3271" spans="1:40" x14ac:dyDescent="0.35">
      <c r="A3271">
        <v>6887326</v>
      </c>
      <c r="B3271" t="s">
        <v>8942</v>
      </c>
      <c r="C3271" t="str">
        <f>"9783030894047"</f>
        <v>9783030894047</v>
      </c>
      <c r="D3271" t="str">
        <f>"9783030894054"</f>
        <v>9783030894054</v>
      </c>
      <c r="E3271" t="s">
        <v>2289</v>
      </c>
      <c r="F3271" t="s">
        <v>2663</v>
      </c>
      <c r="G3271" s="1">
        <v>44649</v>
      </c>
      <c r="H3271" s="1">
        <v>44623</v>
      </c>
      <c r="I3271" t="s">
        <v>189</v>
      </c>
      <c r="L3271" t="s">
        <v>8943</v>
      </c>
    </row>
    <row r="3272" spans="1:40" x14ac:dyDescent="0.35">
      <c r="A3272">
        <v>6888358</v>
      </c>
      <c r="B3272" t="s">
        <v>8944</v>
      </c>
      <c r="C3272" t="str">
        <f>"9783030780395"</f>
        <v>9783030780395</v>
      </c>
      <c r="D3272" t="str">
        <f>"9783030780401"</f>
        <v>9783030780401</v>
      </c>
      <c r="E3272" t="s">
        <v>2289</v>
      </c>
      <c r="F3272" t="s">
        <v>2663</v>
      </c>
      <c r="G3272" s="1">
        <v>44641</v>
      </c>
      <c r="H3272" s="1">
        <v>44623</v>
      </c>
      <c r="I3272" t="s">
        <v>189</v>
      </c>
      <c r="K3272" t="s">
        <v>8945</v>
      </c>
      <c r="L3272" t="s">
        <v>8946</v>
      </c>
    </row>
    <row r="3273" spans="1:40" x14ac:dyDescent="0.35">
      <c r="A3273">
        <v>6889616</v>
      </c>
      <c r="B3273" t="s">
        <v>8947</v>
      </c>
      <c r="C3273" t="str">
        <f>"9783030909833"</f>
        <v>9783030909833</v>
      </c>
      <c r="D3273" t="str">
        <f>"9783030909840"</f>
        <v>9783030909840</v>
      </c>
      <c r="E3273" t="s">
        <v>2289</v>
      </c>
      <c r="F3273" t="s">
        <v>2290</v>
      </c>
      <c r="G3273" s="1">
        <v>44608</v>
      </c>
      <c r="H3273" s="1">
        <v>44623</v>
      </c>
      <c r="I3273" t="s">
        <v>189</v>
      </c>
      <c r="K3273" t="s">
        <v>8428</v>
      </c>
      <c r="L3273" t="s">
        <v>8948</v>
      </c>
      <c r="M3273" t="s">
        <v>323</v>
      </c>
    </row>
    <row r="3274" spans="1:40" x14ac:dyDescent="0.35">
      <c r="A3274">
        <v>6889645</v>
      </c>
      <c r="B3274" t="s">
        <v>8949</v>
      </c>
      <c r="C3274" t="str">
        <f>"9783030907686"</f>
        <v>9783030907686</v>
      </c>
      <c r="D3274" t="str">
        <f>"9783030907693"</f>
        <v>9783030907693</v>
      </c>
      <c r="E3274" t="s">
        <v>2289</v>
      </c>
      <c r="F3274" t="s">
        <v>2663</v>
      </c>
      <c r="G3274" s="1">
        <v>44608</v>
      </c>
      <c r="H3274" s="1">
        <v>44623</v>
      </c>
      <c r="I3274" t="s">
        <v>189</v>
      </c>
      <c r="L3274" t="s">
        <v>8950</v>
      </c>
    </row>
    <row r="3275" spans="1:40" x14ac:dyDescent="0.35">
      <c r="A3275">
        <v>6889685</v>
      </c>
      <c r="B3275" t="s">
        <v>8951</v>
      </c>
      <c r="C3275" t="str">
        <f>"9789027210166"</f>
        <v>9789027210166</v>
      </c>
      <c r="D3275" t="str">
        <f>"9789027258267"</f>
        <v>9789027258267</v>
      </c>
      <c r="E3275" t="s">
        <v>1372</v>
      </c>
      <c r="F3275" t="s">
        <v>1372</v>
      </c>
      <c r="G3275" s="1">
        <v>44630</v>
      </c>
      <c r="H3275" s="1">
        <v>44623</v>
      </c>
      <c r="I3275" t="s">
        <v>189</v>
      </c>
      <c r="J3275">
        <v>1</v>
      </c>
      <c r="K3275" t="s">
        <v>2887</v>
      </c>
      <c r="L3275" t="s">
        <v>8952</v>
      </c>
    </row>
    <row r="3276" spans="1:40" x14ac:dyDescent="0.35">
      <c r="A3276">
        <v>6891944</v>
      </c>
      <c r="B3276" t="s">
        <v>8953</v>
      </c>
      <c r="C3276" t="str">
        <f>"9783030793524"</f>
        <v>9783030793524</v>
      </c>
      <c r="D3276" t="str">
        <f>"9783030793531"</f>
        <v>9783030793531</v>
      </c>
      <c r="E3276" t="s">
        <v>2289</v>
      </c>
      <c r="F3276" t="s">
        <v>2290</v>
      </c>
      <c r="G3276" s="1">
        <v>44646</v>
      </c>
      <c r="H3276" s="1">
        <v>44623</v>
      </c>
      <c r="I3276" t="s">
        <v>189</v>
      </c>
      <c r="K3276" t="s">
        <v>8954</v>
      </c>
      <c r="L3276" t="s">
        <v>8955</v>
      </c>
    </row>
    <row r="3277" spans="1:40" x14ac:dyDescent="0.35">
      <c r="A3277">
        <v>6891949</v>
      </c>
      <c r="B3277" t="s">
        <v>8956</v>
      </c>
      <c r="C3277" t="str">
        <f>"9789811686023"</f>
        <v>9789811686023</v>
      </c>
      <c r="D3277" t="str">
        <f>"9789811686030"</f>
        <v>9789811686030</v>
      </c>
      <c r="E3277" t="s">
        <v>3404</v>
      </c>
      <c r="F3277" t="s">
        <v>2290</v>
      </c>
      <c r="G3277" s="1">
        <v>44646</v>
      </c>
      <c r="H3277" s="1">
        <v>44623</v>
      </c>
      <c r="I3277" t="s">
        <v>189</v>
      </c>
      <c r="K3277" t="s">
        <v>7445</v>
      </c>
      <c r="L3277" t="s">
        <v>7446</v>
      </c>
    </row>
    <row r="3278" spans="1:40" x14ac:dyDescent="0.35">
      <c r="A3278">
        <v>6892138</v>
      </c>
      <c r="B3278" t="s">
        <v>8957</v>
      </c>
      <c r="C3278" t="str">
        <f>"9781478015499"</f>
        <v>9781478015499</v>
      </c>
      <c r="D3278" t="str">
        <f>"9781478092605"</f>
        <v>9781478092605</v>
      </c>
      <c r="E3278" t="s">
        <v>687</v>
      </c>
      <c r="F3278" t="s">
        <v>687</v>
      </c>
      <c r="G3278" s="1">
        <v>44652</v>
      </c>
      <c r="H3278" s="1">
        <v>44620</v>
      </c>
      <c r="I3278" t="s">
        <v>189</v>
      </c>
      <c r="J3278">
        <v>1</v>
      </c>
      <c r="K3278" t="s">
        <v>8830</v>
      </c>
      <c r="L3278" t="s">
        <v>8958</v>
      </c>
      <c r="M3278" t="s">
        <v>578</v>
      </c>
      <c r="N3278" t="s">
        <v>8959</v>
      </c>
      <c r="O3278" s="2">
        <v>791430233092</v>
      </c>
      <c r="Q3278" t="s">
        <v>260</v>
      </c>
      <c r="R3278" t="s">
        <v>261</v>
      </c>
      <c r="S3278" t="s">
        <v>261</v>
      </c>
      <c r="T3278" t="s">
        <v>261</v>
      </c>
      <c r="U3278" t="s">
        <v>261</v>
      </c>
      <c r="V3278" t="s">
        <v>262</v>
      </c>
      <c r="W3278" t="s">
        <v>261</v>
      </c>
      <c r="X3278" t="s">
        <v>261</v>
      </c>
      <c r="Y3278" t="s">
        <v>261</v>
      </c>
      <c r="AD3278" t="s">
        <v>261</v>
      </c>
      <c r="AH3278" t="s">
        <v>262</v>
      </c>
      <c r="AI3278" t="s">
        <v>262</v>
      </c>
      <c r="AJ3278" t="s">
        <v>261</v>
      </c>
      <c r="AK3278" t="s">
        <v>261</v>
      </c>
      <c r="AM3278" t="s">
        <v>262</v>
      </c>
      <c r="AN3278" t="s">
        <v>8960</v>
      </c>
    </row>
    <row r="3279" spans="1:40" x14ac:dyDescent="0.35">
      <c r="A3279">
        <v>6892156</v>
      </c>
      <c r="B3279" t="s">
        <v>8961</v>
      </c>
      <c r="C3279" t="str">
        <f>"9783658364793"</f>
        <v>9783658364793</v>
      </c>
      <c r="D3279" t="str">
        <f>"9783658364809"</f>
        <v>9783658364809</v>
      </c>
      <c r="E3279" t="s">
        <v>3972</v>
      </c>
      <c r="F3279" t="s">
        <v>3972</v>
      </c>
      <c r="G3279" s="1">
        <v>44684</v>
      </c>
      <c r="H3279" s="1">
        <v>44623</v>
      </c>
      <c r="I3279" t="s">
        <v>189</v>
      </c>
      <c r="L3279" t="s">
        <v>8962</v>
      </c>
      <c r="M3279" t="s">
        <v>249</v>
      </c>
      <c r="N3279" t="s">
        <v>5250</v>
      </c>
      <c r="Q3279" t="s">
        <v>408</v>
      </c>
      <c r="R3279" t="s">
        <v>261</v>
      </c>
      <c r="S3279" t="s">
        <v>261</v>
      </c>
      <c r="T3279" t="s">
        <v>261</v>
      </c>
      <c r="U3279" t="s">
        <v>261</v>
      </c>
      <c r="V3279" t="s">
        <v>262</v>
      </c>
      <c r="W3279" t="s">
        <v>261</v>
      </c>
      <c r="X3279" t="s">
        <v>261</v>
      </c>
      <c r="Y3279" t="s">
        <v>261</v>
      </c>
      <c r="Z3279" t="s">
        <v>409</v>
      </c>
      <c r="AA3279" t="s">
        <v>409</v>
      </c>
      <c r="AB3279" t="s">
        <v>409</v>
      </c>
      <c r="AC3279" t="s">
        <v>409</v>
      </c>
      <c r="AD3279" t="s">
        <v>261</v>
      </c>
      <c r="AH3279" t="s">
        <v>262</v>
      </c>
      <c r="AI3279" t="s">
        <v>262</v>
      </c>
      <c r="AJ3279" t="s">
        <v>261</v>
      </c>
      <c r="AK3279" t="s">
        <v>261</v>
      </c>
      <c r="AM3279" t="s">
        <v>262</v>
      </c>
      <c r="AN3279" t="s">
        <v>8963</v>
      </c>
    </row>
    <row r="3280" spans="1:40" x14ac:dyDescent="0.35">
      <c r="A3280">
        <v>6892166</v>
      </c>
      <c r="B3280" t="s">
        <v>8964</v>
      </c>
      <c r="C3280" t="str">
        <f>""</f>
        <v/>
      </c>
      <c r="D3280" t="str">
        <f>"9789179292508"</f>
        <v>9789179292508</v>
      </c>
      <c r="E3280" t="s">
        <v>3642</v>
      </c>
      <c r="F3280" t="s">
        <v>3642</v>
      </c>
      <c r="G3280" s="1">
        <v>44609</v>
      </c>
      <c r="H3280" s="1">
        <v>44613</v>
      </c>
      <c r="I3280" t="s">
        <v>189</v>
      </c>
      <c r="J3280">
        <v>1</v>
      </c>
      <c r="L3280" t="s">
        <v>8965</v>
      </c>
      <c r="Q3280" t="s">
        <v>260</v>
      </c>
      <c r="R3280" t="s">
        <v>261</v>
      </c>
      <c r="S3280" t="s">
        <v>261</v>
      </c>
      <c r="T3280" t="s">
        <v>261</v>
      </c>
      <c r="U3280" t="s">
        <v>261</v>
      </c>
      <c r="V3280" t="s">
        <v>262</v>
      </c>
      <c r="W3280" t="s">
        <v>261</v>
      </c>
      <c r="X3280" t="s">
        <v>261</v>
      </c>
      <c r="Y3280" t="s">
        <v>261</v>
      </c>
      <c r="AD3280" t="s">
        <v>261</v>
      </c>
      <c r="AH3280" t="s">
        <v>262</v>
      </c>
      <c r="AI3280" t="s">
        <v>261</v>
      </c>
      <c r="AJ3280" t="s">
        <v>261</v>
      </c>
      <c r="AK3280" t="s">
        <v>261</v>
      </c>
      <c r="AM3280" t="s">
        <v>262</v>
      </c>
      <c r="AN3280" t="s">
        <v>8966</v>
      </c>
    </row>
    <row r="3281" spans="1:40" x14ac:dyDescent="0.35">
      <c r="A3281">
        <v>6892216</v>
      </c>
      <c r="B3281" t="s">
        <v>8967</v>
      </c>
      <c r="C3281" t="str">
        <f>"9789811690235"</f>
        <v>9789811690235</v>
      </c>
      <c r="D3281" t="str">
        <f>"9789811690242"</f>
        <v>9789811690242</v>
      </c>
      <c r="E3281" t="s">
        <v>3404</v>
      </c>
      <c r="F3281" t="s">
        <v>2290</v>
      </c>
      <c r="G3281" s="1">
        <v>44611</v>
      </c>
      <c r="H3281" s="1">
        <v>44623</v>
      </c>
      <c r="I3281" t="s">
        <v>189</v>
      </c>
      <c r="L3281" t="s">
        <v>8968</v>
      </c>
      <c r="M3281" t="s">
        <v>249</v>
      </c>
      <c r="N3281" t="s">
        <v>5418</v>
      </c>
      <c r="Q3281" t="s">
        <v>260</v>
      </c>
      <c r="R3281" t="s">
        <v>261</v>
      </c>
      <c r="S3281" t="s">
        <v>261</v>
      </c>
      <c r="T3281" t="s">
        <v>261</v>
      </c>
      <c r="U3281" t="s">
        <v>261</v>
      </c>
      <c r="V3281" t="s">
        <v>262</v>
      </c>
      <c r="W3281" t="s">
        <v>261</v>
      </c>
      <c r="X3281" t="s">
        <v>261</v>
      </c>
      <c r="Y3281" t="s">
        <v>261</v>
      </c>
      <c r="Z3281" t="s">
        <v>409</v>
      </c>
      <c r="AA3281" t="s">
        <v>409</v>
      </c>
      <c r="AB3281" t="s">
        <v>409</v>
      </c>
      <c r="AC3281" t="s">
        <v>409</v>
      </c>
      <c r="AD3281" t="s">
        <v>261</v>
      </c>
      <c r="AH3281" t="s">
        <v>262</v>
      </c>
      <c r="AI3281" t="s">
        <v>262</v>
      </c>
      <c r="AJ3281" t="s">
        <v>261</v>
      </c>
      <c r="AK3281" t="s">
        <v>261</v>
      </c>
      <c r="AM3281" t="s">
        <v>262</v>
      </c>
      <c r="AN3281" t="s">
        <v>8969</v>
      </c>
    </row>
    <row r="3282" spans="1:40" x14ac:dyDescent="0.35">
      <c r="A3282">
        <v>6892674</v>
      </c>
      <c r="B3282" t="s">
        <v>8970</v>
      </c>
      <c r="C3282" t="str">
        <f>"9783030934286"</f>
        <v>9783030934286</v>
      </c>
      <c r="D3282" t="str">
        <f>"9783030934293"</f>
        <v>9783030934293</v>
      </c>
      <c r="E3282" t="s">
        <v>2289</v>
      </c>
      <c r="F3282" t="s">
        <v>2663</v>
      </c>
      <c r="G3282" s="1">
        <v>44613</v>
      </c>
      <c r="H3282" s="1">
        <v>44615</v>
      </c>
      <c r="I3282" t="s">
        <v>189</v>
      </c>
      <c r="L3282" t="s">
        <v>8971</v>
      </c>
    </row>
    <row r="3283" spans="1:40" x14ac:dyDescent="0.35">
      <c r="A3283">
        <v>6892777</v>
      </c>
      <c r="B3283" t="s">
        <v>8972</v>
      </c>
      <c r="C3283" t="str">
        <f>"9781646421695"</f>
        <v>9781646421695</v>
      </c>
      <c r="D3283" t="str">
        <f>"9781646421701"</f>
        <v>9781646421701</v>
      </c>
      <c r="E3283" t="s">
        <v>1405</v>
      </c>
      <c r="F3283" t="s">
        <v>1405</v>
      </c>
      <c r="G3283" s="1">
        <v>44319</v>
      </c>
      <c r="H3283" s="1">
        <v>44616</v>
      </c>
      <c r="I3283" t="s">
        <v>189</v>
      </c>
      <c r="L3283" t="s">
        <v>8973</v>
      </c>
    </row>
    <row r="3284" spans="1:40" x14ac:dyDescent="0.35">
      <c r="A3284">
        <v>6892778</v>
      </c>
      <c r="B3284" t="s">
        <v>8974</v>
      </c>
      <c r="C3284" t="str">
        <f>"9781607328131"</f>
        <v>9781607328131</v>
      </c>
      <c r="D3284" t="str">
        <f>"9781646420025"</f>
        <v>9781646420025</v>
      </c>
      <c r="E3284" t="s">
        <v>1405</v>
      </c>
      <c r="F3284" t="s">
        <v>1405</v>
      </c>
      <c r="G3284" s="1">
        <v>43882</v>
      </c>
      <c r="H3284" s="1">
        <v>44616</v>
      </c>
      <c r="I3284" t="s">
        <v>189</v>
      </c>
      <c r="L3284" t="s">
        <v>8975</v>
      </c>
    </row>
    <row r="3285" spans="1:40" x14ac:dyDescent="0.35">
      <c r="A3285">
        <v>6892789</v>
      </c>
      <c r="B3285" t="s">
        <v>8976</v>
      </c>
      <c r="C3285" t="str">
        <f>"9781646421312"</f>
        <v>9781646421312</v>
      </c>
      <c r="D3285" t="str">
        <f>"9781646421329"</f>
        <v>9781646421329</v>
      </c>
      <c r="E3285" t="s">
        <v>1405</v>
      </c>
      <c r="F3285" t="s">
        <v>1405</v>
      </c>
      <c r="G3285" s="1">
        <v>44348</v>
      </c>
      <c r="H3285" s="1">
        <v>44616</v>
      </c>
      <c r="I3285" t="s">
        <v>189</v>
      </c>
      <c r="L3285" t="s">
        <v>8977</v>
      </c>
      <c r="M3285" t="s">
        <v>239</v>
      </c>
    </row>
    <row r="3286" spans="1:40" x14ac:dyDescent="0.35">
      <c r="A3286">
        <v>6893332</v>
      </c>
      <c r="B3286" t="s">
        <v>8978</v>
      </c>
      <c r="C3286" t="str">
        <f>"9783030670238"</f>
        <v>9783030670238</v>
      </c>
      <c r="D3286" t="str">
        <f>"9783030670245"</f>
        <v>9783030670245</v>
      </c>
      <c r="E3286" t="s">
        <v>2289</v>
      </c>
      <c r="F3286" t="s">
        <v>2290</v>
      </c>
      <c r="G3286" s="1">
        <v>44616</v>
      </c>
      <c r="H3286" s="1">
        <v>44631</v>
      </c>
      <c r="I3286" t="s">
        <v>189</v>
      </c>
      <c r="J3286">
        <v>2</v>
      </c>
      <c r="K3286" t="s">
        <v>8979</v>
      </c>
      <c r="L3286" t="s">
        <v>8980</v>
      </c>
    </row>
    <row r="3287" spans="1:40" x14ac:dyDescent="0.35">
      <c r="A3287">
        <v>6893818</v>
      </c>
      <c r="B3287" t="s">
        <v>8981</v>
      </c>
      <c r="C3287" t="str">
        <f>""</f>
        <v/>
      </c>
      <c r="D3287" t="str">
        <f>"9783422981010"</f>
        <v>9783422981010</v>
      </c>
      <c r="E3287" t="s">
        <v>6557</v>
      </c>
      <c r="F3287" t="s">
        <v>6557</v>
      </c>
      <c r="G3287" s="1">
        <v>43654</v>
      </c>
      <c r="H3287" s="1">
        <v>44631</v>
      </c>
      <c r="I3287" t="s">
        <v>189</v>
      </c>
      <c r="J3287">
        <v>1</v>
      </c>
      <c r="K3287" t="s">
        <v>8982</v>
      </c>
      <c r="L3287" t="s">
        <v>8983</v>
      </c>
    </row>
    <row r="3288" spans="1:40" x14ac:dyDescent="0.35">
      <c r="A3288">
        <v>6894509</v>
      </c>
      <c r="B3288" t="s">
        <v>8984</v>
      </c>
      <c r="C3288" t="str">
        <f>"9783030696900"</f>
        <v>9783030696900</v>
      </c>
      <c r="D3288" t="str">
        <f>"9783030696917"</f>
        <v>9783030696917</v>
      </c>
      <c r="E3288" t="s">
        <v>2289</v>
      </c>
      <c r="F3288" t="s">
        <v>2663</v>
      </c>
      <c r="G3288" s="1">
        <v>44650</v>
      </c>
      <c r="H3288" s="1">
        <v>44631</v>
      </c>
      <c r="I3288" t="s">
        <v>189</v>
      </c>
      <c r="K3288" t="s">
        <v>8985</v>
      </c>
      <c r="L3288" t="s">
        <v>8986</v>
      </c>
    </row>
    <row r="3289" spans="1:40" x14ac:dyDescent="0.35">
      <c r="A3289">
        <v>6894681</v>
      </c>
      <c r="B3289" t="s">
        <v>8987</v>
      </c>
      <c r="C3289" t="str">
        <f>"9780520379756"</f>
        <v>9780520379756</v>
      </c>
      <c r="D3289" t="str">
        <f>"9780520976900"</f>
        <v>9780520976900</v>
      </c>
      <c r="E3289" t="s">
        <v>8988</v>
      </c>
      <c r="F3289" t="s">
        <v>8988</v>
      </c>
      <c r="G3289" s="1">
        <v>44355</v>
      </c>
      <c r="H3289" s="1">
        <v>44620</v>
      </c>
      <c r="I3289" t="s">
        <v>189</v>
      </c>
      <c r="J3289">
        <v>1</v>
      </c>
      <c r="K3289" t="s">
        <v>8989</v>
      </c>
      <c r="L3289" t="s">
        <v>8990</v>
      </c>
      <c r="M3289" t="s">
        <v>316</v>
      </c>
      <c r="O3289" s="2">
        <v>34256942085</v>
      </c>
      <c r="Q3289" t="s">
        <v>260</v>
      </c>
      <c r="R3289" t="s">
        <v>261</v>
      </c>
      <c r="S3289" t="s">
        <v>261</v>
      </c>
      <c r="T3289" t="s">
        <v>261</v>
      </c>
      <c r="U3289" t="s">
        <v>261</v>
      </c>
      <c r="V3289" t="s">
        <v>262</v>
      </c>
      <c r="W3289" t="s">
        <v>261</v>
      </c>
      <c r="X3289" t="s">
        <v>261</v>
      </c>
      <c r="Y3289" t="s">
        <v>261</v>
      </c>
      <c r="Z3289" t="s">
        <v>409</v>
      </c>
      <c r="AA3289" t="s">
        <v>409</v>
      </c>
      <c r="AB3289" t="s">
        <v>409</v>
      </c>
      <c r="AC3289" t="s">
        <v>409</v>
      </c>
      <c r="AD3289" t="s">
        <v>261</v>
      </c>
      <c r="AH3289" t="s">
        <v>262</v>
      </c>
      <c r="AI3289" t="s">
        <v>262</v>
      </c>
      <c r="AJ3289" t="s">
        <v>261</v>
      </c>
      <c r="AK3289" t="s">
        <v>261</v>
      </c>
      <c r="AM3289" t="s">
        <v>262</v>
      </c>
      <c r="AN3289" t="s">
        <v>8991</v>
      </c>
    </row>
    <row r="3290" spans="1:40" x14ac:dyDescent="0.35">
      <c r="A3290">
        <v>6894690</v>
      </c>
      <c r="B3290" t="s">
        <v>8992</v>
      </c>
      <c r="C3290" t="str">
        <f>"9780520380530"</f>
        <v>9780520380530</v>
      </c>
      <c r="D3290" t="str">
        <f>"9780520380547"</f>
        <v>9780520380547</v>
      </c>
      <c r="E3290" t="s">
        <v>8988</v>
      </c>
      <c r="F3290" t="s">
        <v>8988</v>
      </c>
      <c r="G3290" s="1">
        <v>44341</v>
      </c>
      <c r="H3290" s="1">
        <v>44620</v>
      </c>
      <c r="I3290" t="s">
        <v>189</v>
      </c>
      <c r="J3290">
        <v>1</v>
      </c>
      <c r="L3290" t="s">
        <v>8993</v>
      </c>
      <c r="M3290" t="s">
        <v>239</v>
      </c>
      <c r="O3290" t="s">
        <v>8994</v>
      </c>
      <c r="Q3290" t="s">
        <v>260</v>
      </c>
      <c r="R3290" t="s">
        <v>261</v>
      </c>
      <c r="S3290" t="s">
        <v>261</v>
      </c>
      <c r="T3290" t="s">
        <v>261</v>
      </c>
      <c r="U3290" t="s">
        <v>261</v>
      </c>
      <c r="V3290" t="s">
        <v>262</v>
      </c>
      <c r="W3290" t="s">
        <v>261</v>
      </c>
      <c r="X3290" t="s">
        <v>261</v>
      </c>
      <c r="Y3290" t="s">
        <v>261</v>
      </c>
      <c r="Z3290" t="s">
        <v>409</v>
      </c>
      <c r="AA3290" t="s">
        <v>409</v>
      </c>
      <c r="AB3290" t="s">
        <v>409</v>
      </c>
      <c r="AC3290" t="s">
        <v>409</v>
      </c>
      <c r="AD3290" t="s">
        <v>261</v>
      </c>
      <c r="AH3290" t="s">
        <v>262</v>
      </c>
      <c r="AI3290" t="s">
        <v>262</v>
      </c>
      <c r="AJ3290" t="s">
        <v>261</v>
      </c>
      <c r="AK3290" t="s">
        <v>261</v>
      </c>
      <c r="AM3290" t="s">
        <v>262</v>
      </c>
      <c r="AN3290" t="s">
        <v>8995</v>
      </c>
    </row>
    <row r="3291" spans="1:40" x14ac:dyDescent="0.35">
      <c r="A3291">
        <v>6894710</v>
      </c>
      <c r="B3291" t="s">
        <v>8996</v>
      </c>
      <c r="C3291" t="str">
        <f>"9780520382541"</f>
        <v>9780520382541</v>
      </c>
      <c r="D3291" t="str">
        <f>"9780520382558"</f>
        <v>9780520382558</v>
      </c>
      <c r="E3291" t="s">
        <v>8988</v>
      </c>
      <c r="F3291" t="s">
        <v>8988</v>
      </c>
      <c r="G3291" s="1">
        <v>44369</v>
      </c>
      <c r="H3291" s="1">
        <v>44620</v>
      </c>
      <c r="I3291" t="s">
        <v>189</v>
      </c>
      <c r="J3291">
        <v>1</v>
      </c>
      <c r="K3291" t="s">
        <v>8997</v>
      </c>
      <c r="L3291" t="s">
        <v>8998</v>
      </c>
      <c r="M3291" t="s">
        <v>219</v>
      </c>
      <c r="O3291" s="2">
        <v>8956314</v>
      </c>
      <c r="Q3291" t="s">
        <v>260</v>
      </c>
      <c r="R3291" t="s">
        <v>261</v>
      </c>
      <c r="S3291" t="s">
        <v>261</v>
      </c>
      <c r="T3291" t="s">
        <v>261</v>
      </c>
      <c r="U3291" t="s">
        <v>261</v>
      </c>
      <c r="V3291" t="s">
        <v>262</v>
      </c>
      <c r="W3291" t="s">
        <v>261</v>
      </c>
      <c r="X3291" t="s">
        <v>261</v>
      </c>
      <c r="Y3291" t="s">
        <v>261</v>
      </c>
      <c r="Z3291" t="s">
        <v>409</v>
      </c>
      <c r="AA3291" t="s">
        <v>409</v>
      </c>
      <c r="AB3291" t="s">
        <v>409</v>
      </c>
      <c r="AC3291" t="s">
        <v>409</v>
      </c>
      <c r="AD3291" t="s">
        <v>261</v>
      </c>
      <c r="AH3291" t="s">
        <v>262</v>
      </c>
      <c r="AI3291" t="s">
        <v>262</v>
      </c>
      <c r="AJ3291" t="s">
        <v>261</v>
      </c>
      <c r="AK3291" t="s">
        <v>261</v>
      </c>
      <c r="AM3291" t="s">
        <v>262</v>
      </c>
      <c r="AN3291" t="s">
        <v>8999</v>
      </c>
    </row>
    <row r="3292" spans="1:40" x14ac:dyDescent="0.35">
      <c r="A3292">
        <v>6894846</v>
      </c>
      <c r="B3292" t="s">
        <v>9000</v>
      </c>
      <c r="C3292" t="str">
        <f>"9780520380592"</f>
        <v>9780520380592</v>
      </c>
      <c r="D3292" t="str">
        <f>"9780520380608"</f>
        <v>9780520380608</v>
      </c>
      <c r="E3292" t="s">
        <v>8988</v>
      </c>
      <c r="F3292" t="s">
        <v>8988</v>
      </c>
      <c r="G3292" s="1">
        <v>44425</v>
      </c>
      <c r="H3292" s="1">
        <v>44620</v>
      </c>
      <c r="I3292" t="s">
        <v>189</v>
      </c>
      <c r="J3292">
        <v>1</v>
      </c>
      <c r="K3292" t="s">
        <v>8989</v>
      </c>
      <c r="L3292" t="s">
        <v>9001</v>
      </c>
      <c r="M3292" t="s">
        <v>210</v>
      </c>
      <c r="O3292" s="2">
        <v>32521095692</v>
      </c>
      <c r="Q3292" t="s">
        <v>260</v>
      </c>
      <c r="R3292" t="s">
        <v>261</v>
      </c>
      <c r="S3292" t="s">
        <v>261</v>
      </c>
      <c r="T3292" t="s">
        <v>261</v>
      </c>
      <c r="U3292" t="s">
        <v>261</v>
      </c>
      <c r="V3292" t="s">
        <v>262</v>
      </c>
      <c r="W3292" t="s">
        <v>261</v>
      </c>
      <c r="X3292" t="s">
        <v>261</v>
      </c>
      <c r="Y3292" t="s">
        <v>261</v>
      </c>
      <c r="Z3292" t="s">
        <v>409</v>
      </c>
      <c r="AA3292" t="s">
        <v>409</v>
      </c>
      <c r="AB3292" t="s">
        <v>409</v>
      </c>
      <c r="AC3292" t="s">
        <v>409</v>
      </c>
      <c r="AD3292" t="s">
        <v>261</v>
      </c>
      <c r="AH3292" t="s">
        <v>262</v>
      </c>
      <c r="AI3292" t="s">
        <v>262</v>
      </c>
      <c r="AJ3292" t="s">
        <v>261</v>
      </c>
      <c r="AK3292" t="s">
        <v>261</v>
      </c>
      <c r="AM3292" t="s">
        <v>262</v>
      </c>
      <c r="AN3292" t="s">
        <v>9002</v>
      </c>
    </row>
    <row r="3293" spans="1:40" x14ac:dyDescent="0.35">
      <c r="A3293">
        <v>6894889</v>
      </c>
      <c r="B3293" t="s">
        <v>9003</v>
      </c>
      <c r="C3293" t="str">
        <f>"9780520377066"</f>
        <v>9780520377066</v>
      </c>
      <c r="D3293" t="str">
        <f>"9780520976399"</f>
        <v>9780520976399</v>
      </c>
      <c r="E3293" t="s">
        <v>8988</v>
      </c>
      <c r="F3293" t="s">
        <v>8988</v>
      </c>
      <c r="G3293" s="1">
        <v>44362</v>
      </c>
      <c r="H3293" s="1">
        <v>44620</v>
      </c>
      <c r="I3293" t="s">
        <v>189</v>
      </c>
      <c r="J3293">
        <v>1</v>
      </c>
      <c r="K3293" t="s">
        <v>9004</v>
      </c>
      <c r="L3293" t="s">
        <v>9005</v>
      </c>
      <c r="M3293" t="s">
        <v>578</v>
      </c>
      <c r="O3293" s="2">
        <v>78154209548</v>
      </c>
      <c r="Q3293" t="s">
        <v>260</v>
      </c>
      <c r="R3293" t="s">
        <v>261</v>
      </c>
      <c r="S3293" t="s">
        <v>261</v>
      </c>
      <c r="T3293" t="s">
        <v>261</v>
      </c>
      <c r="U3293" t="s">
        <v>261</v>
      </c>
      <c r="V3293" t="s">
        <v>262</v>
      </c>
      <c r="W3293" t="s">
        <v>261</v>
      </c>
      <c r="X3293" t="s">
        <v>261</v>
      </c>
      <c r="Y3293" t="s">
        <v>261</v>
      </c>
      <c r="Z3293" t="s">
        <v>409</v>
      </c>
      <c r="AA3293" t="s">
        <v>409</v>
      </c>
      <c r="AB3293" t="s">
        <v>409</v>
      </c>
      <c r="AC3293" t="s">
        <v>409</v>
      </c>
      <c r="AD3293" t="s">
        <v>261</v>
      </c>
      <c r="AH3293" t="s">
        <v>262</v>
      </c>
      <c r="AI3293" t="s">
        <v>262</v>
      </c>
      <c r="AJ3293" t="s">
        <v>261</v>
      </c>
      <c r="AK3293" t="s">
        <v>261</v>
      </c>
      <c r="AM3293" t="s">
        <v>262</v>
      </c>
      <c r="AN3293" t="s">
        <v>9006</v>
      </c>
    </row>
    <row r="3294" spans="1:40" x14ac:dyDescent="0.35">
      <c r="A3294">
        <v>6895000</v>
      </c>
      <c r="B3294" t="s">
        <v>9007</v>
      </c>
      <c r="C3294" t="str">
        <f>"9780520381971"</f>
        <v>9780520381971</v>
      </c>
      <c r="D3294" t="str">
        <f>"9780520381995"</f>
        <v>9780520381995</v>
      </c>
      <c r="E3294" t="s">
        <v>8988</v>
      </c>
      <c r="F3294" t="s">
        <v>8988</v>
      </c>
      <c r="G3294" s="1">
        <v>44404</v>
      </c>
      <c r="H3294" s="1">
        <v>44620</v>
      </c>
      <c r="I3294" t="s">
        <v>189</v>
      </c>
      <c r="J3294">
        <v>1</v>
      </c>
      <c r="L3294" t="s">
        <v>9008</v>
      </c>
      <c r="M3294" t="s">
        <v>329</v>
      </c>
      <c r="O3294" s="2">
        <v>3939309510905</v>
      </c>
      <c r="Q3294" t="s">
        <v>260</v>
      </c>
      <c r="R3294" t="s">
        <v>261</v>
      </c>
      <c r="S3294" t="s">
        <v>261</v>
      </c>
      <c r="T3294" t="s">
        <v>261</v>
      </c>
      <c r="U3294" t="s">
        <v>261</v>
      </c>
      <c r="V3294" t="s">
        <v>262</v>
      </c>
      <c r="W3294" t="s">
        <v>261</v>
      </c>
      <c r="X3294" t="s">
        <v>261</v>
      </c>
      <c r="Y3294" t="s">
        <v>261</v>
      </c>
      <c r="Z3294" t="s">
        <v>409</v>
      </c>
      <c r="AA3294" t="s">
        <v>409</v>
      </c>
      <c r="AB3294" t="s">
        <v>409</v>
      </c>
      <c r="AC3294" t="s">
        <v>409</v>
      </c>
      <c r="AD3294" t="s">
        <v>261</v>
      </c>
      <c r="AH3294" t="s">
        <v>262</v>
      </c>
      <c r="AI3294" t="s">
        <v>262</v>
      </c>
      <c r="AJ3294" t="s">
        <v>261</v>
      </c>
      <c r="AK3294" t="s">
        <v>261</v>
      </c>
      <c r="AM3294" t="s">
        <v>262</v>
      </c>
      <c r="AN3294" t="s">
        <v>9009</v>
      </c>
    </row>
    <row r="3295" spans="1:40" x14ac:dyDescent="0.35">
      <c r="A3295">
        <v>6895014</v>
      </c>
      <c r="B3295" t="s">
        <v>9010</v>
      </c>
      <c r="C3295" t="str">
        <f>"9780520380189"</f>
        <v>9780520380189</v>
      </c>
      <c r="D3295" t="str">
        <f>"9780520380196"</f>
        <v>9780520380196</v>
      </c>
      <c r="E3295" t="s">
        <v>8988</v>
      </c>
      <c r="F3295" t="s">
        <v>8988</v>
      </c>
      <c r="G3295" s="1">
        <v>44285</v>
      </c>
      <c r="H3295" s="1">
        <v>44620</v>
      </c>
      <c r="I3295" t="s">
        <v>189</v>
      </c>
      <c r="J3295">
        <v>1</v>
      </c>
      <c r="L3295" t="s">
        <v>9011</v>
      </c>
      <c r="M3295" t="s">
        <v>239</v>
      </c>
      <c r="O3295" s="2">
        <v>956620154</v>
      </c>
      <c r="Q3295" t="s">
        <v>260</v>
      </c>
      <c r="R3295" t="s">
        <v>261</v>
      </c>
      <c r="S3295" t="s">
        <v>261</v>
      </c>
      <c r="T3295" t="s">
        <v>261</v>
      </c>
      <c r="U3295" t="s">
        <v>261</v>
      </c>
      <c r="V3295" t="s">
        <v>262</v>
      </c>
      <c r="W3295" t="s">
        <v>261</v>
      </c>
      <c r="X3295" t="s">
        <v>261</v>
      </c>
      <c r="Y3295" t="s">
        <v>261</v>
      </c>
      <c r="Z3295" t="s">
        <v>409</v>
      </c>
      <c r="AA3295" t="s">
        <v>409</v>
      </c>
      <c r="AB3295" t="s">
        <v>409</v>
      </c>
      <c r="AC3295" t="s">
        <v>409</v>
      </c>
      <c r="AD3295" t="s">
        <v>261</v>
      </c>
      <c r="AH3295" t="s">
        <v>262</v>
      </c>
      <c r="AI3295" t="s">
        <v>262</v>
      </c>
      <c r="AJ3295" t="s">
        <v>261</v>
      </c>
      <c r="AK3295" t="s">
        <v>261</v>
      </c>
      <c r="AM3295" t="s">
        <v>262</v>
      </c>
      <c r="AN3295" t="s">
        <v>9012</v>
      </c>
    </row>
    <row r="3296" spans="1:40" x14ac:dyDescent="0.35">
      <c r="A3296">
        <v>6896336</v>
      </c>
      <c r="B3296" t="s">
        <v>9013</v>
      </c>
      <c r="C3296" t="str">
        <f>""</f>
        <v/>
      </c>
      <c r="D3296" t="str">
        <f>"9782759235360"</f>
        <v>9782759235360</v>
      </c>
      <c r="E3296" t="s">
        <v>1928</v>
      </c>
      <c r="F3296" t="s">
        <v>1928</v>
      </c>
      <c r="G3296" s="1">
        <v>44617</v>
      </c>
      <c r="H3296" s="1">
        <v>44631</v>
      </c>
      <c r="I3296" t="s">
        <v>189</v>
      </c>
      <c r="J3296">
        <v>1</v>
      </c>
      <c r="K3296" t="s">
        <v>1929</v>
      </c>
      <c r="L3296" t="s">
        <v>9014</v>
      </c>
    </row>
    <row r="3297" spans="1:40" x14ac:dyDescent="0.35">
      <c r="A3297">
        <v>6896492</v>
      </c>
      <c r="B3297" t="s">
        <v>9015</v>
      </c>
      <c r="C3297" t="str">
        <f>"9780472133161"</f>
        <v>9780472133161</v>
      </c>
      <c r="D3297" t="str">
        <f>"9780472902606"</f>
        <v>9780472902606</v>
      </c>
      <c r="E3297" t="s">
        <v>2090</v>
      </c>
      <c r="F3297" t="s">
        <v>2090</v>
      </c>
      <c r="G3297" s="1">
        <v>44620</v>
      </c>
      <c r="H3297" s="1">
        <v>44631</v>
      </c>
      <c r="I3297" t="s">
        <v>189</v>
      </c>
      <c r="L3297" t="s">
        <v>9016</v>
      </c>
    </row>
    <row r="3298" spans="1:40" x14ac:dyDescent="0.35">
      <c r="A3298">
        <v>6896821</v>
      </c>
      <c r="B3298" t="s">
        <v>9017</v>
      </c>
      <c r="C3298" t="str">
        <f>""</f>
        <v/>
      </c>
      <c r="D3298" t="str">
        <f>"9789179291761"</f>
        <v>9789179291761</v>
      </c>
      <c r="E3298" t="s">
        <v>3642</v>
      </c>
      <c r="F3298" t="s">
        <v>3642</v>
      </c>
      <c r="G3298" s="1">
        <v>44611</v>
      </c>
      <c r="H3298" s="1">
        <v>44620</v>
      </c>
      <c r="I3298" t="s">
        <v>189</v>
      </c>
      <c r="J3298">
        <v>1</v>
      </c>
      <c r="L3298" t="s">
        <v>9018</v>
      </c>
      <c r="Q3298" t="s">
        <v>260</v>
      </c>
      <c r="R3298" t="s">
        <v>261</v>
      </c>
      <c r="S3298" t="s">
        <v>261</v>
      </c>
      <c r="T3298" t="s">
        <v>261</v>
      </c>
      <c r="U3298" t="s">
        <v>261</v>
      </c>
      <c r="V3298" t="s">
        <v>262</v>
      </c>
      <c r="W3298" t="s">
        <v>261</v>
      </c>
      <c r="X3298" t="s">
        <v>261</v>
      </c>
      <c r="Y3298" t="s">
        <v>261</v>
      </c>
      <c r="AD3298" t="s">
        <v>261</v>
      </c>
      <c r="AH3298" t="s">
        <v>262</v>
      </c>
      <c r="AI3298" t="s">
        <v>261</v>
      </c>
      <c r="AJ3298" t="s">
        <v>261</v>
      </c>
      <c r="AK3298" t="s">
        <v>261</v>
      </c>
      <c r="AM3298" t="s">
        <v>262</v>
      </c>
      <c r="AN3298" t="s">
        <v>9019</v>
      </c>
    </row>
    <row r="3299" spans="1:40" x14ac:dyDescent="0.35">
      <c r="A3299">
        <v>6897051</v>
      </c>
      <c r="B3299" t="s">
        <v>9020</v>
      </c>
      <c r="C3299" t="str">
        <f>"9783030910167"</f>
        <v>9783030910167</v>
      </c>
      <c r="D3299" t="str">
        <f>"9783030910174"</f>
        <v>9783030910174</v>
      </c>
      <c r="E3299" t="s">
        <v>2289</v>
      </c>
      <c r="F3299" t="s">
        <v>2290</v>
      </c>
      <c r="G3299" s="1">
        <v>44659</v>
      </c>
      <c r="H3299" s="1">
        <v>44631</v>
      </c>
      <c r="I3299" t="s">
        <v>189</v>
      </c>
      <c r="K3299" t="s">
        <v>9021</v>
      </c>
      <c r="L3299" t="s">
        <v>9022</v>
      </c>
    </row>
    <row r="3300" spans="1:40" x14ac:dyDescent="0.35">
      <c r="A3300">
        <v>6897088</v>
      </c>
      <c r="B3300" t="s">
        <v>9023</v>
      </c>
      <c r="C3300" t="str">
        <f>"9783030951351"</f>
        <v>9783030951351</v>
      </c>
      <c r="D3300" t="str">
        <f>"9783030951368"</f>
        <v>9783030951368</v>
      </c>
      <c r="E3300" t="s">
        <v>2289</v>
      </c>
      <c r="F3300" t="s">
        <v>2290</v>
      </c>
      <c r="G3300" s="1">
        <v>44663</v>
      </c>
      <c r="H3300" s="1">
        <v>44631</v>
      </c>
      <c r="I3300" t="s">
        <v>189</v>
      </c>
      <c r="K3300" t="s">
        <v>4447</v>
      </c>
      <c r="L3300" t="s">
        <v>9024</v>
      </c>
    </row>
    <row r="3301" spans="1:40" x14ac:dyDescent="0.35">
      <c r="A3301">
        <v>6897094</v>
      </c>
      <c r="B3301" t="s">
        <v>9025</v>
      </c>
      <c r="C3301" t="str">
        <f>"9789811680274"</f>
        <v>9789811680274</v>
      </c>
      <c r="D3301" t="str">
        <f>"9789811680281"</f>
        <v>9789811680281</v>
      </c>
      <c r="E3301" t="s">
        <v>3404</v>
      </c>
      <c r="F3301" t="s">
        <v>2290</v>
      </c>
      <c r="G3301" s="1">
        <v>44688</v>
      </c>
      <c r="H3301" s="1">
        <v>44631</v>
      </c>
      <c r="I3301" t="s">
        <v>189</v>
      </c>
      <c r="L3301" t="s">
        <v>9026</v>
      </c>
      <c r="M3301" t="s">
        <v>3481</v>
      </c>
    </row>
    <row r="3302" spans="1:40" x14ac:dyDescent="0.35">
      <c r="A3302">
        <v>6897842</v>
      </c>
      <c r="B3302" t="s">
        <v>9027</v>
      </c>
      <c r="C3302" t="str">
        <f>"9783030919986"</f>
        <v>9783030919986</v>
      </c>
      <c r="D3302" t="str">
        <f>"9783030919993"</f>
        <v>9783030919993</v>
      </c>
      <c r="E3302" t="s">
        <v>2289</v>
      </c>
      <c r="F3302" t="s">
        <v>2663</v>
      </c>
      <c r="G3302" s="1">
        <v>44656</v>
      </c>
      <c r="H3302" s="1">
        <v>44631</v>
      </c>
      <c r="I3302" t="s">
        <v>189</v>
      </c>
      <c r="K3302" t="s">
        <v>9028</v>
      </c>
      <c r="L3302" t="s">
        <v>9029</v>
      </c>
    </row>
    <row r="3303" spans="1:40" x14ac:dyDescent="0.35">
      <c r="A3303">
        <v>6898000</v>
      </c>
      <c r="B3303" t="s">
        <v>9030</v>
      </c>
      <c r="C3303" t="str">
        <f>"9789811678295"</f>
        <v>9789811678295</v>
      </c>
      <c r="D3303" t="str">
        <f>"9789811678301"</f>
        <v>9789811678301</v>
      </c>
      <c r="E3303" t="s">
        <v>3404</v>
      </c>
      <c r="F3303" t="s">
        <v>2290</v>
      </c>
      <c r="G3303" s="1">
        <v>44674</v>
      </c>
      <c r="H3303" s="1">
        <v>44631</v>
      </c>
      <c r="I3303" t="s">
        <v>189</v>
      </c>
      <c r="K3303" t="s">
        <v>9031</v>
      </c>
      <c r="L3303" t="s">
        <v>9032</v>
      </c>
    </row>
    <row r="3304" spans="1:40" x14ac:dyDescent="0.35">
      <c r="A3304">
        <v>6898001</v>
      </c>
      <c r="B3304" t="s">
        <v>9033</v>
      </c>
      <c r="C3304" t="str">
        <f>"9781800642010"</f>
        <v>9781800642010</v>
      </c>
      <c r="D3304" t="str">
        <f>"9781800642027"</f>
        <v>9781800642027</v>
      </c>
      <c r="E3304" t="s">
        <v>1807</v>
      </c>
      <c r="F3304" t="s">
        <v>1807</v>
      </c>
      <c r="G3304" s="1">
        <v>44585</v>
      </c>
      <c r="H3304" s="1">
        <v>44621</v>
      </c>
      <c r="I3304" t="s">
        <v>189</v>
      </c>
      <c r="J3304">
        <v>1</v>
      </c>
      <c r="L3304" t="s">
        <v>9034</v>
      </c>
    </row>
    <row r="3305" spans="1:40" x14ac:dyDescent="0.35">
      <c r="A3305">
        <v>6898002</v>
      </c>
      <c r="B3305" t="s">
        <v>9035</v>
      </c>
      <c r="C3305" t="str">
        <f>"9781800641891"</f>
        <v>9781800641891</v>
      </c>
      <c r="D3305" t="str">
        <f>"9781800641907"</f>
        <v>9781800641907</v>
      </c>
      <c r="E3305" t="s">
        <v>1807</v>
      </c>
      <c r="F3305" t="s">
        <v>1807</v>
      </c>
      <c r="G3305" s="1">
        <v>44606</v>
      </c>
      <c r="H3305" s="1">
        <v>44621</v>
      </c>
      <c r="I3305" t="s">
        <v>189</v>
      </c>
      <c r="J3305">
        <v>1</v>
      </c>
      <c r="L3305" t="s">
        <v>2390</v>
      </c>
    </row>
    <row r="3306" spans="1:40" x14ac:dyDescent="0.35">
      <c r="A3306">
        <v>6898003</v>
      </c>
      <c r="B3306" t="s">
        <v>9036</v>
      </c>
      <c r="C3306" t="str">
        <f>"9781800643277"</f>
        <v>9781800643277</v>
      </c>
      <c r="D3306" t="str">
        <f>"9781800643284"</f>
        <v>9781800643284</v>
      </c>
      <c r="E3306" t="s">
        <v>1807</v>
      </c>
      <c r="F3306" t="s">
        <v>1807</v>
      </c>
      <c r="G3306" s="1">
        <v>44564</v>
      </c>
      <c r="H3306" s="1">
        <v>44621</v>
      </c>
      <c r="I3306" t="s">
        <v>189</v>
      </c>
      <c r="J3306">
        <v>1</v>
      </c>
      <c r="L3306" t="s">
        <v>3392</v>
      </c>
      <c r="M3306" t="s">
        <v>219</v>
      </c>
      <c r="N3306" t="s">
        <v>9037</v>
      </c>
      <c r="P3306" t="s">
        <v>9038</v>
      </c>
      <c r="Q3306" t="s">
        <v>260</v>
      </c>
      <c r="R3306" t="s">
        <v>261</v>
      </c>
      <c r="S3306" t="s">
        <v>261</v>
      </c>
      <c r="T3306" t="s">
        <v>261</v>
      </c>
      <c r="U3306" t="s">
        <v>261</v>
      </c>
      <c r="V3306" t="s">
        <v>262</v>
      </c>
      <c r="W3306" t="s">
        <v>261</v>
      </c>
      <c r="X3306" t="s">
        <v>261</v>
      </c>
      <c r="Y3306" t="s">
        <v>261</v>
      </c>
      <c r="Z3306" t="s">
        <v>409</v>
      </c>
      <c r="AA3306" t="s">
        <v>409</v>
      </c>
      <c r="AB3306" t="s">
        <v>409</v>
      </c>
      <c r="AC3306" t="s">
        <v>409</v>
      </c>
      <c r="AD3306" t="s">
        <v>261</v>
      </c>
      <c r="AH3306" t="s">
        <v>262</v>
      </c>
      <c r="AI3306" t="s">
        <v>262</v>
      </c>
      <c r="AJ3306" t="s">
        <v>261</v>
      </c>
      <c r="AK3306" t="s">
        <v>261</v>
      </c>
      <c r="AM3306" t="s">
        <v>262</v>
      </c>
      <c r="AN3306" t="s">
        <v>9039</v>
      </c>
    </row>
    <row r="3307" spans="1:40" x14ac:dyDescent="0.35">
      <c r="A3307">
        <v>6898657</v>
      </c>
      <c r="B3307" t="s">
        <v>9040</v>
      </c>
      <c r="C3307" t="str">
        <f>"9781786940421"</f>
        <v>9781786940421</v>
      </c>
      <c r="D3307" t="str">
        <f>"9781786948243"</f>
        <v>9781786948243</v>
      </c>
      <c r="E3307" t="s">
        <v>3696</v>
      </c>
      <c r="F3307" t="s">
        <v>3696</v>
      </c>
      <c r="G3307" s="1">
        <v>43252</v>
      </c>
      <c r="H3307" s="1">
        <v>44627</v>
      </c>
      <c r="I3307" t="s">
        <v>189</v>
      </c>
      <c r="J3307">
        <v>1</v>
      </c>
      <c r="K3307" t="s">
        <v>9041</v>
      </c>
      <c r="L3307" t="s">
        <v>9042</v>
      </c>
      <c r="M3307" t="s">
        <v>219</v>
      </c>
      <c r="O3307" s="2">
        <v>840900914</v>
      </c>
      <c r="Q3307" t="s">
        <v>260</v>
      </c>
      <c r="R3307" t="s">
        <v>261</v>
      </c>
      <c r="S3307" t="s">
        <v>261</v>
      </c>
      <c r="T3307" t="s">
        <v>261</v>
      </c>
      <c r="U3307" t="s">
        <v>261</v>
      </c>
      <c r="V3307" t="s">
        <v>262</v>
      </c>
      <c r="W3307" t="s">
        <v>261</v>
      </c>
      <c r="X3307" t="s">
        <v>261</v>
      </c>
      <c r="Y3307" t="s">
        <v>261</v>
      </c>
      <c r="Z3307" t="s">
        <v>409</v>
      </c>
      <c r="AA3307" t="s">
        <v>409</v>
      </c>
      <c r="AB3307" t="s">
        <v>409</v>
      </c>
      <c r="AC3307" t="s">
        <v>409</v>
      </c>
      <c r="AD3307" t="s">
        <v>261</v>
      </c>
      <c r="AH3307" t="s">
        <v>262</v>
      </c>
      <c r="AI3307" t="s">
        <v>262</v>
      </c>
      <c r="AJ3307" t="s">
        <v>261</v>
      </c>
      <c r="AK3307" t="s">
        <v>261</v>
      </c>
      <c r="AM3307" t="s">
        <v>262</v>
      </c>
      <c r="AN3307" t="s">
        <v>9043</v>
      </c>
    </row>
    <row r="3308" spans="1:40" x14ac:dyDescent="0.35">
      <c r="A3308">
        <v>6898660</v>
      </c>
      <c r="B3308" t="s">
        <v>9044</v>
      </c>
      <c r="C3308" t="str">
        <f>"9781846319464"</f>
        <v>9781846319464</v>
      </c>
      <c r="D3308" t="str">
        <f>"9781781385678"</f>
        <v>9781781385678</v>
      </c>
      <c r="E3308" t="s">
        <v>3696</v>
      </c>
      <c r="F3308" t="s">
        <v>3696</v>
      </c>
      <c r="G3308" s="1">
        <v>41575</v>
      </c>
      <c r="H3308" s="1">
        <v>44627</v>
      </c>
      <c r="I3308" t="s">
        <v>189</v>
      </c>
      <c r="J3308">
        <v>1</v>
      </c>
      <c r="K3308" t="s">
        <v>9041</v>
      </c>
      <c r="L3308" t="s">
        <v>9045</v>
      </c>
      <c r="M3308" t="s">
        <v>219</v>
      </c>
      <c r="O3308" s="2">
        <v>843914</v>
      </c>
      <c r="Q3308" t="s">
        <v>260</v>
      </c>
      <c r="R3308" t="s">
        <v>261</v>
      </c>
      <c r="S3308" t="s">
        <v>261</v>
      </c>
      <c r="T3308" t="s">
        <v>261</v>
      </c>
      <c r="U3308" t="s">
        <v>261</v>
      </c>
      <c r="V3308" t="s">
        <v>262</v>
      </c>
      <c r="W3308" t="s">
        <v>261</v>
      </c>
      <c r="X3308" t="s">
        <v>261</v>
      </c>
      <c r="Y3308" t="s">
        <v>261</v>
      </c>
      <c r="Z3308" t="s">
        <v>409</v>
      </c>
      <c r="AA3308" t="s">
        <v>409</v>
      </c>
      <c r="AB3308" t="s">
        <v>409</v>
      </c>
      <c r="AC3308" t="s">
        <v>409</v>
      </c>
      <c r="AD3308" t="s">
        <v>261</v>
      </c>
      <c r="AH3308" t="s">
        <v>262</v>
      </c>
      <c r="AI3308" t="s">
        <v>262</v>
      </c>
      <c r="AJ3308" t="s">
        <v>261</v>
      </c>
      <c r="AK3308" t="s">
        <v>261</v>
      </c>
      <c r="AM3308" t="s">
        <v>262</v>
      </c>
      <c r="AN3308" t="s">
        <v>9046</v>
      </c>
    </row>
    <row r="3309" spans="1:40" x14ac:dyDescent="0.35">
      <c r="A3309">
        <v>6898667</v>
      </c>
      <c r="B3309" t="s">
        <v>9047</v>
      </c>
      <c r="C3309" t="str">
        <f>"9781846318351"</f>
        <v>9781846318351</v>
      </c>
      <c r="D3309" t="str">
        <f>"9781781386590"</f>
        <v>9781781386590</v>
      </c>
      <c r="E3309" t="s">
        <v>3696</v>
      </c>
      <c r="F3309" t="s">
        <v>3696</v>
      </c>
      <c r="G3309" s="1">
        <v>41258</v>
      </c>
      <c r="H3309" s="1">
        <v>44627</v>
      </c>
      <c r="I3309" t="s">
        <v>189</v>
      </c>
      <c r="J3309">
        <v>1</v>
      </c>
      <c r="K3309" t="s">
        <v>9041</v>
      </c>
      <c r="L3309" t="s">
        <v>9048</v>
      </c>
      <c r="M3309" t="s">
        <v>329</v>
      </c>
      <c r="O3309" s="2">
        <v>3064830944</v>
      </c>
      <c r="Q3309" t="s">
        <v>260</v>
      </c>
      <c r="R3309" t="s">
        <v>261</v>
      </c>
      <c r="S3309" t="s">
        <v>261</v>
      </c>
      <c r="T3309" t="s">
        <v>261</v>
      </c>
      <c r="U3309" t="s">
        <v>261</v>
      </c>
      <c r="V3309" t="s">
        <v>262</v>
      </c>
      <c r="W3309" t="s">
        <v>261</v>
      </c>
      <c r="X3309" t="s">
        <v>261</v>
      </c>
      <c r="Y3309" t="s">
        <v>261</v>
      </c>
      <c r="Z3309" t="s">
        <v>409</v>
      </c>
      <c r="AA3309" t="s">
        <v>409</v>
      </c>
      <c r="AB3309" t="s">
        <v>409</v>
      </c>
      <c r="AC3309" t="s">
        <v>409</v>
      </c>
      <c r="AD3309" t="s">
        <v>261</v>
      </c>
      <c r="AH3309" t="s">
        <v>262</v>
      </c>
      <c r="AI3309" t="s">
        <v>262</v>
      </c>
      <c r="AJ3309" t="s">
        <v>261</v>
      </c>
      <c r="AK3309" t="s">
        <v>261</v>
      </c>
      <c r="AM3309" t="s">
        <v>262</v>
      </c>
      <c r="AN3309" t="s">
        <v>9049</v>
      </c>
    </row>
    <row r="3310" spans="1:40" x14ac:dyDescent="0.35">
      <c r="A3310">
        <v>6898672</v>
      </c>
      <c r="B3310" t="s">
        <v>9050</v>
      </c>
      <c r="C3310" t="str">
        <f>"9781781381939"</f>
        <v>9781781381939</v>
      </c>
      <c r="D3310" t="str">
        <f>"9781781382035"</f>
        <v>9781781382035</v>
      </c>
      <c r="E3310" t="s">
        <v>3696</v>
      </c>
      <c r="F3310" t="s">
        <v>3696</v>
      </c>
      <c r="G3310" s="1">
        <v>42206</v>
      </c>
      <c r="H3310" s="1">
        <v>44627</v>
      </c>
      <c r="I3310" t="s">
        <v>189</v>
      </c>
      <c r="J3310">
        <v>1</v>
      </c>
      <c r="K3310" t="s">
        <v>9051</v>
      </c>
      <c r="L3310" t="s">
        <v>9052</v>
      </c>
      <c r="M3310" t="s">
        <v>329</v>
      </c>
      <c r="O3310" t="s">
        <v>9053</v>
      </c>
      <c r="Q3310" t="s">
        <v>260</v>
      </c>
      <c r="R3310" t="s">
        <v>261</v>
      </c>
      <c r="S3310" t="s">
        <v>261</v>
      </c>
      <c r="T3310" t="s">
        <v>261</v>
      </c>
      <c r="U3310" t="s">
        <v>261</v>
      </c>
      <c r="V3310" t="s">
        <v>262</v>
      </c>
      <c r="W3310" t="s">
        <v>261</v>
      </c>
      <c r="X3310" t="s">
        <v>261</v>
      </c>
      <c r="Y3310" t="s">
        <v>261</v>
      </c>
      <c r="Z3310" t="s">
        <v>409</v>
      </c>
      <c r="AA3310" t="s">
        <v>409</v>
      </c>
      <c r="AB3310" t="s">
        <v>409</v>
      </c>
      <c r="AC3310" t="s">
        <v>409</v>
      </c>
      <c r="AD3310" t="s">
        <v>261</v>
      </c>
      <c r="AH3310" t="s">
        <v>262</v>
      </c>
      <c r="AI3310" t="s">
        <v>262</v>
      </c>
      <c r="AJ3310" t="s">
        <v>261</v>
      </c>
      <c r="AK3310" t="s">
        <v>261</v>
      </c>
      <c r="AM3310" t="s">
        <v>262</v>
      </c>
      <c r="AN3310" t="s">
        <v>9054</v>
      </c>
    </row>
    <row r="3311" spans="1:40" x14ac:dyDescent="0.35">
      <c r="A3311">
        <v>6898677</v>
      </c>
      <c r="B3311" t="s">
        <v>9055</v>
      </c>
      <c r="C3311" t="str">
        <f>"9781846318221"</f>
        <v>9781846318221</v>
      </c>
      <c r="D3311" t="str">
        <f>"9781781387962"</f>
        <v>9781781387962</v>
      </c>
      <c r="E3311" t="s">
        <v>3696</v>
      </c>
      <c r="F3311" t="s">
        <v>3696</v>
      </c>
      <c r="G3311" s="1">
        <v>41012</v>
      </c>
      <c r="H3311" s="1">
        <v>44629</v>
      </c>
      <c r="I3311" t="s">
        <v>189</v>
      </c>
      <c r="J3311">
        <v>1</v>
      </c>
      <c r="K3311" t="s">
        <v>9051</v>
      </c>
      <c r="L3311" t="s">
        <v>9056</v>
      </c>
      <c r="M3311" t="s">
        <v>239</v>
      </c>
      <c r="O3311" s="2">
        <v>946083</v>
      </c>
      <c r="Q3311" t="s">
        <v>260</v>
      </c>
      <c r="R3311" t="s">
        <v>261</v>
      </c>
      <c r="S3311" t="s">
        <v>261</v>
      </c>
      <c r="T3311" t="s">
        <v>261</v>
      </c>
      <c r="U3311" t="s">
        <v>261</v>
      </c>
      <c r="V3311" t="s">
        <v>262</v>
      </c>
      <c r="W3311" t="s">
        <v>261</v>
      </c>
      <c r="X3311" t="s">
        <v>261</v>
      </c>
      <c r="Y3311" t="s">
        <v>261</v>
      </c>
      <c r="Z3311" t="s">
        <v>409</v>
      </c>
      <c r="AA3311" t="s">
        <v>409</v>
      </c>
      <c r="AB3311" t="s">
        <v>409</v>
      </c>
      <c r="AC3311" t="s">
        <v>409</v>
      </c>
      <c r="AD3311" t="s">
        <v>261</v>
      </c>
      <c r="AH3311" t="s">
        <v>262</v>
      </c>
      <c r="AI3311" t="s">
        <v>262</v>
      </c>
      <c r="AJ3311" t="s">
        <v>261</v>
      </c>
      <c r="AK3311" t="s">
        <v>261</v>
      </c>
      <c r="AM3311" t="s">
        <v>262</v>
      </c>
      <c r="AN3311" t="s">
        <v>9057</v>
      </c>
    </row>
    <row r="3312" spans="1:40" x14ac:dyDescent="0.35">
      <c r="A3312">
        <v>6898681</v>
      </c>
      <c r="B3312" t="s">
        <v>9058</v>
      </c>
      <c r="C3312" t="str">
        <f>"9780853238393"</f>
        <v>9780853238393</v>
      </c>
      <c r="D3312" t="str">
        <f>"9781781387733"</f>
        <v>9781781387733</v>
      </c>
      <c r="E3312" t="s">
        <v>3696</v>
      </c>
      <c r="F3312" t="s">
        <v>3696</v>
      </c>
      <c r="G3312" s="1">
        <v>39022</v>
      </c>
      <c r="H3312" s="1">
        <v>44629</v>
      </c>
      <c r="I3312" t="s">
        <v>189</v>
      </c>
      <c r="J3312">
        <v>1</v>
      </c>
      <c r="K3312" t="s">
        <v>9059</v>
      </c>
      <c r="L3312" t="s">
        <v>9060</v>
      </c>
      <c r="M3312" t="s">
        <v>219</v>
      </c>
      <c r="O3312" s="2">
        <v>8238093561</v>
      </c>
      <c r="Q3312" t="s">
        <v>260</v>
      </c>
      <c r="R3312" t="s">
        <v>261</v>
      </c>
      <c r="S3312" t="s">
        <v>261</v>
      </c>
      <c r="T3312" t="s">
        <v>261</v>
      </c>
      <c r="U3312" t="s">
        <v>261</v>
      </c>
      <c r="V3312" t="s">
        <v>262</v>
      </c>
      <c r="W3312" t="s">
        <v>261</v>
      </c>
      <c r="X3312" t="s">
        <v>261</v>
      </c>
      <c r="Y3312" t="s">
        <v>261</v>
      </c>
      <c r="Z3312" t="s">
        <v>409</v>
      </c>
      <c r="AA3312" t="s">
        <v>409</v>
      </c>
      <c r="AB3312" t="s">
        <v>409</v>
      </c>
      <c r="AC3312" t="s">
        <v>409</v>
      </c>
      <c r="AD3312" t="s">
        <v>261</v>
      </c>
      <c r="AH3312" t="s">
        <v>262</v>
      </c>
      <c r="AI3312" t="s">
        <v>262</v>
      </c>
      <c r="AJ3312" t="s">
        <v>261</v>
      </c>
      <c r="AK3312" t="s">
        <v>261</v>
      </c>
      <c r="AM3312" t="s">
        <v>262</v>
      </c>
      <c r="AN3312" t="s">
        <v>9061</v>
      </c>
    </row>
    <row r="3313" spans="1:40" x14ac:dyDescent="0.35">
      <c r="A3313">
        <v>6898682</v>
      </c>
      <c r="B3313" t="s">
        <v>9062</v>
      </c>
      <c r="C3313" t="str">
        <f>"9781846314995"</f>
        <v>9781846314995</v>
      </c>
      <c r="D3313" t="str">
        <f>"9781781386705"</f>
        <v>9781781386705</v>
      </c>
      <c r="E3313" t="s">
        <v>3696</v>
      </c>
      <c r="F3313" t="s">
        <v>3696</v>
      </c>
      <c r="G3313" s="1">
        <v>40520</v>
      </c>
      <c r="H3313" s="1">
        <v>44627</v>
      </c>
      <c r="I3313" t="s">
        <v>189</v>
      </c>
      <c r="J3313">
        <v>1</v>
      </c>
      <c r="K3313" t="s">
        <v>9041</v>
      </c>
      <c r="L3313" t="s">
        <v>9063</v>
      </c>
      <c r="M3313" t="s">
        <v>219</v>
      </c>
      <c r="O3313" s="2">
        <v>84391409</v>
      </c>
      <c r="Q3313" t="s">
        <v>260</v>
      </c>
      <c r="R3313" t="s">
        <v>261</v>
      </c>
      <c r="S3313" t="s">
        <v>261</v>
      </c>
      <c r="T3313" t="s">
        <v>261</v>
      </c>
      <c r="U3313" t="s">
        <v>261</v>
      </c>
      <c r="V3313" t="s">
        <v>262</v>
      </c>
      <c r="W3313" t="s">
        <v>261</v>
      </c>
      <c r="X3313" t="s">
        <v>261</v>
      </c>
      <c r="Y3313" t="s">
        <v>261</v>
      </c>
      <c r="Z3313" t="s">
        <v>409</v>
      </c>
      <c r="AA3313" t="s">
        <v>409</v>
      </c>
      <c r="AB3313" t="s">
        <v>409</v>
      </c>
      <c r="AC3313" t="s">
        <v>409</v>
      </c>
      <c r="AD3313" t="s">
        <v>261</v>
      </c>
      <c r="AH3313" t="s">
        <v>262</v>
      </c>
      <c r="AI3313" t="s">
        <v>262</v>
      </c>
      <c r="AJ3313" t="s">
        <v>261</v>
      </c>
      <c r="AK3313" t="s">
        <v>261</v>
      </c>
      <c r="AM3313" t="s">
        <v>262</v>
      </c>
      <c r="AN3313" t="s">
        <v>9064</v>
      </c>
    </row>
    <row r="3314" spans="1:40" x14ac:dyDescent="0.35">
      <c r="A3314">
        <v>6898683</v>
      </c>
      <c r="B3314" t="s">
        <v>9065</v>
      </c>
      <c r="C3314" t="str">
        <f>"9781781380307"</f>
        <v>9781781380307</v>
      </c>
      <c r="D3314" t="str">
        <f>"9781781385968"</f>
        <v>9781781385968</v>
      </c>
      <c r="E3314" t="s">
        <v>3696</v>
      </c>
      <c r="F3314" t="s">
        <v>3696</v>
      </c>
      <c r="G3314" s="1">
        <v>41808</v>
      </c>
      <c r="H3314" s="1">
        <v>44627</v>
      </c>
      <c r="I3314" t="s">
        <v>189</v>
      </c>
      <c r="J3314">
        <v>1</v>
      </c>
      <c r="L3314" t="s">
        <v>9066</v>
      </c>
      <c r="M3314" t="s">
        <v>219</v>
      </c>
      <c r="O3314" s="2">
        <v>809304</v>
      </c>
      <c r="Q3314" t="s">
        <v>260</v>
      </c>
      <c r="R3314" t="s">
        <v>261</v>
      </c>
      <c r="S3314" t="s">
        <v>261</v>
      </c>
      <c r="T3314" t="s">
        <v>261</v>
      </c>
      <c r="U3314" t="s">
        <v>261</v>
      </c>
      <c r="V3314" t="s">
        <v>262</v>
      </c>
      <c r="W3314" t="s">
        <v>261</v>
      </c>
      <c r="X3314" t="s">
        <v>261</v>
      </c>
      <c r="Y3314" t="s">
        <v>261</v>
      </c>
      <c r="Z3314" t="s">
        <v>409</v>
      </c>
      <c r="AA3314" t="s">
        <v>409</v>
      </c>
      <c r="AB3314" t="s">
        <v>409</v>
      </c>
      <c r="AC3314" t="s">
        <v>409</v>
      </c>
      <c r="AD3314" t="s">
        <v>261</v>
      </c>
      <c r="AH3314" t="s">
        <v>262</v>
      </c>
      <c r="AI3314" t="s">
        <v>262</v>
      </c>
      <c r="AJ3314" t="s">
        <v>261</v>
      </c>
      <c r="AK3314" t="s">
        <v>261</v>
      </c>
      <c r="AM3314" t="s">
        <v>262</v>
      </c>
      <c r="AN3314" t="s">
        <v>9067</v>
      </c>
    </row>
    <row r="3315" spans="1:40" x14ac:dyDescent="0.35">
      <c r="A3315">
        <v>6898684</v>
      </c>
      <c r="B3315" t="s">
        <v>9068</v>
      </c>
      <c r="C3315" t="str">
        <f>"9781781383094"</f>
        <v>9781781383094</v>
      </c>
      <c r="D3315" t="str">
        <f>"9781781388624"</f>
        <v>9781781388624</v>
      </c>
      <c r="E3315" t="s">
        <v>3696</v>
      </c>
      <c r="F3315" t="s">
        <v>3696</v>
      </c>
      <c r="G3315" s="1">
        <v>42552</v>
      </c>
      <c r="H3315" s="1">
        <v>44627</v>
      </c>
      <c r="I3315" t="s">
        <v>189</v>
      </c>
      <c r="J3315">
        <v>1</v>
      </c>
      <c r="K3315" t="s">
        <v>9041</v>
      </c>
      <c r="L3315" t="s">
        <v>9069</v>
      </c>
      <c r="M3315" t="s">
        <v>329</v>
      </c>
      <c r="O3315" s="2">
        <v>305800944</v>
      </c>
      <c r="Q3315" t="s">
        <v>260</v>
      </c>
      <c r="R3315" t="s">
        <v>261</v>
      </c>
      <c r="S3315" t="s">
        <v>261</v>
      </c>
      <c r="T3315" t="s">
        <v>261</v>
      </c>
      <c r="U3315" t="s">
        <v>261</v>
      </c>
      <c r="V3315" t="s">
        <v>262</v>
      </c>
      <c r="W3315" t="s">
        <v>261</v>
      </c>
      <c r="X3315" t="s">
        <v>261</v>
      </c>
      <c r="Y3315" t="s">
        <v>261</v>
      </c>
      <c r="Z3315" t="s">
        <v>409</v>
      </c>
      <c r="AA3315" t="s">
        <v>409</v>
      </c>
      <c r="AB3315" t="s">
        <v>409</v>
      </c>
      <c r="AC3315" t="s">
        <v>409</v>
      </c>
      <c r="AD3315" t="s">
        <v>261</v>
      </c>
      <c r="AH3315" t="s">
        <v>262</v>
      </c>
      <c r="AI3315" t="s">
        <v>262</v>
      </c>
      <c r="AJ3315" t="s">
        <v>261</v>
      </c>
      <c r="AK3315" t="s">
        <v>261</v>
      </c>
      <c r="AM3315" t="s">
        <v>262</v>
      </c>
      <c r="AN3315" t="s">
        <v>9070</v>
      </c>
    </row>
    <row r="3316" spans="1:40" x14ac:dyDescent="0.35">
      <c r="A3316">
        <v>6898686</v>
      </c>
      <c r="B3316" t="s">
        <v>9071</v>
      </c>
      <c r="C3316" t="str">
        <f>"9781781381717"</f>
        <v>9781781381717</v>
      </c>
      <c r="D3316" t="str">
        <f>"9781781384633"</f>
        <v>9781781384633</v>
      </c>
      <c r="E3316" t="s">
        <v>3696</v>
      </c>
      <c r="F3316" t="s">
        <v>3696</v>
      </c>
      <c r="G3316" s="1">
        <v>42180</v>
      </c>
      <c r="H3316" s="1">
        <v>44627</v>
      </c>
      <c r="I3316" t="s">
        <v>189</v>
      </c>
      <c r="J3316">
        <v>1</v>
      </c>
      <c r="K3316" t="s">
        <v>9072</v>
      </c>
      <c r="L3316" t="s">
        <v>9073</v>
      </c>
    </row>
    <row r="3317" spans="1:40" x14ac:dyDescent="0.35">
      <c r="A3317">
        <v>6898701</v>
      </c>
      <c r="B3317" t="s">
        <v>9074</v>
      </c>
      <c r="C3317" t="str">
        <f>"9781846319761"</f>
        <v>9781846319761</v>
      </c>
      <c r="D3317" t="str">
        <f>"9781781385623"</f>
        <v>9781781385623</v>
      </c>
      <c r="E3317" t="s">
        <v>3696</v>
      </c>
      <c r="F3317" t="s">
        <v>3696</v>
      </c>
      <c r="G3317" s="1">
        <v>41591</v>
      </c>
      <c r="H3317" s="1">
        <v>44629</v>
      </c>
      <c r="I3317" t="s">
        <v>189</v>
      </c>
      <c r="J3317">
        <v>1</v>
      </c>
      <c r="K3317" t="s">
        <v>9051</v>
      </c>
      <c r="L3317" t="s">
        <v>9075</v>
      </c>
      <c r="M3317" t="s">
        <v>219</v>
      </c>
      <c r="Q3317" t="s">
        <v>260</v>
      </c>
      <c r="R3317" t="s">
        <v>261</v>
      </c>
      <c r="S3317" t="s">
        <v>261</v>
      </c>
      <c r="T3317" t="s">
        <v>261</v>
      </c>
      <c r="U3317" t="s">
        <v>261</v>
      </c>
      <c r="V3317" t="s">
        <v>262</v>
      </c>
      <c r="W3317" t="s">
        <v>261</v>
      </c>
      <c r="X3317" t="s">
        <v>261</v>
      </c>
      <c r="Y3317" t="s">
        <v>261</v>
      </c>
      <c r="Z3317" t="s">
        <v>409</v>
      </c>
      <c r="AA3317" t="s">
        <v>409</v>
      </c>
      <c r="AB3317" t="s">
        <v>409</v>
      </c>
      <c r="AC3317" t="s">
        <v>409</v>
      </c>
      <c r="AD3317" t="s">
        <v>261</v>
      </c>
      <c r="AH3317" t="s">
        <v>262</v>
      </c>
      <c r="AI3317" t="s">
        <v>262</v>
      </c>
      <c r="AJ3317" t="s">
        <v>261</v>
      </c>
      <c r="AK3317" t="s">
        <v>261</v>
      </c>
      <c r="AM3317" t="s">
        <v>262</v>
      </c>
      <c r="AN3317" t="s">
        <v>9076</v>
      </c>
    </row>
    <row r="3318" spans="1:40" x14ac:dyDescent="0.35">
      <c r="A3318">
        <v>6898703</v>
      </c>
      <c r="B3318" t="s">
        <v>9077</v>
      </c>
      <c r="C3318" t="str">
        <f>"9781781381878"</f>
        <v>9781781381878</v>
      </c>
      <c r="D3318" t="str">
        <f>"9781781384695"</f>
        <v>9781781384695</v>
      </c>
      <c r="E3318" t="s">
        <v>3696</v>
      </c>
      <c r="F3318" t="s">
        <v>3696</v>
      </c>
      <c r="G3318" s="1">
        <v>42248</v>
      </c>
      <c r="H3318" s="1">
        <v>44627</v>
      </c>
      <c r="I3318" t="s">
        <v>189</v>
      </c>
      <c r="J3318">
        <v>1</v>
      </c>
      <c r="K3318" t="s">
        <v>9059</v>
      </c>
      <c r="L3318" t="s">
        <v>9078</v>
      </c>
      <c r="M3318" t="s">
        <v>219</v>
      </c>
      <c r="O3318" s="2">
        <v>821009928709415</v>
      </c>
      <c r="Q3318" t="s">
        <v>260</v>
      </c>
      <c r="R3318" t="s">
        <v>261</v>
      </c>
      <c r="S3318" t="s">
        <v>261</v>
      </c>
      <c r="T3318" t="s">
        <v>261</v>
      </c>
      <c r="U3318" t="s">
        <v>261</v>
      </c>
      <c r="V3318" t="s">
        <v>262</v>
      </c>
      <c r="W3318" t="s">
        <v>261</v>
      </c>
      <c r="X3318" t="s">
        <v>261</v>
      </c>
      <c r="Y3318" t="s">
        <v>261</v>
      </c>
      <c r="Z3318" t="s">
        <v>409</v>
      </c>
      <c r="AA3318" t="s">
        <v>409</v>
      </c>
      <c r="AB3318" t="s">
        <v>409</v>
      </c>
      <c r="AC3318" t="s">
        <v>409</v>
      </c>
      <c r="AD3318" t="s">
        <v>261</v>
      </c>
      <c r="AH3318" t="s">
        <v>262</v>
      </c>
      <c r="AI3318" t="s">
        <v>262</v>
      </c>
      <c r="AJ3318" t="s">
        <v>261</v>
      </c>
      <c r="AK3318" t="s">
        <v>261</v>
      </c>
      <c r="AM3318" t="s">
        <v>262</v>
      </c>
      <c r="AN3318" t="s">
        <v>9079</v>
      </c>
    </row>
    <row r="3319" spans="1:40" x14ac:dyDescent="0.35">
      <c r="A3319">
        <v>6898708</v>
      </c>
      <c r="B3319" t="s">
        <v>9080</v>
      </c>
      <c r="C3319" t="str">
        <f>"9781846319730"</f>
        <v>9781846319730</v>
      </c>
      <c r="D3319" t="str">
        <f>"9781781385760"</f>
        <v>9781781385760</v>
      </c>
      <c r="E3319" t="s">
        <v>3696</v>
      </c>
      <c r="F3319" t="s">
        <v>3696</v>
      </c>
      <c r="G3319" s="1">
        <v>41516</v>
      </c>
      <c r="H3319" s="1">
        <v>44627</v>
      </c>
      <c r="I3319" t="s">
        <v>189</v>
      </c>
      <c r="J3319">
        <v>1</v>
      </c>
      <c r="K3319" t="s">
        <v>9041</v>
      </c>
      <c r="L3319" t="s">
        <v>9081</v>
      </c>
      <c r="M3319" t="s">
        <v>219</v>
      </c>
      <c r="N3319" t="s">
        <v>9082</v>
      </c>
      <c r="O3319" s="2">
        <v>84300994</v>
      </c>
      <c r="Q3319" t="s">
        <v>260</v>
      </c>
      <c r="R3319" t="s">
        <v>261</v>
      </c>
      <c r="S3319" t="s">
        <v>261</v>
      </c>
      <c r="T3319" t="s">
        <v>261</v>
      </c>
      <c r="U3319" t="s">
        <v>261</v>
      </c>
      <c r="V3319" t="s">
        <v>262</v>
      </c>
      <c r="W3319" t="s">
        <v>261</v>
      </c>
      <c r="X3319" t="s">
        <v>261</v>
      </c>
      <c r="Y3319" t="s">
        <v>261</v>
      </c>
      <c r="Z3319" t="s">
        <v>409</v>
      </c>
      <c r="AA3319" t="s">
        <v>409</v>
      </c>
      <c r="AB3319" t="s">
        <v>409</v>
      </c>
      <c r="AC3319" t="s">
        <v>409</v>
      </c>
      <c r="AD3319" t="s">
        <v>261</v>
      </c>
      <c r="AH3319" t="s">
        <v>262</v>
      </c>
      <c r="AI3319" t="s">
        <v>262</v>
      </c>
      <c r="AJ3319" t="s">
        <v>261</v>
      </c>
      <c r="AK3319" t="s">
        <v>261</v>
      </c>
      <c r="AM3319" t="s">
        <v>262</v>
      </c>
      <c r="AN3319" t="s">
        <v>9083</v>
      </c>
    </row>
    <row r="3320" spans="1:40" x14ac:dyDescent="0.35">
      <c r="A3320">
        <v>6898710</v>
      </c>
      <c r="B3320" t="s">
        <v>9084</v>
      </c>
      <c r="C3320" t="str">
        <f>"9781846318290"</f>
        <v>9781846318290</v>
      </c>
      <c r="D3320" t="str">
        <f>"9781781386361"</f>
        <v>9781781386361</v>
      </c>
      <c r="E3320" t="s">
        <v>3696</v>
      </c>
      <c r="F3320" t="s">
        <v>3696</v>
      </c>
      <c r="G3320" s="1">
        <v>41233</v>
      </c>
      <c r="H3320" s="1">
        <v>44629</v>
      </c>
      <c r="I3320" t="s">
        <v>189</v>
      </c>
      <c r="J3320">
        <v>1</v>
      </c>
      <c r="K3320" t="s">
        <v>9085</v>
      </c>
      <c r="L3320" t="s">
        <v>9086</v>
      </c>
      <c r="M3320" t="s">
        <v>329</v>
      </c>
    </row>
    <row r="3321" spans="1:40" x14ac:dyDescent="0.35">
      <c r="A3321">
        <v>6898712</v>
      </c>
      <c r="B3321" t="s">
        <v>9087</v>
      </c>
      <c r="C3321" t="str">
        <f>"9781781380253"</f>
        <v>9781781380253</v>
      </c>
      <c r="D3321" t="str">
        <f>"9781781385982"</f>
        <v>9781781385982</v>
      </c>
      <c r="E3321" t="s">
        <v>3696</v>
      </c>
      <c r="F3321" t="s">
        <v>3696</v>
      </c>
      <c r="G3321" s="1">
        <v>41787</v>
      </c>
      <c r="H3321" s="1">
        <v>44629</v>
      </c>
      <c r="I3321" t="s">
        <v>189</v>
      </c>
      <c r="J3321">
        <v>1</v>
      </c>
      <c r="K3321" t="s">
        <v>9085</v>
      </c>
      <c r="L3321" t="s">
        <v>9088</v>
      </c>
      <c r="M3321" t="s">
        <v>676</v>
      </c>
      <c r="O3321" t="s">
        <v>9089</v>
      </c>
      <c r="Q3321" t="s">
        <v>260</v>
      </c>
      <c r="R3321" t="s">
        <v>261</v>
      </c>
      <c r="S3321" t="s">
        <v>261</v>
      </c>
      <c r="T3321" t="s">
        <v>261</v>
      </c>
      <c r="U3321" t="s">
        <v>261</v>
      </c>
      <c r="V3321" t="s">
        <v>262</v>
      </c>
      <c r="W3321" t="s">
        <v>261</v>
      </c>
      <c r="X3321" t="s">
        <v>261</v>
      </c>
      <c r="Y3321" t="s">
        <v>261</v>
      </c>
      <c r="Z3321" t="s">
        <v>409</v>
      </c>
      <c r="AA3321" t="s">
        <v>409</v>
      </c>
      <c r="AB3321" t="s">
        <v>409</v>
      </c>
      <c r="AC3321" t="s">
        <v>409</v>
      </c>
      <c r="AD3321" t="s">
        <v>261</v>
      </c>
      <c r="AH3321" t="s">
        <v>262</v>
      </c>
      <c r="AI3321" t="s">
        <v>262</v>
      </c>
      <c r="AJ3321" t="s">
        <v>261</v>
      </c>
      <c r="AK3321" t="s">
        <v>261</v>
      </c>
      <c r="AM3321" t="s">
        <v>262</v>
      </c>
      <c r="AN3321" t="s">
        <v>9090</v>
      </c>
    </row>
    <row r="3322" spans="1:40" x14ac:dyDescent="0.35">
      <c r="A3322">
        <v>6898723</v>
      </c>
      <c r="B3322" t="s">
        <v>9091</v>
      </c>
      <c r="C3322" t="str">
        <f>"9781786941343"</f>
        <v>9781786941343</v>
      </c>
      <c r="D3322" t="str">
        <f>"9781786949363"</f>
        <v>9781786949363</v>
      </c>
      <c r="E3322" t="s">
        <v>3696</v>
      </c>
      <c r="F3322" t="s">
        <v>3696</v>
      </c>
      <c r="G3322" s="1">
        <v>43427</v>
      </c>
      <c r="H3322" s="1">
        <v>44627</v>
      </c>
      <c r="I3322" t="s">
        <v>189</v>
      </c>
      <c r="J3322">
        <v>1</v>
      </c>
      <c r="K3322" t="s">
        <v>9051</v>
      </c>
      <c r="L3322" t="s">
        <v>9092</v>
      </c>
      <c r="M3322" t="s">
        <v>239</v>
      </c>
      <c r="O3322" s="2">
        <v>946083</v>
      </c>
      <c r="Q3322" t="s">
        <v>260</v>
      </c>
      <c r="R3322" t="s">
        <v>261</v>
      </c>
      <c r="S3322" t="s">
        <v>261</v>
      </c>
      <c r="T3322" t="s">
        <v>261</v>
      </c>
      <c r="U3322" t="s">
        <v>261</v>
      </c>
      <c r="V3322" t="s">
        <v>262</v>
      </c>
      <c r="W3322" t="s">
        <v>261</v>
      </c>
      <c r="X3322" t="s">
        <v>261</v>
      </c>
      <c r="Y3322" t="s">
        <v>261</v>
      </c>
      <c r="Z3322" t="s">
        <v>409</v>
      </c>
      <c r="AA3322" t="s">
        <v>409</v>
      </c>
      <c r="AB3322" t="s">
        <v>409</v>
      </c>
      <c r="AC3322" t="s">
        <v>409</v>
      </c>
      <c r="AD3322" t="s">
        <v>261</v>
      </c>
      <c r="AH3322" t="s">
        <v>262</v>
      </c>
      <c r="AI3322" t="s">
        <v>262</v>
      </c>
      <c r="AJ3322" t="s">
        <v>261</v>
      </c>
      <c r="AK3322" t="s">
        <v>261</v>
      </c>
      <c r="AM3322" t="s">
        <v>262</v>
      </c>
      <c r="AN3322" t="s">
        <v>9093</v>
      </c>
    </row>
    <row r="3323" spans="1:40" x14ac:dyDescent="0.35">
      <c r="A3323">
        <v>6898724</v>
      </c>
      <c r="B3323" t="s">
        <v>9094</v>
      </c>
      <c r="C3323" t="str">
        <f>"9781846317538"</f>
        <v>9781846317538</v>
      </c>
      <c r="D3323" t="str">
        <f>"9781781386095"</f>
        <v>9781781386095</v>
      </c>
      <c r="E3323" t="s">
        <v>3696</v>
      </c>
      <c r="F3323" t="s">
        <v>3696</v>
      </c>
      <c r="G3323" s="1">
        <v>41054</v>
      </c>
      <c r="H3323" s="1">
        <v>44627</v>
      </c>
      <c r="I3323" t="s">
        <v>189</v>
      </c>
      <c r="J3323">
        <v>1</v>
      </c>
      <c r="K3323" t="s">
        <v>9095</v>
      </c>
      <c r="L3323" t="s">
        <v>9096</v>
      </c>
    </row>
    <row r="3324" spans="1:40" x14ac:dyDescent="0.35">
      <c r="A3324">
        <v>6898726</v>
      </c>
      <c r="B3324" t="s">
        <v>9097</v>
      </c>
      <c r="C3324" t="str">
        <f>"9781846318702"</f>
        <v>9781846318702</v>
      </c>
      <c r="D3324" t="str">
        <f>"9781781386415"</f>
        <v>9781781386415</v>
      </c>
      <c r="E3324" t="s">
        <v>3696</v>
      </c>
      <c r="F3324" t="s">
        <v>3696</v>
      </c>
      <c r="G3324" s="1">
        <v>41352</v>
      </c>
      <c r="H3324" s="1">
        <v>44629</v>
      </c>
      <c r="I3324" t="s">
        <v>189</v>
      </c>
      <c r="J3324">
        <v>1</v>
      </c>
      <c r="K3324" t="s">
        <v>9098</v>
      </c>
      <c r="L3324" t="s">
        <v>9099</v>
      </c>
      <c r="M3324" t="s">
        <v>329</v>
      </c>
      <c r="O3324" s="2">
        <v>30590840946</v>
      </c>
      <c r="Q3324" t="s">
        <v>260</v>
      </c>
      <c r="R3324" t="s">
        <v>261</v>
      </c>
      <c r="S3324" t="s">
        <v>261</v>
      </c>
      <c r="T3324" t="s">
        <v>261</v>
      </c>
      <c r="U3324" t="s">
        <v>261</v>
      </c>
      <c r="V3324" t="s">
        <v>262</v>
      </c>
      <c r="W3324" t="s">
        <v>261</v>
      </c>
      <c r="X3324" t="s">
        <v>261</v>
      </c>
      <c r="Y3324" t="s">
        <v>261</v>
      </c>
      <c r="Z3324" t="s">
        <v>409</v>
      </c>
      <c r="AA3324" t="s">
        <v>409</v>
      </c>
      <c r="AB3324" t="s">
        <v>409</v>
      </c>
      <c r="AC3324" t="s">
        <v>409</v>
      </c>
      <c r="AD3324" t="s">
        <v>261</v>
      </c>
      <c r="AH3324" t="s">
        <v>262</v>
      </c>
      <c r="AI3324" t="s">
        <v>262</v>
      </c>
      <c r="AJ3324" t="s">
        <v>261</v>
      </c>
      <c r="AK3324" t="s">
        <v>261</v>
      </c>
      <c r="AM3324" t="s">
        <v>262</v>
      </c>
      <c r="AN3324" t="s">
        <v>9100</v>
      </c>
    </row>
    <row r="3325" spans="1:40" x14ac:dyDescent="0.35">
      <c r="A3325">
        <v>6898727</v>
      </c>
      <c r="B3325" t="s">
        <v>9101</v>
      </c>
      <c r="C3325" t="str">
        <f>"9781846318610"</f>
        <v>9781846318610</v>
      </c>
      <c r="D3325" t="str">
        <f>"9781781387665"</f>
        <v>9781781387665</v>
      </c>
      <c r="E3325" t="s">
        <v>3696</v>
      </c>
      <c r="F3325" t="s">
        <v>3696</v>
      </c>
      <c r="G3325" s="1">
        <v>41352</v>
      </c>
      <c r="H3325" s="1">
        <v>44627</v>
      </c>
      <c r="I3325" t="s">
        <v>189</v>
      </c>
      <c r="J3325">
        <v>1</v>
      </c>
      <c r="K3325" t="s">
        <v>9041</v>
      </c>
      <c r="L3325" t="s">
        <v>9102</v>
      </c>
      <c r="M3325" t="s">
        <v>219</v>
      </c>
      <c r="O3325" s="2">
        <v>843914</v>
      </c>
      <c r="Q3325" t="s">
        <v>260</v>
      </c>
      <c r="R3325" t="s">
        <v>261</v>
      </c>
      <c r="S3325" t="s">
        <v>261</v>
      </c>
      <c r="T3325" t="s">
        <v>261</v>
      </c>
      <c r="U3325" t="s">
        <v>261</v>
      </c>
      <c r="V3325" t="s">
        <v>262</v>
      </c>
      <c r="W3325" t="s">
        <v>261</v>
      </c>
      <c r="X3325" t="s">
        <v>261</v>
      </c>
      <c r="Y3325" t="s">
        <v>261</v>
      </c>
      <c r="Z3325" t="s">
        <v>409</v>
      </c>
      <c r="AA3325" t="s">
        <v>409</v>
      </c>
      <c r="AB3325" t="s">
        <v>409</v>
      </c>
      <c r="AC3325" t="s">
        <v>409</v>
      </c>
      <c r="AD3325" t="s">
        <v>261</v>
      </c>
      <c r="AH3325" t="s">
        <v>262</v>
      </c>
      <c r="AI3325" t="s">
        <v>262</v>
      </c>
      <c r="AJ3325" t="s">
        <v>261</v>
      </c>
      <c r="AK3325" t="s">
        <v>261</v>
      </c>
      <c r="AM3325" t="s">
        <v>262</v>
      </c>
      <c r="AN3325" t="s">
        <v>9103</v>
      </c>
    </row>
    <row r="3326" spans="1:40" x14ac:dyDescent="0.35">
      <c r="A3326">
        <v>6898728</v>
      </c>
      <c r="B3326" t="s">
        <v>9104</v>
      </c>
      <c r="C3326" t="str">
        <f>"9781800856202"</f>
        <v>9781800856202</v>
      </c>
      <c r="D3326" t="str">
        <f>"9781800855472"</f>
        <v>9781800855472</v>
      </c>
      <c r="E3326" t="s">
        <v>3696</v>
      </c>
      <c r="F3326" t="s">
        <v>3696</v>
      </c>
      <c r="G3326" s="1">
        <v>44596</v>
      </c>
      <c r="H3326" s="1">
        <v>44627</v>
      </c>
      <c r="I3326" t="s">
        <v>189</v>
      </c>
      <c r="J3326">
        <v>1</v>
      </c>
      <c r="L3326" t="s">
        <v>9105</v>
      </c>
      <c r="M3326" t="s">
        <v>578</v>
      </c>
      <c r="O3326" s="2">
        <v>7097292</v>
      </c>
      <c r="Q3326" t="s">
        <v>260</v>
      </c>
      <c r="R3326" t="s">
        <v>261</v>
      </c>
      <c r="S3326" t="s">
        <v>261</v>
      </c>
      <c r="T3326" t="s">
        <v>261</v>
      </c>
      <c r="U3326" t="s">
        <v>261</v>
      </c>
      <c r="V3326" t="s">
        <v>262</v>
      </c>
      <c r="W3326" t="s">
        <v>261</v>
      </c>
      <c r="X3326" t="s">
        <v>261</v>
      </c>
      <c r="Y3326" t="s">
        <v>261</v>
      </c>
      <c r="Z3326" t="s">
        <v>409</v>
      </c>
      <c r="AA3326" t="s">
        <v>409</v>
      </c>
      <c r="AB3326" t="s">
        <v>409</v>
      </c>
      <c r="AC3326" t="s">
        <v>409</v>
      </c>
      <c r="AD3326" t="s">
        <v>261</v>
      </c>
      <c r="AH3326" t="s">
        <v>262</v>
      </c>
      <c r="AI3326" t="s">
        <v>262</v>
      </c>
      <c r="AJ3326" t="s">
        <v>261</v>
      </c>
      <c r="AK3326" t="s">
        <v>261</v>
      </c>
      <c r="AM3326" t="s">
        <v>262</v>
      </c>
      <c r="AN3326" t="s">
        <v>9106</v>
      </c>
    </row>
    <row r="3327" spans="1:40" x14ac:dyDescent="0.35">
      <c r="A3327">
        <v>6898733</v>
      </c>
      <c r="B3327" t="s">
        <v>9107</v>
      </c>
      <c r="C3327" t="str">
        <f>"9781781383186"</f>
        <v>9781781383186</v>
      </c>
      <c r="D3327" t="str">
        <f>"9781781383537"</f>
        <v>9781781383537</v>
      </c>
      <c r="E3327" t="s">
        <v>3696</v>
      </c>
      <c r="F3327" t="s">
        <v>3696</v>
      </c>
      <c r="G3327" s="1">
        <v>42736</v>
      </c>
      <c r="H3327" s="1">
        <v>44627</v>
      </c>
      <c r="I3327" t="s">
        <v>189</v>
      </c>
      <c r="J3327">
        <v>1</v>
      </c>
      <c r="K3327" t="s">
        <v>3702</v>
      </c>
      <c r="L3327" t="s">
        <v>9108</v>
      </c>
      <c r="M3327" t="s">
        <v>282</v>
      </c>
      <c r="O3327" t="s">
        <v>9109</v>
      </c>
      <c r="Q3327" t="s">
        <v>260</v>
      </c>
      <c r="R3327" t="s">
        <v>261</v>
      </c>
      <c r="S3327" t="s">
        <v>261</v>
      </c>
      <c r="T3327" t="s">
        <v>261</v>
      </c>
      <c r="U3327" t="s">
        <v>261</v>
      </c>
      <c r="V3327" t="s">
        <v>262</v>
      </c>
      <c r="W3327" t="s">
        <v>261</v>
      </c>
      <c r="X3327" t="s">
        <v>261</v>
      </c>
      <c r="Y3327" t="s">
        <v>261</v>
      </c>
      <c r="Z3327" t="s">
        <v>409</v>
      </c>
      <c r="AA3327" t="s">
        <v>409</v>
      </c>
      <c r="AB3327" t="s">
        <v>409</v>
      </c>
      <c r="AC3327" t="s">
        <v>409</v>
      </c>
      <c r="AD3327" t="s">
        <v>261</v>
      </c>
      <c r="AH3327" t="s">
        <v>262</v>
      </c>
      <c r="AI3327" t="s">
        <v>262</v>
      </c>
      <c r="AJ3327" t="s">
        <v>261</v>
      </c>
      <c r="AK3327" t="s">
        <v>261</v>
      </c>
      <c r="AM3327" t="s">
        <v>262</v>
      </c>
      <c r="AN3327" t="s">
        <v>9110</v>
      </c>
    </row>
    <row r="3328" spans="1:40" x14ac:dyDescent="0.35">
      <c r="A3328">
        <v>6898737</v>
      </c>
      <c r="B3328" t="s">
        <v>9111</v>
      </c>
      <c r="C3328" t="str">
        <f>"9781846318436"</f>
        <v>9781846318436</v>
      </c>
      <c r="D3328" t="str">
        <f>"9781781388273"</f>
        <v>9781781388273</v>
      </c>
      <c r="E3328" t="s">
        <v>3696</v>
      </c>
      <c r="F3328" t="s">
        <v>3696</v>
      </c>
      <c r="G3328" s="1">
        <v>41250</v>
      </c>
      <c r="H3328" s="1">
        <v>44627</v>
      </c>
      <c r="I3328" t="s">
        <v>189</v>
      </c>
      <c r="J3328">
        <v>1</v>
      </c>
      <c r="K3328" t="s">
        <v>9041</v>
      </c>
      <c r="L3328" t="s">
        <v>9112</v>
      </c>
      <c r="M3328" t="s">
        <v>199</v>
      </c>
      <c r="O3328">
        <v>194</v>
      </c>
      <c r="Q3328" t="s">
        <v>260</v>
      </c>
      <c r="R3328" t="s">
        <v>261</v>
      </c>
      <c r="S3328" t="s">
        <v>261</v>
      </c>
      <c r="T3328" t="s">
        <v>261</v>
      </c>
      <c r="U3328" t="s">
        <v>261</v>
      </c>
      <c r="V3328" t="s">
        <v>262</v>
      </c>
      <c r="W3328" t="s">
        <v>261</v>
      </c>
      <c r="X3328" t="s">
        <v>261</v>
      </c>
      <c r="Y3328" t="s">
        <v>261</v>
      </c>
      <c r="Z3328" t="s">
        <v>409</v>
      </c>
      <c r="AA3328" t="s">
        <v>409</v>
      </c>
      <c r="AB3328" t="s">
        <v>409</v>
      </c>
      <c r="AC3328" t="s">
        <v>409</v>
      </c>
      <c r="AD3328" t="s">
        <v>261</v>
      </c>
      <c r="AH3328" t="s">
        <v>262</v>
      </c>
      <c r="AI3328" t="s">
        <v>262</v>
      </c>
      <c r="AJ3328" t="s">
        <v>261</v>
      </c>
      <c r="AK3328" t="s">
        <v>261</v>
      </c>
      <c r="AM3328" t="s">
        <v>262</v>
      </c>
      <c r="AN3328" t="s">
        <v>9113</v>
      </c>
    </row>
    <row r="3329" spans="1:40" x14ac:dyDescent="0.35">
      <c r="A3329">
        <v>6898738</v>
      </c>
      <c r="B3329" t="s">
        <v>9114</v>
      </c>
      <c r="C3329" t="str">
        <f>"9781786941565"</f>
        <v>9781786941565</v>
      </c>
      <c r="D3329" t="str">
        <f>"9781786949523"</f>
        <v>9781786949523</v>
      </c>
      <c r="E3329" t="s">
        <v>3696</v>
      </c>
      <c r="F3329" t="s">
        <v>3696</v>
      </c>
      <c r="G3329" s="1">
        <v>43466</v>
      </c>
      <c r="H3329" s="1">
        <v>44627</v>
      </c>
      <c r="I3329" t="s">
        <v>189</v>
      </c>
      <c r="J3329">
        <v>1</v>
      </c>
      <c r="K3329" t="s">
        <v>9041</v>
      </c>
      <c r="L3329" t="s">
        <v>9115</v>
      </c>
      <c r="M3329" t="s">
        <v>219</v>
      </c>
      <c r="O3329" s="2">
        <v>843912099287</v>
      </c>
      <c r="Q3329" t="s">
        <v>260</v>
      </c>
      <c r="R3329" t="s">
        <v>261</v>
      </c>
      <c r="S3329" t="s">
        <v>261</v>
      </c>
      <c r="T3329" t="s">
        <v>261</v>
      </c>
      <c r="U3329" t="s">
        <v>261</v>
      </c>
      <c r="V3329" t="s">
        <v>262</v>
      </c>
      <c r="W3329" t="s">
        <v>261</v>
      </c>
      <c r="X3329" t="s">
        <v>261</v>
      </c>
      <c r="Y3329" t="s">
        <v>261</v>
      </c>
      <c r="Z3329" t="s">
        <v>409</v>
      </c>
      <c r="AA3329" t="s">
        <v>409</v>
      </c>
      <c r="AB3329" t="s">
        <v>409</v>
      </c>
      <c r="AC3329" t="s">
        <v>409</v>
      </c>
      <c r="AD3329" t="s">
        <v>261</v>
      </c>
      <c r="AH3329" t="s">
        <v>262</v>
      </c>
      <c r="AI3329" t="s">
        <v>262</v>
      </c>
      <c r="AJ3329" t="s">
        <v>261</v>
      </c>
      <c r="AK3329" t="s">
        <v>261</v>
      </c>
      <c r="AM3329" t="s">
        <v>262</v>
      </c>
      <c r="AN3329" t="s">
        <v>9116</v>
      </c>
    </row>
    <row r="3330" spans="1:40" x14ac:dyDescent="0.35">
      <c r="A3330">
        <v>6898741</v>
      </c>
      <c r="B3330" t="s">
        <v>9117</v>
      </c>
      <c r="C3330" t="str">
        <f>"9781781382684"</f>
        <v>9781781382684</v>
      </c>
      <c r="D3330" t="str">
        <f>"9781781384312"</f>
        <v>9781781384312</v>
      </c>
      <c r="E3330" t="s">
        <v>3696</v>
      </c>
      <c r="F3330" t="s">
        <v>3696</v>
      </c>
      <c r="G3330" s="1">
        <v>42583</v>
      </c>
      <c r="H3330" s="1">
        <v>44627</v>
      </c>
      <c r="I3330" t="s">
        <v>189</v>
      </c>
      <c r="J3330">
        <v>1</v>
      </c>
      <c r="K3330" t="s">
        <v>3702</v>
      </c>
      <c r="L3330" t="s">
        <v>9118</v>
      </c>
      <c r="M3330" t="s">
        <v>282</v>
      </c>
      <c r="O3330">
        <v>331</v>
      </c>
      <c r="Q3330" t="s">
        <v>260</v>
      </c>
      <c r="R3330" t="s">
        <v>261</v>
      </c>
      <c r="S3330" t="s">
        <v>261</v>
      </c>
      <c r="T3330" t="s">
        <v>261</v>
      </c>
      <c r="U3330" t="s">
        <v>261</v>
      </c>
      <c r="V3330" t="s">
        <v>262</v>
      </c>
      <c r="W3330" t="s">
        <v>261</v>
      </c>
      <c r="X3330" t="s">
        <v>261</v>
      </c>
      <c r="Y3330" t="s">
        <v>261</v>
      </c>
      <c r="Z3330" t="s">
        <v>409</v>
      </c>
      <c r="AA3330" t="s">
        <v>409</v>
      </c>
      <c r="AB3330" t="s">
        <v>409</v>
      </c>
      <c r="AC3330" t="s">
        <v>409</v>
      </c>
      <c r="AD3330" t="s">
        <v>261</v>
      </c>
      <c r="AH3330" t="s">
        <v>262</v>
      </c>
      <c r="AI3330" t="s">
        <v>262</v>
      </c>
      <c r="AJ3330" t="s">
        <v>261</v>
      </c>
      <c r="AK3330" t="s">
        <v>261</v>
      </c>
      <c r="AM3330" t="s">
        <v>262</v>
      </c>
      <c r="AN3330" t="s">
        <v>9119</v>
      </c>
    </row>
    <row r="3331" spans="1:40" x14ac:dyDescent="0.35">
      <c r="A3331">
        <v>6898750</v>
      </c>
      <c r="B3331" t="s">
        <v>9120</v>
      </c>
      <c r="C3331" t="str">
        <f>"9781846319587"</f>
        <v>9781846319587</v>
      </c>
      <c r="D3331" t="str">
        <f>"9781781385524"</f>
        <v>9781781385524</v>
      </c>
      <c r="E3331" t="s">
        <v>3696</v>
      </c>
      <c r="F3331" t="s">
        <v>3696</v>
      </c>
      <c r="G3331" s="1">
        <v>41584</v>
      </c>
      <c r="H3331" s="1">
        <v>44629</v>
      </c>
      <c r="I3331" t="s">
        <v>189</v>
      </c>
      <c r="J3331">
        <v>1</v>
      </c>
      <c r="K3331" t="s">
        <v>9059</v>
      </c>
      <c r="L3331" t="s">
        <v>9121</v>
      </c>
      <c r="M3331" t="s">
        <v>219</v>
      </c>
      <c r="O3331" s="2">
        <v>820935509034</v>
      </c>
      <c r="Q3331" t="s">
        <v>260</v>
      </c>
      <c r="R3331" t="s">
        <v>261</v>
      </c>
      <c r="S3331" t="s">
        <v>261</v>
      </c>
      <c r="T3331" t="s">
        <v>261</v>
      </c>
      <c r="U3331" t="s">
        <v>261</v>
      </c>
      <c r="V3331" t="s">
        <v>262</v>
      </c>
      <c r="W3331" t="s">
        <v>261</v>
      </c>
      <c r="X3331" t="s">
        <v>261</v>
      </c>
      <c r="Y3331" t="s">
        <v>261</v>
      </c>
      <c r="Z3331" t="s">
        <v>409</v>
      </c>
      <c r="AA3331" t="s">
        <v>409</v>
      </c>
      <c r="AB3331" t="s">
        <v>409</v>
      </c>
      <c r="AC3331" t="s">
        <v>409</v>
      </c>
      <c r="AD3331" t="s">
        <v>261</v>
      </c>
      <c r="AH3331" t="s">
        <v>262</v>
      </c>
      <c r="AI3331" t="s">
        <v>262</v>
      </c>
      <c r="AJ3331" t="s">
        <v>261</v>
      </c>
      <c r="AK3331" t="s">
        <v>261</v>
      </c>
      <c r="AM3331" t="s">
        <v>262</v>
      </c>
      <c r="AN3331" t="s">
        <v>9122</v>
      </c>
    </row>
    <row r="3332" spans="1:40" x14ac:dyDescent="0.35">
      <c r="A3332">
        <v>6898763</v>
      </c>
      <c r="B3332" t="s">
        <v>9123</v>
      </c>
      <c r="C3332" t="str">
        <f>"9781786941497"</f>
        <v>9781786941497</v>
      </c>
      <c r="D3332" t="str">
        <f>"9781786949493"</f>
        <v>9781786949493</v>
      </c>
      <c r="E3332" t="s">
        <v>3696</v>
      </c>
      <c r="F3332" t="s">
        <v>3696</v>
      </c>
      <c r="G3332" s="1">
        <v>43497</v>
      </c>
      <c r="H3332" s="1">
        <v>44627</v>
      </c>
      <c r="I3332" t="s">
        <v>189</v>
      </c>
      <c r="J3332">
        <v>1</v>
      </c>
      <c r="K3332" t="s">
        <v>9041</v>
      </c>
      <c r="L3332" t="s">
        <v>9124</v>
      </c>
      <c r="M3332" t="s">
        <v>219</v>
      </c>
      <c r="O3332" s="2">
        <v>8439209353</v>
      </c>
      <c r="Q3332" t="s">
        <v>260</v>
      </c>
      <c r="R3332" t="s">
        <v>261</v>
      </c>
      <c r="S3332" t="s">
        <v>261</v>
      </c>
      <c r="T3332" t="s">
        <v>261</v>
      </c>
      <c r="U3332" t="s">
        <v>261</v>
      </c>
      <c r="V3332" t="s">
        <v>262</v>
      </c>
      <c r="W3332" t="s">
        <v>261</v>
      </c>
      <c r="X3332" t="s">
        <v>261</v>
      </c>
      <c r="Y3332" t="s">
        <v>261</v>
      </c>
      <c r="Z3332" t="s">
        <v>409</v>
      </c>
      <c r="AA3332" t="s">
        <v>409</v>
      </c>
      <c r="AB3332" t="s">
        <v>409</v>
      </c>
      <c r="AC3332" t="s">
        <v>409</v>
      </c>
      <c r="AD3332" t="s">
        <v>261</v>
      </c>
      <c r="AH3332" t="s">
        <v>262</v>
      </c>
      <c r="AI3332" t="s">
        <v>262</v>
      </c>
      <c r="AJ3332" t="s">
        <v>261</v>
      </c>
      <c r="AK3332" t="s">
        <v>261</v>
      </c>
      <c r="AM3332" t="s">
        <v>262</v>
      </c>
      <c r="AN3332" t="s">
        <v>9125</v>
      </c>
    </row>
    <row r="3333" spans="1:40" x14ac:dyDescent="0.35">
      <c r="A3333">
        <v>6898765</v>
      </c>
      <c r="B3333" t="s">
        <v>9126</v>
      </c>
      <c r="C3333" t="str">
        <f>"9781781382868"</f>
        <v>9781781382868</v>
      </c>
      <c r="D3333" t="str">
        <f>"9781781384558"</f>
        <v>9781781384558</v>
      </c>
      <c r="E3333" t="s">
        <v>3696</v>
      </c>
      <c r="F3333" t="s">
        <v>3696</v>
      </c>
      <c r="G3333" s="1">
        <v>42482</v>
      </c>
      <c r="H3333" s="1">
        <v>44627</v>
      </c>
      <c r="I3333" t="s">
        <v>189</v>
      </c>
      <c r="J3333">
        <v>1</v>
      </c>
      <c r="K3333" t="s">
        <v>9127</v>
      </c>
      <c r="L3333" t="s">
        <v>9128</v>
      </c>
      <c r="M3333" t="s">
        <v>239</v>
      </c>
      <c r="O3333" t="s">
        <v>9129</v>
      </c>
      <c r="Q3333" t="s">
        <v>260</v>
      </c>
      <c r="R3333" t="s">
        <v>261</v>
      </c>
      <c r="S3333" t="s">
        <v>261</v>
      </c>
      <c r="T3333" t="s">
        <v>261</v>
      </c>
      <c r="U3333" t="s">
        <v>261</v>
      </c>
      <c r="V3333" t="s">
        <v>262</v>
      </c>
      <c r="W3333" t="s">
        <v>261</v>
      </c>
      <c r="X3333" t="s">
        <v>261</v>
      </c>
      <c r="Y3333" t="s">
        <v>261</v>
      </c>
      <c r="Z3333" t="s">
        <v>409</v>
      </c>
      <c r="AA3333" t="s">
        <v>409</v>
      </c>
      <c r="AB3333" t="s">
        <v>409</v>
      </c>
      <c r="AC3333" t="s">
        <v>409</v>
      </c>
      <c r="AD3333" t="s">
        <v>261</v>
      </c>
      <c r="AH3333" t="s">
        <v>262</v>
      </c>
      <c r="AI3333" t="s">
        <v>262</v>
      </c>
      <c r="AJ3333" t="s">
        <v>261</v>
      </c>
      <c r="AK3333" t="s">
        <v>261</v>
      </c>
      <c r="AM3333" t="s">
        <v>262</v>
      </c>
      <c r="AN3333" t="s">
        <v>9130</v>
      </c>
    </row>
    <row r="3334" spans="1:40" x14ac:dyDescent="0.35">
      <c r="A3334">
        <v>6898768</v>
      </c>
      <c r="B3334" t="s">
        <v>9131</v>
      </c>
      <c r="C3334" t="str">
        <f>"9781789620757"</f>
        <v>9781789620757</v>
      </c>
      <c r="D3334" t="str">
        <f>"9781789624953"</f>
        <v>9781789624953</v>
      </c>
      <c r="E3334" t="s">
        <v>3696</v>
      </c>
      <c r="F3334" t="s">
        <v>3696</v>
      </c>
      <c r="G3334" s="1">
        <v>43799</v>
      </c>
      <c r="H3334" s="1">
        <v>44627</v>
      </c>
      <c r="I3334" t="s">
        <v>189</v>
      </c>
      <c r="J3334">
        <v>1</v>
      </c>
      <c r="K3334" t="s">
        <v>9098</v>
      </c>
      <c r="L3334" t="s">
        <v>9132</v>
      </c>
      <c r="M3334" t="s">
        <v>219</v>
      </c>
      <c r="O3334" s="2">
        <v>82380935</v>
      </c>
      <c r="Q3334" t="s">
        <v>260</v>
      </c>
      <c r="R3334" t="s">
        <v>261</v>
      </c>
      <c r="S3334" t="s">
        <v>261</v>
      </c>
      <c r="T3334" t="s">
        <v>261</v>
      </c>
      <c r="U3334" t="s">
        <v>261</v>
      </c>
      <c r="V3334" t="s">
        <v>262</v>
      </c>
      <c r="W3334" t="s">
        <v>261</v>
      </c>
      <c r="X3334" t="s">
        <v>261</v>
      </c>
      <c r="Y3334" t="s">
        <v>261</v>
      </c>
      <c r="Z3334" t="s">
        <v>409</v>
      </c>
      <c r="AA3334" t="s">
        <v>409</v>
      </c>
      <c r="AB3334" t="s">
        <v>409</v>
      </c>
      <c r="AC3334" t="s">
        <v>409</v>
      </c>
      <c r="AD3334" t="s">
        <v>261</v>
      </c>
      <c r="AH3334" t="s">
        <v>262</v>
      </c>
      <c r="AI3334" t="s">
        <v>262</v>
      </c>
      <c r="AJ3334" t="s">
        <v>261</v>
      </c>
      <c r="AK3334" t="s">
        <v>261</v>
      </c>
      <c r="AM3334" t="s">
        <v>262</v>
      </c>
      <c r="AN3334" t="s">
        <v>9133</v>
      </c>
    </row>
    <row r="3335" spans="1:40" x14ac:dyDescent="0.35">
      <c r="A3335">
        <v>6898772</v>
      </c>
      <c r="B3335" t="s">
        <v>9134</v>
      </c>
      <c r="C3335" t="str">
        <f>"9781846314704"</f>
        <v>9781846314704</v>
      </c>
      <c r="D3335" t="str">
        <f>"9781789624205"</f>
        <v>9781789624205</v>
      </c>
      <c r="E3335" t="s">
        <v>3696</v>
      </c>
      <c r="F3335" t="s">
        <v>3696</v>
      </c>
      <c r="G3335" s="1">
        <v>40373</v>
      </c>
      <c r="H3335" s="1">
        <v>44627</v>
      </c>
      <c r="I3335" t="s">
        <v>189</v>
      </c>
      <c r="J3335">
        <v>1</v>
      </c>
      <c r="K3335" t="s">
        <v>9135</v>
      </c>
      <c r="L3335" t="s">
        <v>9136</v>
      </c>
      <c r="M3335" t="s">
        <v>219</v>
      </c>
      <c r="O3335" s="2">
        <v>809935226</v>
      </c>
      <c r="Q3335" t="s">
        <v>260</v>
      </c>
      <c r="R3335" t="s">
        <v>261</v>
      </c>
      <c r="S3335" t="s">
        <v>261</v>
      </c>
      <c r="T3335" t="s">
        <v>261</v>
      </c>
      <c r="U3335" t="s">
        <v>261</v>
      </c>
      <c r="V3335" t="s">
        <v>262</v>
      </c>
      <c r="W3335" t="s">
        <v>261</v>
      </c>
      <c r="X3335" t="s">
        <v>261</v>
      </c>
      <c r="Y3335" t="s">
        <v>261</v>
      </c>
      <c r="Z3335" t="s">
        <v>409</v>
      </c>
      <c r="AA3335" t="s">
        <v>409</v>
      </c>
      <c r="AB3335" t="s">
        <v>409</v>
      </c>
      <c r="AC3335" t="s">
        <v>409</v>
      </c>
      <c r="AD3335" t="s">
        <v>261</v>
      </c>
      <c r="AH3335" t="s">
        <v>262</v>
      </c>
      <c r="AI3335" t="s">
        <v>262</v>
      </c>
      <c r="AJ3335" t="s">
        <v>261</v>
      </c>
      <c r="AK3335" t="s">
        <v>261</v>
      </c>
      <c r="AM3335" t="s">
        <v>262</v>
      </c>
      <c r="AN3335" t="s">
        <v>9137</v>
      </c>
    </row>
    <row r="3336" spans="1:40" x14ac:dyDescent="0.35">
      <c r="A3336">
        <v>6898773</v>
      </c>
      <c r="B3336" t="s">
        <v>9138</v>
      </c>
      <c r="C3336" t="str">
        <f>"9781846319433"</f>
        <v>9781846319433</v>
      </c>
      <c r="D3336" t="str">
        <f>"9781781385739"</f>
        <v>9781781385739</v>
      </c>
      <c r="E3336" t="s">
        <v>3696</v>
      </c>
      <c r="F3336" t="s">
        <v>3696</v>
      </c>
      <c r="G3336" s="1">
        <v>41561</v>
      </c>
      <c r="H3336" s="1">
        <v>44629</v>
      </c>
      <c r="I3336" t="s">
        <v>189</v>
      </c>
      <c r="J3336">
        <v>1</v>
      </c>
      <c r="K3336" t="s">
        <v>9085</v>
      </c>
      <c r="L3336" t="s">
        <v>3363</v>
      </c>
      <c r="M3336" t="s">
        <v>219</v>
      </c>
      <c r="N3336" t="s">
        <v>9139</v>
      </c>
      <c r="O3336">
        <v>809</v>
      </c>
      <c r="Q3336" t="s">
        <v>260</v>
      </c>
      <c r="R3336" t="s">
        <v>261</v>
      </c>
      <c r="S3336" t="s">
        <v>261</v>
      </c>
      <c r="T3336" t="s">
        <v>261</v>
      </c>
      <c r="U3336" t="s">
        <v>261</v>
      </c>
      <c r="V3336" t="s">
        <v>262</v>
      </c>
      <c r="W3336" t="s">
        <v>261</v>
      </c>
      <c r="X3336" t="s">
        <v>261</v>
      </c>
      <c r="Y3336" t="s">
        <v>261</v>
      </c>
      <c r="Z3336" t="s">
        <v>409</v>
      </c>
      <c r="AA3336" t="s">
        <v>409</v>
      </c>
      <c r="AB3336" t="s">
        <v>409</v>
      </c>
      <c r="AC3336" t="s">
        <v>409</v>
      </c>
      <c r="AD3336" t="s">
        <v>261</v>
      </c>
      <c r="AH3336" t="s">
        <v>262</v>
      </c>
      <c r="AI3336" t="s">
        <v>262</v>
      </c>
      <c r="AJ3336" t="s">
        <v>261</v>
      </c>
      <c r="AK3336" t="s">
        <v>261</v>
      </c>
      <c r="AM3336" t="s">
        <v>262</v>
      </c>
      <c r="AN3336" t="s">
        <v>9140</v>
      </c>
    </row>
    <row r="3337" spans="1:40" x14ac:dyDescent="0.35">
      <c r="A3337">
        <v>6898775</v>
      </c>
      <c r="B3337" t="s">
        <v>9141</v>
      </c>
      <c r="C3337" t="str">
        <f>"9781800348455"</f>
        <v>9781800348455</v>
      </c>
      <c r="D3337" t="str">
        <f>"9781800345515"</f>
        <v>9781800345515</v>
      </c>
      <c r="E3337" t="s">
        <v>3696</v>
      </c>
      <c r="F3337" t="s">
        <v>3696</v>
      </c>
      <c r="G3337" s="1">
        <v>44593</v>
      </c>
      <c r="H3337" s="1">
        <v>44627</v>
      </c>
      <c r="I3337" t="s">
        <v>189</v>
      </c>
      <c r="J3337">
        <v>1</v>
      </c>
      <c r="K3337" t="s">
        <v>9142</v>
      </c>
      <c r="L3337" t="s">
        <v>9143</v>
      </c>
      <c r="M3337" t="s">
        <v>219</v>
      </c>
      <c r="O3337" s="2">
        <v>86370935882</v>
      </c>
      <c r="Q3337" t="s">
        <v>260</v>
      </c>
      <c r="R3337" t="s">
        <v>261</v>
      </c>
      <c r="S3337" t="s">
        <v>261</v>
      </c>
      <c r="T3337" t="s">
        <v>261</v>
      </c>
      <c r="U3337" t="s">
        <v>261</v>
      </c>
      <c r="V3337" t="s">
        <v>262</v>
      </c>
      <c r="W3337" t="s">
        <v>261</v>
      </c>
      <c r="X3337" t="s">
        <v>261</v>
      </c>
      <c r="Y3337" t="s">
        <v>261</v>
      </c>
      <c r="Z3337" t="s">
        <v>409</v>
      </c>
      <c r="AA3337" t="s">
        <v>409</v>
      </c>
      <c r="AB3337" t="s">
        <v>409</v>
      </c>
      <c r="AC3337" t="s">
        <v>409</v>
      </c>
      <c r="AD3337" t="s">
        <v>261</v>
      </c>
      <c r="AH3337" t="s">
        <v>262</v>
      </c>
      <c r="AI3337" t="s">
        <v>262</v>
      </c>
      <c r="AJ3337" t="s">
        <v>261</v>
      </c>
      <c r="AK3337" t="s">
        <v>261</v>
      </c>
      <c r="AM3337" t="s">
        <v>262</v>
      </c>
      <c r="AN3337" t="s">
        <v>9144</v>
      </c>
    </row>
    <row r="3338" spans="1:40" x14ac:dyDescent="0.35">
      <c r="A3338">
        <v>6898776</v>
      </c>
      <c r="B3338" t="s">
        <v>9145</v>
      </c>
      <c r="C3338" t="str">
        <f>"9781846319716"</f>
        <v>9781846319716</v>
      </c>
      <c r="D3338" t="str">
        <f>"9781781385555"</f>
        <v>9781781385555</v>
      </c>
      <c r="E3338" t="s">
        <v>3696</v>
      </c>
      <c r="F3338" t="s">
        <v>3696</v>
      </c>
      <c r="G3338" s="1">
        <v>41537</v>
      </c>
      <c r="H3338" s="1">
        <v>44629</v>
      </c>
      <c r="I3338" t="s">
        <v>189</v>
      </c>
      <c r="J3338">
        <v>1</v>
      </c>
      <c r="K3338" t="s">
        <v>9059</v>
      </c>
      <c r="L3338" t="s">
        <v>9146</v>
      </c>
      <c r="M3338" t="s">
        <v>219</v>
      </c>
      <c r="N3338" t="s">
        <v>9147</v>
      </c>
      <c r="O3338" t="s">
        <v>9148</v>
      </c>
      <c r="Q3338" t="s">
        <v>260</v>
      </c>
      <c r="R3338" t="s">
        <v>261</v>
      </c>
      <c r="S3338" t="s">
        <v>261</v>
      </c>
      <c r="T3338" t="s">
        <v>261</v>
      </c>
      <c r="U3338" t="s">
        <v>261</v>
      </c>
      <c r="V3338" t="s">
        <v>262</v>
      </c>
      <c r="W3338" t="s">
        <v>261</v>
      </c>
      <c r="X3338" t="s">
        <v>261</v>
      </c>
      <c r="Y3338" t="s">
        <v>261</v>
      </c>
      <c r="Z3338" t="s">
        <v>409</v>
      </c>
      <c r="AA3338" t="s">
        <v>409</v>
      </c>
      <c r="AB3338" t="s">
        <v>409</v>
      </c>
      <c r="AC3338" t="s">
        <v>409</v>
      </c>
      <c r="AD3338" t="s">
        <v>261</v>
      </c>
      <c r="AH3338" t="s">
        <v>262</v>
      </c>
      <c r="AI3338" t="s">
        <v>262</v>
      </c>
      <c r="AJ3338" t="s">
        <v>261</v>
      </c>
      <c r="AK3338" t="s">
        <v>261</v>
      </c>
      <c r="AM3338" t="s">
        <v>262</v>
      </c>
      <c r="AN3338" t="s">
        <v>9149</v>
      </c>
    </row>
    <row r="3339" spans="1:40" x14ac:dyDescent="0.35">
      <c r="A3339">
        <v>6898800</v>
      </c>
      <c r="B3339" t="s">
        <v>9150</v>
      </c>
      <c r="C3339" t="str">
        <f>"9789811677106"</f>
        <v>9789811677106</v>
      </c>
      <c r="D3339" t="str">
        <f>"9789811677113"</f>
        <v>9789811677113</v>
      </c>
      <c r="E3339" t="s">
        <v>3404</v>
      </c>
      <c r="F3339" t="s">
        <v>2290</v>
      </c>
      <c r="G3339" s="1">
        <v>44662</v>
      </c>
      <c r="H3339" s="1">
        <v>44631</v>
      </c>
      <c r="I3339" t="s">
        <v>189</v>
      </c>
      <c r="K3339" t="s">
        <v>9151</v>
      </c>
      <c r="L3339" t="s">
        <v>9152</v>
      </c>
    </row>
    <row r="3340" spans="1:40" x14ac:dyDescent="0.35">
      <c r="A3340">
        <v>6898801</v>
      </c>
      <c r="B3340" t="s">
        <v>9153</v>
      </c>
      <c r="C3340" t="str">
        <f>"9783030866440"</f>
        <v>9783030866440</v>
      </c>
      <c r="D3340" t="str">
        <f>"9783030866457"</f>
        <v>9783030866457</v>
      </c>
      <c r="E3340" t="s">
        <v>2289</v>
      </c>
      <c r="F3340" t="s">
        <v>2663</v>
      </c>
      <c r="G3340" s="1">
        <v>44621</v>
      </c>
      <c r="H3340" s="1">
        <v>44631</v>
      </c>
      <c r="I3340" t="s">
        <v>189</v>
      </c>
      <c r="K3340" t="s">
        <v>5573</v>
      </c>
      <c r="L3340" t="s">
        <v>9154</v>
      </c>
    </row>
    <row r="3341" spans="1:40" x14ac:dyDescent="0.35">
      <c r="A3341">
        <v>6898804</v>
      </c>
      <c r="B3341" t="s">
        <v>9155</v>
      </c>
      <c r="C3341" t="str">
        <f>"9783030831271"</f>
        <v>9783030831271</v>
      </c>
      <c r="D3341" t="str">
        <f>"9783030831288"</f>
        <v>9783030831288</v>
      </c>
      <c r="E3341" t="s">
        <v>2289</v>
      </c>
      <c r="F3341" t="s">
        <v>2290</v>
      </c>
      <c r="G3341" s="1">
        <v>44658</v>
      </c>
      <c r="H3341" s="1">
        <v>44631</v>
      </c>
      <c r="I3341" t="s">
        <v>189</v>
      </c>
      <c r="L3341" t="s">
        <v>4690</v>
      </c>
    </row>
    <row r="3342" spans="1:40" x14ac:dyDescent="0.35">
      <c r="A3342">
        <v>6898809</v>
      </c>
      <c r="B3342" t="s">
        <v>9156</v>
      </c>
      <c r="C3342" t="str">
        <f>"9783658361662"</f>
        <v>9783658361662</v>
      </c>
      <c r="D3342" t="str">
        <f>"9783658361679"</f>
        <v>9783658361679</v>
      </c>
      <c r="E3342" t="s">
        <v>3972</v>
      </c>
      <c r="F3342" t="s">
        <v>3998</v>
      </c>
      <c r="G3342" s="1">
        <v>44621</v>
      </c>
      <c r="H3342" s="1">
        <v>44631</v>
      </c>
      <c r="I3342" t="s">
        <v>189</v>
      </c>
      <c r="K3342" t="s">
        <v>9157</v>
      </c>
      <c r="L3342" t="s">
        <v>9158</v>
      </c>
      <c r="M3342" t="s">
        <v>329</v>
      </c>
      <c r="N3342" t="s">
        <v>4236</v>
      </c>
      <c r="Q3342" t="s">
        <v>408</v>
      </c>
      <c r="R3342" t="s">
        <v>261</v>
      </c>
      <c r="S3342" t="s">
        <v>261</v>
      </c>
      <c r="T3342" t="s">
        <v>261</v>
      </c>
      <c r="U3342" t="s">
        <v>261</v>
      </c>
      <c r="V3342" t="s">
        <v>262</v>
      </c>
      <c r="W3342" t="s">
        <v>261</v>
      </c>
      <c r="X3342" t="s">
        <v>261</v>
      </c>
      <c r="Y3342" t="s">
        <v>261</v>
      </c>
      <c r="Z3342" t="s">
        <v>409</v>
      </c>
      <c r="AA3342" t="s">
        <v>409</v>
      </c>
      <c r="AB3342" t="s">
        <v>409</v>
      </c>
      <c r="AC3342" t="s">
        <v>409</v>
      </c>
      <c r="AD3342" t="s">
        <v>261</v>
      </c>
      <c r="AH3342" t="s">
        <v>262</v>
      </c>
      <c r="AI3342" t="s">
        <v>262</v>
      </c>
      <c r="AJ3342" t="s">
        <v>261</v>
      </c>
      <c r="AK3342" t="s">
        <v>261</v>
      </c>
      <c r="AM3342" t="s">
        <v>262</v>
      </c>
      <c r="AN3342" t="s">
        <v>9159</v>
      </c>
    </row>
    <row r="3343" spans="1:40" x14ac:dyDescent="0.35">
      <c r="A3343">
        <v>6898821</v>
      </c>
      <c r="B3343" t="s">
        <v>9160</v>
      </c>
      <c r="C3343" t="str">
        <f>"9789811697470"</f>
        <v>9789811697470</v>
      </c>
      <c r="D3343" t="str">
        <f>"9789811697487"</f>
        <v>9789811697487</v>
      </c>
      <c r="E3343" t="s">
        <v>3404</v>
      </c>
      <c r="F3343" t="s">
        <v>2290</v>
      </c>
      <c r="G3343" s="1">
        <v>44658</v>
      </c>
      <c r="H3343" s="1">
        <v>44631</v>
      </c>
      <c r="I3343" t="s">
        <v>189</v>
      </c>
      <c r="K3343" t="s">
        <v>8685</v>
      </c>
      <c r="L3343" t="s">
        <v>9161</v>
      </c>
      <c r="M3343" t="s">
        <v>249</v>
      </c>
      <c r="N3343" t="s">
        <v>5418</v>
      </c>
      <c r="Q3343" t="s">
        <v>260</v>
      </c>
      <c r="R3343" t="s">
        <v>261</v>
      </c>
      <c r="S3343" t="s">
        <v>261</v>
      </c>
      <c r="T3343" t="s">
        <v>261</v>
      </c>
      <c r="U3343" t="s">
        <v>261</v>
      </c>
      <c r="V3343" t="s">
        <v>262</v>
      </c>
      <c r="W3343" t="s">
        <v>261</v>
      </c>
      <c r="X3343" t="s">
        <v>261</v>
      </c>
      <c r="Y3343" t="s">
        <v>261</v>
      </c>
      <c r="Z3343" t="s">
        <v>409</v>
      </c>
      <c r="AA3343" t="s">
        <v>409</v>
      </c>
      <c r="AB3343" t="s">
        <v>409</v>
      </c>
      <c r="AC3343" t="s">
        <v>409</v>
      </c>
      <c r="AD3343" t="s">
        <v>261</v>
      </c>
      <c r="AH3343" t="s">
        <v>262</v>
      </c>
      <c r="AI3343" t="s">
        <v>262</v>
      </c>
      <c r="AJ3343" t="s">
        <v>261</v>
      </c>
      <c r="AK3343" t="s">
        <v>261</v>
      </c>
      <c r="AM3343" t="s">
        <v>262</v>
      </c>
      <c r="AN3343" t="s">
        <v>9162</v>
      </c>
    </row>
    <row r="3344" spans="1:40" x14ac:dyDescent="0.35">
      <c r="A3344">
        <v>6898826</v>
      </c>
      <c r="B3344" t="s">
        <v>9163</v>
      </c>
      <c r="C3344" t="str">
        <f>"9783658367145"</f>
        <v>9783658367145</v>
      </c>
      <c r="D3344" t="str">
        <f>"9783658367152"</f>
        <v>9783658367152</v>
      </c>
      <c r="E3344" t="s">
        <v>3972</v>
      </c>
      <c r="F3344" t="s">
        <v>3998</v>
      </c>
      <c r="G3344" s="1">
        <v>44621</v>
      </c>
      <c r="H3344" s="1">
        <v>44631</v>
      </c>
      <c r="I3344" t="s">
        <v>189</v>
      </c>
      <c r="L3344" t="s">
        <v>9164</v>
      </c>
      <c r="M3344" t="s">
        <v>323</v>
      </c>
      <c r="N3344" t="s">
        <v>5489</v>
      </c>
      <c r="Q3344" t="s">
        <v>408</v>
      </c>
      <c r="R3344" t="s">
        <v>261</v>
      </c>
      <c r="S3344" t="s">
        <v>261</v>
      </c>
      <c r="T3344" t="s">
        <v>261</v>
      </c>
      <c r="U3344" t="s">
        <v>261</v>
      </c>
      <c r="V3344" t="s">
        <v>262</v>
      </c>
      <c r="W3344" t="s">
        <v>261</v>
      </c>
      <c r="X3344" t="s">
        <v>261</v>
      </c>
      <c r="Y3344" t="s">
        <v>261</v>
      </c>
      <c r="Z3344" t="s">
        <v>409</v>
      </c>
      <c r="AA3344" t="s">
        <v>409</v>
      </c>
      <c r="AB3344" t="s">
        <v>409</v>
      </c>
      <c r="AC3344" t="s">
        <v>409</v>
      </c>
      <c r="AD3344" t="s">
        <v>261</v>
      </c>
      <c r="AH3344" t="s">
        <v>262</v>
      </c>
      <c r="AI3344" t="s">
        <v>262</v>
      </c>
      <c r="AJ3344" t="s">
        <v>261</v>
      </c>
      <c r="AK3344" t="s">
        <v>261</v>
      </c>
      <c r="AM3344" t="s">
        <v>262</v>
      </c>
      <c r="AN3344" t="s">
        <v>9165</v>
      </c>
    </row>
    <row r="3345" spans="1:40" x14ac:dyDescent="0.35">
      <c r="A3345">
        <v>6898851</v>
      </c>
      <c r="B3345" t="s">
        <v>9166</v>
      </c>
      <c r="C3345" t="str">
        <f>"9783030708245"</f>
        <v>9783030708245</v>
      </c>
      <c r="D3345" t="str">
        <f>"9783030708252"</f>
        <v>9783030708252</v>
      </c>
      <c r="E3345" t="s">
        <v>2289</v>
      </c>
      <c r="F3345" t="s">
        <v>2290</v>
      </c>
      <c r="G3345" s="1">
        <v>44621</v>
      </c>
      <c r="H3345" s="1">
        <v>44631</v>
      </c>
      <c r="I3345" t="s">
        <v>189</v>
      </c>
      <c r="L3345" t="s">
        <v>3983</v>
      </c>
    </row>
    <row r="3346" spans="1:40" x14ac:dyDescent="0.35">
      <c r="A3346">
        <v>6899791</v>
      </c>
      <c r="B3346" t="s">
        <v>9167</v>
      </c>
      <c r="C3346" t="str">
        <f>"9783658367183"</f>
        <v>9783658367183</v>
      </c>
      <c r="D3346" t="str">
        <f>"9783658367190"</f>
        <v>9783658367190</v>
      </c>
      <c r="E3346" t="s">
        <v>3972</v>
      </c>
      <c r="F3346" t="s">
        <v>3998</v>
      </c>
      <c r="G3346" s="1">
        <v>44658</v>
      </c>
      <c r="H3346" s="1">
        <v>44631</v>
      </c>
      <c r="I3346" t="s">
        <v>189</v>
      </c>
      <c r="K3346" t="s">
        <v>9168</v>
      </c>
      <c r="L3346" t="s">
        <v>9169</v>
      </c>
      <c r="M3346" t="s">
        <v>210</v>
      </c>
      <c r="N3346" t="s">
        <v>6020</v>
      </c>
      <c r="Q3346" t="s">
        <v>408</v>
      </c>
      <c r="R3346" t="s">
        <v>261</v>
      </c>
      <c r="S3346" t="s">
        <v>261</v>
      </c>
      <c r="T3346" t="s">
        <v>261</v>
      </c>
      <c r="U3346" t="s">
        <v>261</v>
      </c>
      <c r="V3346" t="s">
        <v>262</v>
      </c>
      <c r="W3346" t="s">
        <v>261</v>
      </c>
      <c r="X3346" t="s">
        <v>261</v>
      </c>
      <c r="Y3346" t="s">
        <v>261</v>
      </c>
      <c r="Z3346" t="s">
        <v>409</v>
      </c>
      <c r="AA3346" t="s">
        <v>409</v>
      </c>
      <c r="AB3346" t="s">
        <v>409</v>
      </c>
      <c r="AC3346" t="s">
        <v>409</v>
      </c>
      <c r="AD3346" t="s">
        <v>261</v>
      </c>
      <c r="AH3346" t="s">
        <v>262</v>
      </c>
      <c r="AI3346" t="s">
        <v>262</v>
      </c>
      <c r="AJ3346" t="s">
        <v>261</v>
      </c>
      <c r="AK3346" t="s">
        <v>261</v>
      </c>
      <c r="AM3346" t="s">
        <v>262</v>
      </c>
      <c r="AN3346" t="s">
        <v>9170</v>
      </c>
    </row>
    <row r="3347" spans="1:40" x14ac:dyDescent="0.35">
      <c r="A3347">
        <v>6904261</v>
      </c>
      <c r="B3347" t="s">
        <v>9171</v>
      </c>
      <c r="C3347" t="str">
        <f>"9783030932534"</f>
        <v>9783030932534</v>
      </c>
      <c r="D3347" t="str">
        <f>"9783030932541"</f>
        <v>9783030932541</v>
      </c>
      <c r="E3347" t="s">
        <v>2289</v>
      </c>
      <c r="F3347" t="s">
        <v>2290</v>
      </c>
      <c r="G3347" s="1">
        <v>44654</v>
      </c>
      <c r="H3347" s="1">
        <v>44631</v>
      </c>
      <c r="I3347" t="s">
        <v>189</v>
      </c>
      <c r="L3347" t="s">
        <v>9172</v>
      </c>
    </row>
    <row r="3348" spans="1:40" x14ac:dyDescent="0.35">
      <c r="A3348">
        <v>6912963</v>
      </c>
      <c r="B3348" t="s">
        <v>9173</v>
      </c>
      <c r="C3348" t="str">
        <f>"9783030945794"</f>
        <v>9783030945794</v>
      </c>
      <c r="D3348" t="str">
        <f>"9783030945800"</f>
        <v>9783030945800</v>
      </c>
      <c r="E3348" t="s">
        <v>2289</v>
      </c>
      <c r="F3348" t="s">
        <v>2663</v>
      </c>
      <c r="G3348" s="1">
        <v>44659</v>
      </c>
      <c r="H3348" s="1">
        <v>44631</v>
      </c>
      <c r="I3348" t="s">
        <v>189</v>
      </c>
      <c r="L3348" t="s">
        <v>9174</v>
      </c>
      <c r="M3348" t="s">
        <v>210</v>
      </c>
      <c r="N3348" t="s">
        <v>5836</v>
      </c>
      <c r="Q3348" t="s">
        <v>260</v>
      </c>
      <c r="R3348" t="s">
        <v>261</v>
      </c>
      <c r="S3348" t="s">
        <v>261</v>
      </c>
      <c r="T3348" t="s">
        <v>261</v>
      </c>
      <c r="U3348" t="s">
        <v>261</v>
      </c>
      <c r="V3348" t="s">
        <v>262</v>
      </c>
      <c r="W3348" t="s">
        <v>261</v>
      </c>
      <c r="X3348" t="s">
        <v>261</v>
      </c>
      <c r="Y3348" t="s">
        <v>261</v>
      </c>
      <c r="Z3348" t="s">
        <v>409</v>
      </c>
      <c r="AA3348" t="s">
        <v>409</v>
      </c>
      <c r="AB3348" t="s">
        <v>409</v>
      </c>
      <c r="AC3348" t="s">
        <v>409</v>
      </c>
      <c r="AD3348" t="s">
        <v>261</v>
      </c>
      <c r="AH3348" t="s">
        <v>262</v>
      </c>
      <c r="AI3348" t="s">
        <v>262</v>
      </c>
      <c r="AJ3348" t="s">
        <v>261</v>
      </c>
      <c r="AK3348" t="s">
        <v>261</v>
      </c>
      <c r="AM3348" t="s">
        <v>262</v>
      </c>
      <c r="AN3348" t="s">
        <v>9175</v>
      </c>
    </row>
    <row r="3349" spans="1:40" x14ac:dyDescent="0.35">
      <c r="A3349">
        <v>6912980</v>
      </c>
      <c r="B3349" t="s">
        <v>9176</v>
      </c>
      <c r="C3349" t="str">
        <f>"9783030832544"</f>
        <v>9783030832544</v>
      </c>
      <c r="D3349" t="str">
        <f>"9783030832551"</f>
        <v>9783030832551</v>
      </c>
      <c r="E3349" t="s">
        <v>2289</v>
      </c>
      <c r="F3349" t="s">
        <v>2290</v>
      </c>
      <c r="G3349" s="1">
        <v>44660</v>
      </c>
      <c r="H3349" s="1">
        <v>44631</v>
      </c>
      <c r="I3349" t="s">
        <v>189</v>
      </c>
      <c r="K3349" t="s">
        <v>9177</v>
      </c>
      <c r="L3349" t="s">
        <v>9178</v>
      </c>
    </row>
    <row r="3350" spans="1:40" x14ac:dyDescent="0.35">
      <c r="A3350">
        <v>6913509</v>
      </c>
      <c r="B3350" t="s">
        <v>9179</v>
      </c>
      <c r="C3350" t="str">
        <f>""</f>
        <v/>
      </c>
      <c r="D3350" t="str">
        <f>"9788021059368"</f>
        <v>9788021059368</v>
      </c>
      <c r="E3350" t="s">
        <v>9180</v>
      </c>
      <c r="F3350" t="s">
        <v>9180</v>
      </c>
      <c r="G3350" s="1">
        <v>44013</v>
      </c>
      <c r="H3350" s="1">
        <v>44627</v>
      </c>
      <c r="I3350" t="s">
        <v>189</v>
      </c>
      <c r="L3350" t="s">
        <v>9181</v>
      </c>
      <c r="M3350" t="s">
        <v>323</v>
      </c>
      <c r="Q3350" t="s">
        <v>9182</v>
      </c>
      <c r="R3350" t="s">
        <v>261</v>
      </c>
      <c r="S3350" t="s">
        <v>261</v>
      </c>
      <c r="T3350" t="s">
        <v>261</v>
      </c>
      <c r="U3350" t="s">
        <v>262</v>
      </c>
      <c r="V3350" t="s">
        <v>262</v>
      </c>
      <c r="W3350" t="s">
        <v>261</v>
      </c>
      <c r="X3350" t="s">
        <v>262</v>
      </c>
      <c r="Y3350" t="s">
        <v>261</v>
      </c>
      <c r="Z3350" t="s">
        <v>409</v>
      </c>
      <c r="AA3350" t="s">
        <v>409</v>
      </c>
      <c r="AB3350" t="s">
        <v>409</v>
      </c>
      <c r="AC3350" t="s">
        <v>409</v>
      </c>
      <c r="AD3350" t="s">
        <v>261</v>
      </c>
      <c r="AH3350" t="s">
        <v>262</v>
      </c>
      <c r="AI3350" t="s">
        <v>262</v>
      </c>
      <c r="AJ3350" t="s">
        <v>261</v>
      </c>
      <c r="AK3350" t="s">
        <v>261</v>
      </c>
      <c r="AM3350" t="s">
        <v>262</v>
      </c>
      <c r="AN3350" t="s">
        <v>9183</v>
      </c>
    </row>
    <row r="3351" spans="1:40" x14ac:dyDescent="0.35">
      <c r="A3351">
        <v>6913510</v>
      </c>
      <c r="B3351" t="s">
        <v>9184</v>
      </c>
      <c r="C3351" t="str">
        <f>""</f>
        <v/>
      </c>
      <c r="D3351" t="str">
        <f>"9788021063136"</f>
        <v>9788021063136</v>
      </c>
      <c r="E3351" t="s">
        <v>9180</v>
      </c>
      <c r="F3351" t="s">
        <v>9180</v>
      </c>
      <c r="G3351" s="1">
        <v>44378</v>
      </c>
      <c r="H3351" s="1">
        <v>44627</v>
      </c>
      <c r="I3351" t="s">
        <v>189</v>
      </c>
      <c r="L3351" t="s">
        <v>9185</v>
      </c>
      <c r="M3351" t="s">
        <v>339</v>
      </c>
      <c r="Q3351" t="s">
        <v>9182</v>
      </c>
      <c r="R3351" t="s">
        <v>261</v>
      </c>
      <c r="S3351" t="s">
        <v>261</v>
      </c>
      <c r="T3351" t="s">
        <v>261</v>
      </c>
      <c r="U3351" t="s">
        <v>262</v>
      </c>
      <c r="V3351" t="s">
        <v>262</v>
      </c>
      <c r="W3351" t="s">
        <v>261</v>
      </c>
      <c r="X3351" t="s">
        <v>262</v>
      </c>
      <c r="Y3351" t="s">
        <v>261</v>
      </c>
      <c r="Z3351" t="s">
        <v>409</v>
      </c>
      <c r="AA3351" t="s">
        <v>409</v>
      </c>
      <c r="AB3351" t="s">
        <v>409</v>
      </c>
      <c r="AC3351" t="s">
        <v>409</v>
      </c>
      <c r="AD3351" t="s">
        <v>261</v>
      </c>
      <c r="AH3351" t="s">
        <v>262</v>
      </c>
      <c r="AI3351" t="s">
        <v>262</v>
      </c>
      <c r="AJ3351" t="s">
        <v>261</v>
      </c>
      <c r="AK3351" t="s">
        <v>261</v>
      </c>
      <c r="AM3351" t="s">
        <v>262</v>
      </c>
      <c r="AN3351" t="s">
        <v>9186</v>
      </c>
    </row>
    <row r="3352" spans="1:40" x14ac:dyDescent="0.35">
      <c r="A3352">
        <v>6913511</v>
      </c>
      <c r="B3352" t="s">
        <v>9187</v>
      </c>
      <c r="C3352" t="str">
        <f>""</f>
        <v/>
      </c>
      <c r="D3352" t="str">
        <f>"9788021066434"</f>
        <v>9788021066434</v>
      </c>
      <c r="E3352" t="s">
        <v>9180</v>
      </c>
      <c r="F3352" t="s">
        <v>9180</v>
      </c>
      <c r="G3352" s="1">
        <v>44013</v>
      </c>
      <c r="H3352" s="1">
        <v>44627</v>
      </c>
      <c r="I3352" t="s">
        <v>189</v>
      </c>
      <c r="L3352" t="s">
        <v>9188</v>
      </c>
    </row>
    <row r="3353" spans="1:40" x14ac:dyDescent="0.35">
      <c r="A3353">
        <v>6913512</v>
      </c>
      <c r="B3353" t="s">
        <v>9189</v>
      </c>
      <c r="C3353" t="str">
        <f>""</f>
        <v/>
      </c>
      <c r="D3353" t="str">
        <f>"9788021079823"</f>
        <v>9788021079823</v>
      </c>
      <c r="E3353" t="s">
        <v>9180</v>
      </c>
      <c r="F3353" t="s">
        <v>9180</v>
      </c>
      <c r="G3353" s="1">
        <v>44378</v>
      </c>
      <c r="H3353" s="1">
        <v>44627</v>
      </c>
      <c r="I3353" t="s">
        <v>189</v>
      </c>
      <c r="L3353" t="s">
        <v>9190</v>
      </c>
    </row>
    <row r="3354" spans="1:40" x14ac:dyDescent="0.35">
      <c r="A3354">
        <v>6913513</v>
      </c>
      <c r="B3354" t="s">
        <v>9191</v>
      </c>
      <c r="C3354" t="str">
        <f>""</f>
        <v/>
      </c>
      <c r="D3354" t="str">
        <f>"9788021080942"</f>
        <v>9788021080942</v>
      </c>
      <c r="E3354" t="s">
        <v>9180</v>
      </c>
      <c r="F3354" t="s">
        <v>9180</v>
      </c>
      <c r="G3354" s="1">
        <v>42186</v>
      </c>
      <c r="H3354" s="1">
        <v>44627</v>
      </c>
      <c r="I3354" t="s">
        <v>189</v>
      </c>
      <c r="L3354" t="s">
        <v>9192</v>
      </c>
    </row>
    <row r="3355" spans="1:40" x14ac:dyDescent="0.35">
      <c r="A3355">
        <v>6913514</v>
      </c>
      <c r="B3355" t="s">
        <v>9193</v>
      </c>
      <c r="C3355" t="str">
        <f>""</f>
        <v/>
      </c>
      <c r="D3355" t="str">
        <f>"9788021082854"</f>
        <v>9788021082854</v>
      </c>
      <c r="E3355" t="s">
        <v>9180</v>
      </c>
      <c r="F3355" t="s">
        <v>9180</v>
      </c>
      <c r="G3355" s="1">
        <v>42552</v>
      </c>
      <c r="H3355" s="1">
        <v>44627</v>
      </c>
      <c r="I3355" t="s">
        <v>189</v>
      </c>
      <c r="L3355" t="s">
        <v>102</v>
      </c>
    </row>
    <row r="3356" spans="1:40" x14ac:dyDescent="0.35">
      <c r="A3356">
        <v>6913515</v>
      </c>
      <c r="B3356" t="s">
        <v>9194</v>
      </c>
      <c r="C3356" t="str">
        <f>""</f>
        <v/>
      </c>
      <c r="D3356" t="str">
        <f>"9788021082861"</f>
        <v>9788021082861</v>
      </c>
      <c r="E3356" t="s">
        <v>9180</v>
      </c>
      <c r="F3356" t="s">
        <v>9180</v>
      </c>
      <c r="G3356" s="1">
        <v>42552</v>
      </c>
      <c r="H3356" s="1">
        <v>44627</v>
      </c>
      <c r="I3356" t="s">
        <v>189</v>
      </c>
      <c r="L3356" t="s">
        <v>100</v>
      </c>
    </row>
    <row r="3357" spans="1:40" x14ac:dyDescent="0.35">
      <c r="A3357">
        <v>6913516</v>
      </c>
      <c r="B3357" t="s">
        <v>9195</v>
      </c>
      <c r="C3357" t="str">
        <f>""</f>
        <v/>
      </c>
      <c r="D3357" t="str">
        <f>"9788021082878"</f>
        <v>9788021082878</v>
      </c>
      <c r="E3357" t="s">
        <v>9180</v>
      </c>
      <c r="F3357" t="s">
        <v>9180</v>
      </c>
      <c r="G3357" s="1">
        <v>42552</v>
      </c>
      <c r="H3357" s="1">
        <v>44627</v>
      </c>
      <c r="I3357" t="s">
        <v>189</v>
      </c>
      <c r="L3357" t="s">
        <v>101</v>
      </c>
    </row>
    <row r="3358" spans="1:40" x14ac:dyDescent="0.35">
      <c r="A3358">
        <v>6913517</v>
      </c>
      <c r="B3358" t="s">
        <v>9196</v>
      </c>
      <c r="C3358" t="str">
        <f>""</f>
        <v/>
      </c>
      <c r="D3358" t="str">
        <f>"9788021084698"</f>
        <v>9788021084698</v>
      </c>
      <c r="E3358" t="s">
        <v>9180</v>
      </c>
      <c r="F3358" t="s">
        <v>9180</v>
      </c>
      <c r="G3358" s="1">
        <v>44378</v>
      </c>
      <c r="H3358" s="1">
        <v>44627</v>
      </c>
      <c r="I3358" t="s">
        <v>189</v>
      </c>
      <c r="L3358" t="s">
        <v>9197</v>
      </c>
    </row>
    <row r="3359" spans="1:40" x14ac:dyDescent="0.35">
      <c r="A3359">
        <v>6913518</v>
      </c>
      <c r="B3359" t="s">
        <v>9198</v>
      </c>
      <c r="C3359" t="str">
        <f>"9788021081031"</f>
        <v>9788021081031</v>
      </c>
      <c r="D3359" t="str">
        <f>"9788021085633"</f>
        <v>9788021085633</v>
      </c>
      <c r="E3359" t="s">
        <v>9180</v>
      </c>
      <c r="F3359" t="s">
        <v>9180</v>
      </c>
      <c r="G3359" s="1">
        <v>42552</v>
      </c>
      <c r="H3359" s="1">
        <v>44627</v>
      </c>
      <c r="I3359" t="s">
        <v>189</v>
      </c>
      <c r="K3359" t="s">
        <v>9199</v>
      </c>
      <c r="L3359" t="s">
        <v>9200</v>
      </c>
      <c r="M3359" t="s">
        <v>676</v>
      </c>
      <c r="Q3359" t="s">
        <v>260</v>
      </c>
      <c r="R3359" t="s">
        <v>261</v>
      </c>
      <c r="S3359" t="s">
        <v>261</v>
      </c>
      <c r="T3359" t="s">
        <v>261</v>
      </c>
      <c r="U3359" t="s">
        <v>262</v>
      </c>
      <c r="V3359" t="s">
        <v>262</v>
      </c>
      <c r="W3359" t="s">
        <v>261</v>
      </c>
      <c r="X3359" t="s">
        <v>262</v>
      </c>
      <c r="Y3359" t="s">
        <v>261</v>
      </c>
      <c r="Z3359" t="s">
        <v>409</v>
      </c>
      <c r="AA3359" t="s">
        <v>409</v>
      </c>
      <c r="AB3359" t="s">
        <v>409</v>
      </c>
      <c r="AC3359" t="s">
        <v>409</v>
      </c>
      <c r="AD3359" t="s">
        <v>261</v>
      </c>
      <c r="AH3359" t="s">
        <v>262</v>
      </c>
      <c r="AI3359" t="s">
        <v>262</v>
      </c>
      <c r="AJ3359" t="s">
        <v>261</v>
      </c>
      <c r="AK3359" t="s">
        <v>261</v>
      </c>
      <c r="AM3359" t="s">
        <v>262</v>
      </c>
      <c r="AN3359" t="s">
        <v>9201</v>
      </c>
    </row>
    <row r="3360" spans="1:40" x14ac:dyDescent="0.35">
      <c r="A3360">
        <v>6913519</v>
      </c>
      <c r="B3360" t="s">
        <v>9202</v>
      </c>
      <c r="C3360" t="str">
        <f>"9788021085688"</f>
        <v>9788021085688</v>
      </c>
      <c r="D3360" t="str">
        <f>"9788021085695"</f>
        <v>9788021085695</v>
      </c>
      <c r="E3360" t="s">
        <v>9180</v>
      </c>
      <c r="F3360" t="s">
        <v>9180</v>
      </c>
      <c r="G3360" s="1">
        <v>42917</v>
      </c>
      <c r="H3360" s="1">
        <v>44627</v>
      </c>
      <c r="I3360" t="s">
        <v>189</v>
      </c>
      <c r="K3360" t="s">
        <v>9203</v>
      </c>
      <c r="L3360" t="s">
        <v>9204</v>
      </c>
    </row>
    <row r="3361" spans="1:40" x14ac:dyDescent="0.35">
      <c r="A3361">
        <v>6913520</v>
      </c>
      <c r="B3361" t="s">
        <v>9205</v>
      </c>
      <c r="C3361" t="str">
        <f>"9788021086265"</f>
        <v>9788021086265</v>
      </c>
      <c r="D3361" t="str">
        <f>"9788021086319"</f>
        <v>9788021086319</v>
      </c>
      <c r="E3361" t="s">
        <v>9180</v>
      </c>
      <c r="F3361" t="s">
        <v>9180</v>
      </c>
      <c r="G3361" s="1">
        <v>44743</v>
      </c>
      <c r="H3361" s="1">
        <v>44627</v>
      </c>
      <c r="I3361" t="s">
        <v>189</v>
      </c>
      <c r="K3361" t="s">
        <v>9206</v>
      </c>
      <c r="L3361" t="s">
        <v>9207</v>
      </c>
    </row>
    <row r="3362" spans="1:40" x14ac:dyDescent="0.35">
      <c r="A3362">
        <v>6913521</v>
      </c>
      <c r="B3362" t="s">
        <v>9208</v>
      </c>
      <c r="C3362" t="str">
        <f>"9788021086340"</f>
        <v>9788021086340</v>
      </c>
      <c r="D3362" t="str">
        <f>"9788021086357"</f>
        <v>9788021086357</v>
      </c>
      <c r="E3362" t="s">
        <v>9180</v>
      </c>
      <c r="F3362" t="s">
        <v>9180</v>
      </c>
      <c r="G3362" s="1">
        <v>44378</v>
      </c>
      <c r="H3362" s="1">
        <v>44627</v>
      </c>
      <c r="I3362" t="s">
        <v>189</v>
      </c>
      <c r="L3362" t="s">
        <v>9209</v>
      </c>
    </row>
    <row r="3363" spans="1:40" x14ac:dyDescent="0.35">
      <c r="A3363">
        <v>6913522</v>
      </c>
      <c r="B3363" t="s">
        <v>9210</v>
      </c>
      <c r="C3363" t="str">
        <f>"9788021088924"</f>
        <v>9788021088924</v>
      </c>
      <c r="D3363" t="str">
        <f>"9788021088931"</f>
        <v>9788021088931</v>
      </c>
      <c r="E3363" t="s">
        <v>9180</v>
      </c>
      <c r="F3363" t="s">
        <v>9180</v>
      </c>
      <c r="G3363" s="1">
        <v>42917</v>
      </c>
      <c r="H3363" s="1">
        <v>44627</v>
      </c>
      <c r="I3363" t="s">
        <v>189</v>
      </c>
      <c r="L3363" t="s">
        <v>9211</v>
      </c>
    </row>
    <row r="3364" spans="1:40" x14ac:dyDescent="0.35">
      <c r="A3364">
        <v>6913523</v>
      </c>
      <c r="B3364" t="s">
        <v>9212</v>
      </c>
      <c r="C3364" t="str">
        <f>""</f>
        <v/>
      </c>
      <c r="D3364" t="str">
        <f>"9788021089174"</f>
        <v>9788021089174</v>
      </c>
      <c r="E3364" t="s">
        <v>9180</v>
      </c>
      <c r="F3364" t="s">
        <v>9180</v>
      </c>
      <c r="G3364" s="1">
        <v>43282</v>
      </c>
      <c r="H3364" s="1">
        <v>44627</v>
      </c>
      <c r="I3364" t="s">
        <v>189</v>
      </c>
      <c r="L3364" t="s">
        <v>9213</v>
      </c>
    </row>
    <row r="3365" spans="1:40" x14ac:dyDescent="0.35">
      <c r="A3365">
        <v>6913524</v>
      </c>
      <c r="B3365" t="s">
        <v>9214</v>
      </c>
      <c r="C3365" t="str">
        <f>"9788021089952"</f>
        <v>9788021089952</v>
      </c>
      <c r="D3365" t="str">
        <f>"9788021089969"</f>
        <v>9788021089969</v>
      </c>
      <c r="E3365" t="s">
        <v>9180</v>
      </c>
      <c r="F3365" t="s">
        <v>9180</v>
      </c>
      <c r="G3365" s="1">
        <v>43282</v>
      </c>
      <c r="H3365" s="1">
        <v>44627</v>
      </c>
      <c r="I3365" t="s">
        <v>189</v>
      </c>
      <c r="L3365" t="s">
        <v>9215</v>
      </c>
    </row>
    <row r="3366" spans="1:40" x14ac:dyDescent="0.35">
      <c r="A3366">
        <v>6913525</v>
      </c>
      <c r="B3366" t="s">
        <v>9216</v>
      </c>
      <c r="C3366" t="str">
        <f>"9788021091412"</f>
        <v>9788021091412</v>
      </c>
      <c r="D3366" t="str">
        <f>"9788021091429"</f>
        <v>9788021091429</v>
      </c>
      <c r="E3366" t="s">
        <v>9180</v>
      </c>
      <c r="F3366" t="s">
        <v>9180</v>
      </c>
      <c r="G3366" s="1">
        <v>44378</v>
      </c>
      <c r="H3366" s="1">
        <v>44627</v>
      </c>
      <c r="I3366" t="s">
        <v>189</v>
      </c>
      <c r="L3366" t="s">
        <v>108</v>
      </c>
    </row>
    <row r="3367" spans="1:40" x14ac:dyDescent="0.35">
      <c r="A3367">
        <v>6913526</v>
      </c>
      <c r="B3367" t="s">
        <v>9217</v>
      </c>
      <c r="C3367" t="str">
        <f>"9788021092280"</f>
        <v>9788021092280</v>
      </c>
      <c r="D3367" t="str">
        <f>"9788021092297"</f>
        <v>9788021092297</v>
      </c>
      <c r="E3367" t="s">
        <v>9180</v>
      </c>
      <c r="F3367" t="s">
        <v>9180</v>
      </c>
      <c r="G3367" s="1">
        <v>43647</v>
      </c>
      <c r="H3367" s="1">
        <v>44627</v>
      </c>
      <c r="I3367" t="s">
        <v>189</v>
      </c>
      <c r="K3367" t="s">
        <v>9218</v>
      </c>
      <c r="L3367" t="s">
        <v>103</v>
      </c>
      <c r="M3367" t="s">
        <v>323</v>
      </c>
      <c r="Q3367" t="s">
        <v>9182</v>
      </c>
      <c r="R3367" t="s">
        <v>261</v>
      </c>
      <c r="S3367" t="s">
        <v>261</v>
      </c>
      <c r="T3367" t="s">
        <v>261</v>
      </c>
      <c r="U3367" t="s">
        <v>262</v>
      </c>
      <c r="V3367" t="s">
        <v>262</v>
      </c>
      <c r="W3367" t="s">
        <v>261</v>
      </c>
      <c r="X3367" t="s">
        <v>262</v>
      </c>
      <c r="Y3367" t="s">
        <v>261</v>
      </c>
      <c r="Z3367" t="s">
        <v>409</v>
      </c>
      <c r="AA3367" t="s">
        <v>409</v>
      </c>
      <c r="AB3367" t="s">
        <v>409</v>
      </c>
      <c r="AC3367" t="s">
        <v>409</v>
      </c>
      <c r="AD3367" t="s">
        <v>261</v>
      </c>
      <c r="AH3367" t="s">
        <v>262</v>
      </c>
      <c r="AI3367" t="s">
        <v>262</v>
      </c>
      <c r="AJ3367" t="s">
        <v>261</v>
      </c>
      <c r="AK3367" t="s">
        <v>261</v>
      </c>
      <c r="AM3367" t="s">
        <v>262</v>
      </c>
      <c r="AN3367" t="s">
        <v>9219</v>
      </c>
    </row>
    <row r="3368" spans="1:40" x14ac:dyDescent="0.35">
      <c r="A3368">
        <v>6913527</v>
      </c>
      <c r="B3368" t="s">
        <v>9220</v>
      </c>
      <c r="C3368" t="str">
        <f>"9788021092747"</f>
        <v>9788021092747</v>
      </c>
      <c r="D3368" t="str">
        <f>"9788021092754"</f>
        <v>9788021092754</v>
      </c>
      <c r="E3368" t="s">
        <v>9180</v>
      </c>
      <c r="F3368" t="s">
        <v>9180</v>
      </c>
      <c r="G3368" s="1">
        <v>43282</v>
      </c>
      <c r="H3368" s="1">
        <v>44627</v>
      </c>
      <c r="I3368" t="s">
        <v>189</v>
      </c>
      <c r="K3368" t="s">
        <v>9221</v>
      </c>
      <c r="L3368" t="s">
        <v>9222</v>
      </c>
      <c r="M3368" t="s">
        <v>323</v>
      </c>
      <c r="Q3368" t="s">
        <v>9182</v>
      </c>
      <c r="R3368" t="s">
        <v>261</v>
      </c>
      <c r="S3368" t="s">
        <v>261</v>
      </c>
      <c r="T3368" t="s">
        <v>261</v>
      </c>
      <c r="U3368" t="s">
        <v>262</v>
      </c>
      <c r="V3368" t="s">
        <v>262</v>
      </c>
      <c r="W3368" t="s">
        <v>261</v>
      </c>
      <c r="X3368" t="s">
        <v>262</v>
      </c>
      <c r="Y3368" t="s">
        <v>261</v>
      </c>
      <c r="Z3368" t="s">
        <v>409</v>
      </c>
      <c r="AA3368" t="s">
        <v>409</v>
      </c>
      <c r="AB3368" t="s">
        <v>409</v>
      </c>
      <c r="AC3368" t="s">
        <v>409</v>
      </c>
      <c r="AD3368" t="s">
        <v>261</v>
      </c>
      <c r="AH3368" t="s">
        <v>262</v>
      </c>
      <c r="AI3368" t="s">
        <v>262</v>
      </c>
      <c r="AJ3368" t="s">
        <v>261</v>
      </c>
      <c r="AK3368" t="s">
        <v>261</v>
      </c>
      <c r="AM3368" t="s">
        <v>262</v>
      </c>
      <c r="AN3368" t="s">
        <v>9223</v>
      </c>
    </row>
    <row r="3369" spans="1:40" x14ac:dyDescent="0.35">
      <c r="A3369">
        <v>6913528</v>
      </c>
      <c r="B3369" t="s">
        <v>9224</v>
      </c>
      <c r="C3369" t="str">
        <f>""</f>
        <v/>
      </c>
      <c r="D3369" t="str">
        <f>"9788021093454"</f>
        <v>9788021093454</v>
      </c>
      <c r="E3369" t="s">
        <v>9180</v>
      </c>
      <c r="F3369" t="s">
        <v>9180</v>
      </c>
      <c r="G3369" s="1">
        <v>43282</v>
      </c>
      <c r="H3369" s="1">
        <v>44627</v>
      </c>
      <c r="I3369" t="s">
        <v>189</v>
      </c>
      <c r="L3369" t="s">
        <v>9225</v>
      </c>
      <c r="M3369" t="s">
        <v>323</v>
      </c>
      <c r="Q3369" t="s">
        <v>9182</v>
      </c>
      <c r="R3369" t="s">
        <v>261</v>
      </c>
      <c r="S3369" t="s">
        <v>261</v>
      </c>
      <c r="T3369" t="s">
        <v>261</v>
      </c>
      <c r="U3369" t="s">
        <v>262</v>
      </c>
      <c r="V3369" t="s">
        <v>262</v>
      </c>
      <c r="W3369" t="s">
        <v>261</v>
      </c>
      <c r="X3369" t="s">
        <v>262</v>
      </c>
      <c r="Y3369" t="s">
        <v>261</v>
      </c>
      <c r="Z3369" t="s">
        <v>409</v>
      </c>
      <c r="AA3369" t="s">
        <v>409</v>
      </c>
      <c r="AB3369" t="s">
        <v>409</v>
      </c>
      <c r="AC3369" t="s">
        <v>409</v>
      </c>
      <c r="AD3369" t="s">
        <v>261</v>
      </c>
      <c r="AH3369" t="s">
        <v>262</v>
      </c>
      <c r="AI3369" t="s">
        <v>262</v>
      </c>
      <c r="AJ3369" t="s">
        <v>261</v>
      </c>
      <c r="AK3369" t="s">
        <v>261</v>
      </c>
      <c r="AM3369" t="s">
        <v>262</v>
      </c>
      <c r="AN3369" t="s">
        <v>9226</v>
      </c>
    </row>
    <row r="3370" spans="1:40" x14ac:dyDescent="0.35">
      <c r="A3370">
        <v>6913529</v>
      </c>
      <c r="B3370" t="s">
        <v>9227</v>
      </c>
      <c r="C3370" t="str">
        <f>""</f>
        <v/>
      </c>
      <c r="D3370" t="str">
        <f>"9788021093461"</f>
        <v>9788021093461</v>
      </c>
      <c r="E3370" t="s">
        <v>9180</v>
      </c>
      <c r="F3370" t="s">
        <v>9180</v>
      </c>
      <c r="G3370" s="1">
        <v>43282</v>
      </c>
      <c r="H3370" s="1">
        <v>44627</v>
      </c>
      <c r="I3370" t="s">
        <v>189</v>
      </c>
      <c r="L3370" t="s">
        <v>9225</v>
      </c>
      <c r="M3370" t="s">
        <v>323</v>
      </c>
      <c r="Q3370" t="s">
        <v>9182</v>
      </c>
      <c r="R3370" t="s">
        <v>261</v>
      </c>
      <c r="S3370" t="s">
        <v>261</v>
      </c>
      <c r="T3370" t="s">
        <v>261</v>
      </c>
      <c r="U3370" t="s">
        <v>262</v>
      </c>
      <c r="V3370" t="s">
        <v>262</v>
      </c>
      <c r="W3370" t="s">
        <v>261</v>
      </c>
      <c r="X3370" t="s">
        <v>262</v>
      </c>
      <c r="Y3370" t="s">
        <v>261</v>
      </c>
      <c r="Z3370" t="s">
        <v>409</v>
      </c>
      <c r="AA3370" t="s">
        <v>409</v>
      </c>
      <c r="AB3370" t="s">
        <v>409</v>
      </c>
      <c r="AC3370" t="s">
        <v>409</v>
      </c>
      <c r="AD3370" t="s">
        <v>261</v>
      </c>
      <c r="AH3370" t="s">
        <v>262</v>
      </c>
      <c r="AI3370" t="s">
        <v>262</v>
      </c>
      <c r="AJ3370" t="s">
        <v>261</v>
      </c>
      <c r="AK3370" t="s">
        <v>261</v>
      </c>
      <c r="AM3370" t="s">
        <v>262</v>
      </c>
      <c r="AN3370" t="s">
        <v>9228</v>
      </c>
    </row>
    <row r="3371" spans="1:40" x14ac:dyDescent="0.35">
      <c r="A3371">
        <v>6913530</v>
      </c>
      <c r="B3371" t="s">
        <v>9229</v>
      </c>
      <c r="C3371" t="str">
        <f>"9788021093560"</f>
        <v>9788021093560</v>
      </c>
      <c r="D3371" t="str">
        <f>"9788021093577"</f>
        <v>9788021093577</v>
      </c>
      <c r="E3371" t="s">
        <v>9180</v>
      </c>
      <c r="F3371" t="s">
        <v>9180</v>
      </c>
      <c r="G3371" s="1">
        <v>43647</v>
      </c>
      <c r="H3371" s="1">
        <v>44627</v>
      </c>
      <c r="I3371" t="s">
        <v>189</v>
      </c>
      <c r="L3371" t="s">
        <v>9230</v>
      </c>
      <c r="M3371" t="s">
        <v>249</v>
      </c>
      <c r="Q3371" t="s">
        <v>9182</v>
      </c>
      <c r="R3371" t="s">
        <v>261</v>
      </c>
      <c r="S3371" t="s">
        <v>261</v>
      </c>
      <c r="T3371" t="s">
        <v>261</v>
      </c>
      <c r="U3371" t="s">
        <v>262</v>
      </c>
      <c r="V3371" t="s">
        <v>262</v>
      </c>
      <c r="W3371" t="s">
        <v>261</v>
      </c>
      <c r="X3371" t="s">
        <v>262</v>
      </c>
      <c r="Y3371" t="s">
        <v>261</v>
      </c>
      <c r="Z3371" t="s">
        <v>409</v>
      </c>
      <c r="AA3371" t="s">
        <v>409</v>
      </c>
      <c r="AB3371" t="s">
        <v>409</v>
      </c>
      <c r="AC3371" t="s">
        <v>409</v>
      </c>
      <c r="AD3371" t="s">
        <v>261</v>
      </c>
      <c r="AH3371" t="s">
        <v>262</v>
      </c>
      <c r="AI3371" t="s">
        <v>262</v>
      </c>
      <c r="AJ3371" t="s">
        <v>261</v>
      </c>
      <c r="AK3371" t="s">
        <v>261</v>
      </c>
      <c r="AM3371" t="s">
        <v>262</v>
      </c>
      <c r="AN3371" t="s">
        <v>9231</v>
      </c>
    </row>
    <row r="3372" spans="1:40" x14ac:dyDescent="0.35">
      <c r="A3372">
        <v>6913531</v>
      </c>
      <c r="B3372" t="s">
        <v>9232</v>
      </c>
      <c r="C3372" t="str">
        <f>""</f>
        <v/>
      </c>
      <c r="D3372" t="str">
        <f>"9788021093652"</f>
        <v>9788021093652</v>
      </c>
      <c r="E3372" t="s">
        <v>9180</v>
      </c>
      <c r="F3372" t="s">
        <v>9180</v>
      </c>
      <c r="G3372" s="1">
        <v>43647</v>
      </c>
      <c r="H3372" s="1">
        <v>44627</v>
      </c>
      <c r="I3372" t="s">
        <v>189</v>
      </c>
      <c r="L3372" t="s">
        <v>9233</v>
      </c>
    </row>
    <row r="3373" spans="1:40" x14ac:dyDescent="0.35">
      <c r="A3373">
        <v>6913532</v>
      </c>
      <c r="B3373" t="s">
        <v>9234</v>
      </c>
      <c r="C3373" t="str">
        <f>"9788021093775"</f>
        <v>9788021093775</v>
      </c>
      <c r="D3373" t="str">
        <f>"9788021093782"</f>
        <v>9788021093782</v>
      </c>
      <c r="E3373" t="s">
        <v>9180</v>
      </c>
      <c r="F3373" t="s">
        <v>9180</v>
      </c>
      <c r="G3373" s="1">
        <v>43647</v>
      </c>
      <c r="H3373" s="1">
        <v>44627</v>
      </c>
      <c r="I3373" t="s">
        <v>189</v>
      </c>
      <c r="L3373" t="s">
        <v>9235</v>
      </c>
      <c r="M3373" t="s">
        <v>323</v>
      </c>
      <c r="Q3373" t="s">
        <v>9182</v>
      </c>
      <c r="R3373" t="s">
        <v>261</v>
      </c>
      <c r="S3373" t="s">
        <v>261</v>
      </c>
      <c r="T3373" t="s">
        <v>261</v>
      </c>
      <c r="U3373" t="s">
        <v>262</v>
      </c>
      <c r="V3373" t="s">
        <v>262</v>
      </c>
      <c r="W3373" t="s">
        <v>261</v>
      </c>
      <c r="X3373" t="s">
        <v>262</v>
      </c>
      <c r="Y3373" t="s">
        <v>261</v>
      </c>
      <c r="Z3373" t="s">
        <v>409</v>
      </c>
      <c r="AA3373" t="s">
        <v>409</v>
      </c>
      <c r="AB3373" t="s">
        <v>409</v>
      </c>
      <c r="AC3373" t="s">
        <v>409</v>
      </c>
      <c r="AD3373" t="s">
        <v>261</v>
      </c>
      <c r="AH3373" t="s">
        <v>262</v>
      </c>
      <c r="AI3373" t="s">
        <v>262</v>
      </c>
      <c r="AJ3373" t="s">
        <v>261</v>
      </c>
      <c r="AK3373" t="s">
        <v>261</v>
      </c>
      <c r="AM3373" t="s">
        <v>262</v>
      </c>
      <c r="AN3373" t="s">
        <v>9236</v>
      </c>
    </row>
    <row r="3374" spans="1:40" x14ac:dyDescent="0.35">
      <c r="A3374">
        <v>6913533</v>
      </c>
      <c r="B3374" t="s">
        <v>9237</v>
      </c>
      <c r="C3374" t="str">
        <f>""</f>
        <v/>
      </c>
      <c r="D3374" t="str">
        <f>"9788021093959"</f>
        <v>9788021093959</v>
      </c>
      <c r="E3374" t="s">
        <v>9180</v>
      </c>
      <c r="F3374" t="s">
        <v>9180</v>
      </c>
      <c r="G3374" s="1">
        <v>43647</v>
      </c>
      <c r="H3374" s="1">
        <v>44627</v>
      </c>
      <c r="I3374" t="s">
        <v>189</v>
      </c>
      <c r="L3374" t="s">
        <v>9238</v>
      </c>
    </row>
    <row r="3375" spans="1:40" x14ac:dyDescent="0.35">
      <c r="A3375">
        <v>6913534</v>
      </c>
      <c r="B3375" t="s">
        <v>9239</v>
      </c>
      <c r="C3375" t="str">
        <f>""</f>
        <v/>
      </c>
      <c r="D3375" t="str">
        <f>"9788021094246"</f>
        <v>9788021094246</v>
      </c>
      <c r="E3375" t="s">
        <v>9180</v>
      </c>
      <c r="F3375" t="s">
        <v>9180</v>
      </c>
      <c r="G3375" s="1">
        <v>43647</v>
      </c>
      <c r="H3375" s="1">
        <v>44627</v>
      </c>
      <c r="I3375" t="s">
        <v>189</v>
      </c>
      <c r="K3375" t="s">
        <v>9240</v>
      </c>
      <c r="L3375" t="s">
        <v>9241</v>
      </c>
    </row>
    <row r="3376" spans="1:40" x14ac:dyDescent="0.35">
      <c r="A3376">
        <v>6913535</v>
      </c>
      <c r="B3376" t="s">
        <v>9242</v>
      </c>
      <c r="C3376" t="str">
        <f>""</f>
        <v/>
      </c>
      <c r="D3376" t="str">
        <f>"9788021094307"</f>
        <v>9788021094307</v>
      </c>
      <c r="E3376" t="s">
        <v>9180</v>
      </c>
      <c r="F3376" t="s">
        <v>9180</v>
      </c>
      <c r="G3376" s="1">
        <v>43647</v>
      </c>
      <c r="H3376" s="1">
        <v>44627</v>
      </c>
      <c r="I3376" t="s">
        <v>189</v>
      </c>
      <c r="L3376" t="s">
        <v>9243</v>
      </c>
      <c r="M3376" t="s">
        <v>3610</v>
      </c>
      <c r="Q3376" t="s">
        <v>9182</v>
      </c>
      <c r="R3376" t="s">
        <v>261</v>
      </c>
      <c r="S3376" t="s">
        <v>261</v>
      </c>
      <c r="T3376" t="s">
        <v>261</v>
      </c>
      <c r="U3376" t="s">
        <v>262</v>
      </c>
      <c r="V3376" t="s">
        <v>262</v>
      </c>
      <c r="W3376" t="s">
        <v>261</v>
      </c>
      <c r="X3376" t="s">
        <v>262</v>
      </c>
      <c r="Y3376" t="s">
        <v>261</v>
      </c>
      <c r="Z3376" t="s">
        <v>409</v>
      </c>
      <c r="AA3376" t="s">
        <v>409</v>
      </c>
      <c r="AB3376" t="s">
        <v>409</v>
      </c>
      <c r="AC3376" t="s">
        <v>409</v>
      </c>
      <c r="AD3376" t="s">
        <v>261</v>
      </c>
      <c r="AH3376" t="s">
        <v>262</v>
      </c>
      <c r="AI3376" t="s">
        <v>262</v>
      </c>
      <c r="AJ3376" t="s">
        <v>261</v>
      </c>
      <c r="AK3376" t="s">
        <v>261</v>
      </c>
      <c r="AM3376" t="s">
        <v>262</v>
      </c>
      <c r="AN3376" t="s">
        <v>9244</v>
      </c>
    </row>
    <row r="3377" spans="1:40" x14ac:dyDescent="0.35">
      <c r="A3377">
        <v>6913536</v>
      </c>
      <c r="B3377" t="s">
        <v>9245</v>
      </c>
      <c r="C3377" t="str">
        <f>""</f>
        <v/>
      </c>
      <c r="D3377" t="str">
        <f>"9788021094352"</f>
        <v>9788021094352</v>
      </c>
      <c r="E3377" t="s">
        <v>9180</v>
      </c>
      <c r="F3377" t="s">
        <v>9180</v>
      </c>
      <c r="G3377" s="1">
        <v>43647</v>
      </c>
      <c r="H3377" s="1">
        <v>44627</v>
      </c>
      <c r="I3377" t="s">
        <v>189</v>
      </c>
      <c r="L3377" t="s">
        <v>9246</v>
      </c>
    </row>
    <row r="3378" spans="1:40" x14ac:dyDescent="0.35">
      <c r="A3378">
        <v>6913537</v>
      </c>
      <c r="B3378" t="s">
        <v>9247</v>
      </c>
      <c r="C3378" t="str">
        <f>"9788021094390"</f>
        <v>9788021094390</v>
      </c>
      <c r="D3378" t="str">
        <f>"9788021094406"</f>
        <v>9788021094406</v>
      </c>
      <c r="E3378" t="s">
        <v>9180</v>
      </c>
      <c r="F3378" t="s">
        <v>9180</v>
      </c>
      <c r="G3378" s="1">
        <v>43647</v>
      </c>
      <c r="H3378" s="1">
        <v>44627</v>
      </c>
      <c r="I3378" t="s">
        <v>189</v>
      </c>
      <c r="L3378" t="s">
        <v>9248</v>
      </c>
    </row>
    <row r="3379" spans="1:40" x14ac:dyDescent="0.35">
      <c r="A3379">
        <v>6913538</v>
      </c>
      <c r="B3379" t="s">
        <v>9249</v>
      </c>
      <c r="C3379" t="str">
        <f>"9788021094611"</f>
        <v>9788021094611</v>
      </c>
      <c r="D3379" t="str">
        <f>"9788021094628"</f>
        <v>9788021094628</v>
      </c>
      <c r="E3379" t="s">
        <v>9180</v>
      </c>
      <c r="F3379" t="s">
        <v>9180</v>
      </c>
      <c r="G3379" s="1">
        <v>43647</v>
      </c>
      <c r="H3379" s="1">
        <v>44627</v>
      </c>
      <c r="I3379" t="s">
        <v>189</v>
      </c>
      <c r="L3379" t="s">
        <v>9250</v>
      </c>
    </row>
    <row r="3380" spans="1:40" x14ac:dyDescent="0.35">
      <c r="A3380">
        <v>6913539</v>
      </c>
      <c r="B3380" t="s">
        <v>9251</v>
      </c>
      <c r="C3380" t="str">
        <f>"9788021094796"</f>
        <v>9788021094796</v>
      </c>
      <c r="D3380" t="str">
        <f>"9788021094802"</f>
        <v>9788021094802</v>
      </c>
      <c r="E3380" t="s">
        <v>9180</v>
      </c>
      <c r="F3380" t="s">
        <v>9180</v>
      </c>
      <c r="G3380" s="1">
        <v>43647</v>
      </c>
      <c r="H3380" s="1">
        <v>44627</v>
      </c>
      <c r="I3380" t="s">
        <v>189</v>
      </c>
      <c r="L3380" t="s">
        <v>9252</v>
      </c>
    </row>
    <row r="3381" spans="1:40" x14ac:dyDescent="0.35">
      <c r="A3381">
        <v>6913540</v>
      </c>
      <c r="B3381" t="s">
        <v>9253</v>
      </c>
      <c r="C3381" t="str">
        <f>"9788021094819"</f>
        <v>9788021094819</v>
      </c>
      <c r="D3381" t="str">
        <f>"9788021094826"</f>
        <v>9788021094826</v>
      </c>
      <c r="E3381" t="s">
        <v>9180</v>
      </c>
      <c r="F3381" t="s">
        <v>9180</v>
      </c>
      <c r="G3381" s="1">
        <v>43647</v>
      </c>
      <c r="H3381" s="1">
        <v>44627</v>
      </c>
      <c r="I3381" t="s">
        <v>189</v>
      </c>
      <c r="K3381" t="s">
        <v>9218</v>
      </c>
      <c r="L3381" t="s">
        <v>9254</v>
      </c>
      <c r="M3381" t="s">
        <v>323</v>
      </c>
      <c r="Q3381" t="s">
        <v>9182</v>
      </c>
      <c r="R3381" t="s">
        <v>261</v>
      </c>
      <c r="S3381" t="s">
        <v>261</v>
      </c>
      <c r="T3381" t="s">
        <v>261</v>
      </c>
      <c r="U3381" t="s">
        <v>262</v>
      </c>
      <c r="V3381" t="s">
        <v>262</v>
      </c>
      <c r="W3381" t="s">
        <v>261</v>
      </c>
      <c r="X3381" t="s">
        <v>262</v>
      </c>
      <c r="Y3381" t="s">
        <v>261</v>
      </c>
      <c r="Z3381" t="s">
        <v>409</v>
      </c>
      <c r="AA3381" t="s">
        <v>409</v>
      </c>
      <c r="AB3381" t="s">
        <v>409</v>
      </c>
      <c r="AC3381" t="s">
        <v>409</v>
      </c>
      <c r="AD3381" t="s">
        <v>261</v>
      </c>
      <c r="AH3381" t="s">
        <v>262</v>
      </c>
      <c r="AI3381" t="s">
        <v>262</v>
      </c>
      <c r="AJ3381" t="s">
        <v>261</v>
      </c>
      <c r="AK3381" t="s">
        <v>261</v>
      </c>
      <c r="AM3381" t="s">
        <v>262</v>
      </c>
      <c r="AN3381" t="s">
        <v>9255</v>
      </c>
    </row>
    <row r="3382" spans="1:40" x14ac:dyDescent="0.35">
      <c r="A3382">
        <v>6913541</v>
      </c>
      <c r="B3382" t="s">
        <v>9256</v>
      </c>
      <c r="C3382" t="str">
        <f>""</f>
        <v/>
      </c>
      <c r="D3382" t="str">
        <f>"9788021094840"</f>
        <v>9788021094840</v>
      </c>
      <c r="E3382" t="s">
        <v>9180</v>
      </c>
      <c r="F3382" t="s">
        <v>9180</v>
      </c>
      <c r="G3382" s="1">
        <v>43647</v>
      </c>
      <c r="H3382" s="1">
        <v>44627</v>
      </c>
      <c r="I3382" t="s">
        <v>189</v>
      </c>
      <c r="L3382" t="s">
        <v>9257</v>
      </c>
    </row>
    <row r="3383" spans="1:40" x14ac:dyDescent="0.35">
      <c r="A3383">
        <v>6913542</v>
      </c>
      <c r="B3383" t="s">
        <v>9258</v>
      </c>
      <c r="C3383" t="str">
        <f>""</f>
        <v/>
      </c>
      <c r="D3383" t="str">
        <f>"9788021094857"</f>
        <v>9788021094857</v>
      </c>
      <c r="E3383" t="s">
        <v>9180</v>
      </c>
      <c r="F3383" t="s">
        <v>9180</v>
      </c>
      <c r="G3383" s="1">
        <v>43282</v>
      </c>
      <c r="H3383" s="1">
        <v>44627</v>
      </c>
      <c r="I3383" t="s">
        <v>189</v>
      </c>
      <c r="L3383" t="s">
        <v>9259</v>
      </c>
    </row>
    <row r="3384" spans="1:40" x14ac:dyDescent="0.35">
      <c r="A3384">
        <v>6913543</v>
      </c>
      <c r="B3384" t="s">
        <v>9260</v>
      </c>
      <c r="C3384" t="str">
        <f>""</f>
        <v/>
      </c>
      <c r="D3384" t="str">
        <f>"9788021094888"</f>
        <v>9788021094888</v>
      </c>
      <c r="E3384" t="s">
        <v>9180</v>
      </c>
      <c r="F3384" t="s">
        <v>9180</v>
      </c>
      <c r="G3384" s="1">
        <v>43647</v>
      </c>
      <c r="H3384" s="1">
        <v>44627</v>
      </c>
      <c r="I3384" t="s">
        <v>189</v>
      </c>
      <c r="L3384" t="s">
        <v>9261</v>
      </c>
    </row>
    <row r="3385" spans="1:40" x14ac:dyDescent="0.35">
      <c r="A3385">
        <v>6913544</v>
      </c>
      <c r="B3385" t="s">
        <v>9262</v>
      </c>
      <c r="C3385" t="str">
        <f>""</f>
        <v/>
      </c>
      <c r="D3385" t="str">
        <f>"9788021095014"</f>
        <v>9788021095014</v>
      </c>
      <c r="E3385" t="s">
        <v>9180</v>
      </c>
      <c r="F3385" t="s">
        <v>9180</v>
      </c>
      <c r="G3385" s="1">
        <v>43647</v>
      </c>
      <c r="H3385" s="1">
        <v>44627</v>
      </c>
      <c r="I3385" t="s">
        <v>189</v>
      </c>
      <c r="L3385" t="s">
        <v>9263</v>
      </c>
    </row>
    <row r="3386" spans="1:40" x14ac:dyDescent="0.35">
      <c r="A3386">
        <v>6913545</v>
      </c>
      <c r="B3386" t="s">
        <v>9264</v>
      </c>
      <c r="C3386" t="str">
        <f>"9788021095212"</f>
        <v>9788021095212</v>
      </c>
      <c r="D3386" t="str">
        <f>"9788021095229"</f>
        <v>9788021095229</v>
      </c>
      <c r="E3386" t="s">
        <v>9180</v>
      </c>
      <c r="F3386" t="s">
        <v>9180</v>
      </c>
      <c r="G3386" s="1">
        <v>43647</v>
      </c>
      <c r="H3386" s="1">
        <v>44627</v>
      </c>
      <c r="I3386" t="s">
        <v>189</v>
      </c>
      <c r="L3386" t="s">
        <v>106</v>
      </c>
      <c r="M3386" t="s">
        <v>1191</v>
      </c>
      <c r="Q3386" t="s">
        <v>260</v>
      </c>
      <c r="R3386" t="s">
        <v>261</v>
      </c>
      <c r="S3386" t="s">
        <v>261</v>
      </c>
      <c r="T3386" t="s">
        <v>261</v>
      </c>
      <c r="U3386" t="s">
        <v>262</v>
      </c>
      <c r="V3386" t="s">
        <v>262</v>
      </c>
      <c r="W3386" t="s">
        <v>261</v>
      </c>
      <c r="X3386" t="s">
        <v>262</v>
      </c>
      <c r="Y3386" t="s">
        <v>261</v>
      </c>
      <c r="Z3386" t="s">
        <v>409</v>
      </c>
      <c r="AA3386" t="s">
        <v>409</v>
      </c>
      <c r="AB3386" t="s">
        <v>409</v>
      </c>
      <c r="AC3386" t="s">
        <v>409</v>
      </c>
      <c r="AD3386" t="s">
        <v>261</v>
      </c>
      <c r="AH3386" t="s">
        <v>262</v>
      </c>
      <c r="AI3386" t="s">
        <v>262</v>
      </c>
      <c r="AJ3386" t="s">
        <v>261</v>
      </c>
      <c r="AK3386" t="s">
        <v>261</v>
      </c>
      <c r="AM3386" t="s">
        <v>262</v>
      </c>
      <c r="AN3386" t="s">
        <v>9265</v>
      </c>
    </row>
    <row r="3387" spans="1:40" x14ac:dyDescent="0.35">
      <c r="A3387">
        <v>6913546</v>
      </c>
      <c r="B3387" t="s">
        <v>9266</v>
      </c>
      <c r="C3387" t="str">
        <f>""</f>
        <v/>
      </c>
      <c r="D3387" t="str">
        <f>"9788021095274"</f>
        <v>9788021095274</v>
      </c>
      <c r="E3387" t="s">
        <v>9180</v>
      </c>
      <c r="F3387" t="s">
        <v>9180</v>
      </c>
      <c r="G3387" s="1">
        <v>43647</v>
      </c>
      <c r="H3387" s="1">
        <v>44627</v>
      </c>
      <c r="I3387" t="s">
        <v>189</v>
      </c>
      <c r="L3387" t="s">
        <v>9190</v>
      </c>
    </row>
    <row r="3388" spans="1:40" x14ac:dyDescent="0.35">
      <c r="A3388">
        <v>6913547</v>
      </c>
      <c r="B3388" t="s">
        <v>9267</v>
      </c>
      <c r="C3388" t="str">
        <f>"9788021095359"</f>
        <v>9788021095359</v>
      </c>
      <c r="D3388" t="str">
        <f>"9788021095366"</f>
        <v>9788021095366</v>
      </c>
      <c r="E3388" t="s">
        <v>9180</v>
      </c>
      <c r="F3388" t="s">
        <v>9180</v>
      </c>
      <c r="G3388" s="1">
        <v>43647</v>
      </c>
      <c r="H3388" s="1">
        <v>44627</v>
      </c>
      <c r="I3388" t="s">
        <v>189</v>
      </c>
      <c r="L3388" t="s">
        <v>9268</v>
      </c>
    </row>
    <row r="3389" spans="1:40" x14ac:dyDescent="0.35">
      <c r="A3389">
        <v>6913548</v>
      </c>
      <c r="B3389" t="s">
        <v>9269</v>
      </c>
      <c r="C3389" t="str">
        <f>"9788021095403"</f>
        <v>9788021095403</v>
      </c>
      <c r="D3389" t="str">
        <f>"9788021095410"</f>
        <v>9788021095410</v>
      </c>
      <c r="E3389" t="s">
        <v>9180</v>
      </c>
      <c r="F3389" t="s">
        <v>9180</v>
      </c>
      <c r="G3389" s="1">
        <v>43647</v>
      </c>
      <c r="H3389" s="1">
        <v>44627</v>
      </c>
      <c r="I3389" t="s">
        <v>189</v>
      </c>
      <c r="L3389" t="s">
        <v>9270</v>
      </c>
      <c r="M3389" t="s">
        <v>219</v>
      </c>
      <c r="Q3389" t="s">
        <v>9182</v>
      </c>
      <c r="R3389" t="s">
        <v>261</v>
      </c>
      <c r="S3389" t="s">
        <v>261</v>
      </c>
      <c r="T3389" t="s">
        <v>261</v>
      </c>
      <c r="U3389" t="s">
        <v>262</v>
      </c>
      <c r="V3389" t="s">
        <v>262</v>
      </c>
      <c r="W3389" t="s">
        <v>261</v>
      </c>
      <c r="X3389" t="s">
        <v>262</v>
      </c>
      <c r="Y3389" t="s">
        <v>261</v>
      </c>
      <c r="Z3389" t="s">
        <v>409</v>
      </c>
      <c r="AA3389" t="s">
        <v>409</v>
      </c>
      <c r="AB3389" t="s">
        <v>409</v>
      </c>
      <c r="AC3389" t="s">
        <v>409</v>
      </c>
      <c r="AD3389" t="s">
        <v>261</v>
      </c>
      <c r="AH3389" t="s">
        <v>262</v>
      </c>
      <c r="AI3389" t="s">
        <v>262</v>
      </c>
      <c r="AJ3389" t="s">
        <v>261</v>
      </c>
      <c r="AK3389" t="s">
        <v>261</v>
      </c>
      <c r="AM3389" t="s">
        <v>262</v>
      </c>
      <c r="AN3389" t="s">
        <v>9271</v>
      </c>
    </row>
    <row r="3390" spans="1:40" x14ac:dyDescent="0.35">
      <c r="A3390">
        <v>6913549</v>
      </c>
      <c r="B3390" t="s">
        <v>9272</v>
      </c>
      <c r="C3390" t="str">
        <f>""</f>
        <v/>
      </c>
      <c r="D3390" t="str">
        <f>"9788021095427"</f>
        <v>9788021095427</v>
      </c>
      <c r="E3390" t="s">
        <v>9180</v>
      </c>
      <c r="F3390" t="s">
        <v>9180</v>
      </c>
      <c r="G3390" s="1">
        <v>44013</v>
      </c>
      <c r="H3390" s="1">
        <v>44627</v>
      </c>
      <c r="I3390" t="s">
        <v>189</v>
      </c>
      <c r="L3390" t="s">
        <v>9273</v>
      </c>
    </row>
    <row r="3391" spans="1:40" x14ac:dyDescent="0.35">
      <c r="A3391">
        <v>6913550</v>
      </c>
      <c r="B3391" t="s">
        <v>9274</v>
      </c>
      <c r="C3391" t="str">
        <f>"9788021095465"</f>
        <v>9788021095465</v>
      </c>
      <c r="D3391" t="str">
        <f>"9788021095472"</f>
        <v>9788021095472</v>
      </c>
      <c r="E3391" t="s">
        <v>9180</v>
      </c>
      <c r="F3391" t="s">
        <v>9180</v>
      </c>
      <c r="G3391" s="1">
        <v>43647</v>
      </c>
      <c r="H3391" s="1">
        <v>44627</v>
      </c>
      <c r="I3391" t="s">
        <v>189</v>
      </c>
      <c r="L3391" t="s">
        <v>9275</v>
      </c>
    </row>
    <row r="3392" spans="1:40" x14ac:dyDescent="0.35">
      <c r="A3392">
        <v>6913551</v>
      </c>
      <c r="B3392" t="s">
        <v>9276</v>
      </c>
      <c r="C3392" t="str">
        <f>""</f>
        <v/>
      </c>
      <c r="D3392" t="str">
        <f>"9788021095502"</f>
        <v>9788021095502</v>
      </c>
      <c r="E3392" t="s">
        <v>9180</v>
      </c>
      <c r="F3392" t="s">
        <v>9180</v>
      </c>
      <c r="G3392" s="1">
        <v>44013</v>
      </c>
      <c r="H3392" s="1">
        <v>44627</v>
      </c>
      <c r="I3392" t="s">
        <v>189</v>
      </c>
      <c r="L3392" t="s">
        <v>9277</v>
      </c>
    </row>
    <row r="3393" spans="1:40" x14ac:dyDescent="0.35">
      <c r="A3393">
        <v>6913552</v>
      </c>
      <c r="B3393" t="s">
        <v>9278</v>
      </c>
      <c r="C3393" t="str">
        <f>"9788021095519"</f>
        <v>9788021095519</v>
      </c>
      <c r="D3393" t="str">
        <f>"9788021095526"</f>
        <v>9788021095526</v>
      </c>
      <c r="E3393" t="s">
        <v>9180</v>
      </c>
      <c r="F3393" t="s">
        <v>9180</v>
      </c>
      <c r="G3393" s="1">
        <v>43647</v>
      </c>
      <c r="H3393" s="1">
        <v>44627</v>
      </c>
      <c r="I3393" t="s">
        <v>189</v>
      </c>
      <c r="K3393" t="s">
        <v>9279</v>
      </c>
      <c r="L3393" t="s">
        <v>111</v>
      </c>
      <c r="M3393" t="s">
        <v>219</v>
      </c>
      <c r="Q3393" t="s">
        <v>9182</v>
      </c>
      <c r="R3393" t="s">
        <v>261</v>
      </c>
      <c r="S3393" t="s">
        <v>261</v>
      </c>
      <c r="T3393" t="s">
        <v>261</v>
      </c>
      <c r="U3393" t="s">
        <v>262</v>
      </c>
      <c r="V3393" t="s">
        <v>262</v>
      </c>
      <c r="W3393" t="s">
        <v>261</v>
      </c>
      <c r="X3393" t="s">
        <v>262</v>
      </c>
      <c r="Y3393" t="s">
        <v>261</v>
      </c>
      <c r="Z3393" t="s">
        <v>409</v>
      </c>
      <c r="AA3393" t="s">
        <v>409</v>
      </c>
      <c r="AB3393" t="s">
        <v>409</v>
      </c>
      <c r="AC3393" t="s">
        <v>409</v>
      </c>
      <c r="AD3393" t="s">
        <v>261</v>
      </c>
      <c r="AH3393" t="s">
        <v>262</v>
      </c>
      <c r="AI3393" t="s">
        <v>262</v>
      </c>
      <c r="AJ3393" t="s">
        <v>261</v>
      </c>
      <c r="AK3393" t="s">
        <v>261</v>
      </c>
      <c r="AM3393" t="s">
        <v>262</v>
      </c>
      <c r="AN3393" t="s">
        <v>9280</v>
      </c>
    </row>
    <row r="3394" spans="1:40" x14ac:dyDescent="0.35">
      <c r="A3394">
        <v>6913553</v>
      </c>
      <c r="B3394" t="s">
        <v>9281</v>
      </c>
      <c r="C3394" t="str">
        <f>""</f>
        <v/>
      </c>
      <c r="D3394" t="str">
        <f>"9788021095564"</f>
        <v>9788021095564</v>
      </c>
      <c r="E3394" t="s">
        <v>9180</v>
      </c>
      <c r="F3394" t="s">
        <v>9180</v>
      </c>
      <c r="G3394" s="1">
        <v>43647</v>
      </c>
      <c r="H3394" s="1">
        <v>44627</v>
      </c>
      <c r="I3394" t="s">
        <v>189</v>
      </c>
      <c r="L3394" t="s">
        <v>9190</v>
      </c>
      <c r="M3394" t="s">
        <v>323</v>
      </c>
      <c r="Q3394" t="s">
        <v>260</v>
      </c>
      <c r="R3394" t="s">
        <v>261</v>
      </c>
      <c r="S3394" t="s">
        <v>261</v>
      </c>
      <c r="T3394" t="s">
        <v>261</v>
      </c>
      <c r="U3394" t="s">
        <v>262</v>
      </c>
      <c r="V3394" t="s">
        <v>262</v>
      </c>
      <c r="W3394" t="s">
        <v>261</v>
      </c>
      <c r="X3394" t="s">
        <v>262</v>
      </c>
      <c r="Y3394" t="s">
        <v>261</v>
      </c>
      <c r="Z3394" t="s">
        <v>409</v>
      </c>
      <c r="AA3394" t="s">
        <v>409</v>
      </c>
      <c r="AB3394" t="s">
        <v>409</v>
      </c>
      <c r="AC3394" t="s">
        <v>409</v>
      </c>
      <c r="AD3394" t="s">
        <v>261</v>
      </c>
      <c r="AH3394" t="s">
        <v>262</v>
      </c>
      <c r="AI3394" t="s">
        <v>262</v>
      </c>
      <c r="AJ3394" t="s">
        <v>261</v>
      </c>
      <c r="AK3394" t="s">
        <v>261</v>
      </c>
      <c r="AM3394" t="s">
        <v>262</v>
      </c>
      <c r="AN3394" t="s">
        <v>9282</v>
      </c>
    </row>
    <row r="3395" spans="1:40" x14ac:dyDescent="0.35">
      <c r="A3395">
        <v>6913554</v>
      </c>
      <c r="B3395" t="s">
        <v>9283</v>
      </c>
      <c r="C3395" t="str">
        <f>""</f>
        <v/>
      </c>
      <c r="D3395" t="str">
        <f>"9788021095632"</f>
        <v>9788021095632</v>
      </c>
      <c r="E3395" t="s">
        <v>9180</v>
      </c>
      <c r="F3395" t="s">
        <v>9180</v>
      </c>
      <c r="G3395" s="1">
        <v>44013</v>
      </c>
      <c r="H3395" s="1">
        <v>44627</v>
      </c>
      <c r="I3395" t="s">
        <v>189</v>
      </c>
      <c r="L3395" t="s">
        <v>9277</v>
      </c>
    </row>
    <row r="3396" spans="1:40" x14ac:dyDescent="0.35">
      <c r="A3396">
        <v>6913555</v>
      </c>
      <c r="B3396" t="s">
        <v>9284</v>
      </c>
      <c r="C3396" t="str">
        <f>"9788021095663"</f>
        <v>9788021095663</v>
      </c>
      <c r="D3396" t="str">
        <f>"9788021095670"</f>
        <v>9788021095670</v>
      </c>
      <c r="E3396" t="s">
        <v>9180</v>
      </c>
      <c r="F3396" t="s">
        <v>9180</v>
      </c>
      <c r="G3396" s="1">
        <v>44013</v>
      </c>
      <c r="H3396" s="1">
        <v>44627</v>
      </c>
      <c r="I3396" t="s">
        <v>189</v>
      </c>
      <c r="L3396" t="s">
        <v>9285</v>
      </c>
    </row>
    <row r="3397" spans="1:40" x14ac:dyDescent="0.35">
      <c r="A3397">
        <v>6913556</v>
      </c>
      <c r="B3397" t="s">
        <v>9286</v>
      </c>
      <c r="C3397" t="str">
        <f>"9788021091085"</f>
        <v>9788021091085</v>
      </c>
      <c r="D3397" t="str">
        <f>"9788021095724"</f>
        <v>9788021095724</v>
      </c>
      <c r="E3397" t="s">
        <v>9180</v>
      </c>
      <c r="F3397" t="s">
        <v>9180</v>
      </c>
      <c r="G3397" s="1">
        <v>44013</v>
      </c>
      <c r="H3397" s="1">
        <v>44627</v>
      </c>
      <c r="I3397" t="s">
        <v>189</v>
      </c>
      <c r="L3397" t="s">
        <v>9287</v>
      </c>
    </row>
    <row r="3398" spans="1:40" x14ac:dyDescent="0.35">
      <c r="A3398">
        <v>6913557</v>
      </c>
      <c r="B3398" t="s">
        <v>9288</v>
      </c>
      <c r="C3398" t="str">
        <f>"9788021066755"</f>
        <v>9788021066755</v>
      </c>
      <c r="D3398" t="str">
        <f>"9788021095731"</f>
        <v>9788021095731</v>
      </c>
      <c r="E3398" t="s">
        <v>9180</v>
      </c>
      <c r="F3398" t="s">
        <v>9180</v>
      </c>
      <c r="G3398" s="1">
        <v>44013</v>
      </c>
      <c r="H3398" s="1">
        <v>44627</v>
      </c>
      <c r="I3398" t="s">
        <v>189</v>
      </c>
      <c r="L3398" t="s">
        <v>9289</v>
      </c>
      <c r="M3398" t="s">
        <v>323</v>
      </c>
      <c r="Q3398" t="s">
        <v>9182</v>
      </c>
      <c r="R3398" t="s">
        <v>261</v>
      </c>
      <c r="S3398" t="s">
        <v>261</v>
      </c>
      <c r="T3398" t="s">
        <v>261</v>
      </c>
      <c r="U3398" t="s">
        <v>262</v>
      </c>
      <c r="V3398" t="s">
        <v>262</v>
      </c>
      <c r="W3398" t="s">
        <v>261</v>
      </c>
      <c r="X3398" t="s">
        <v>262</v>
      </c>
      <c r="Y3398" t="s">
        <v>261</v>
      </c>
      <c r="Z3398" t="s">
        <v>409</v>
      </c>
      <c r="AA3398" t="s">
        <v>409</v>
      </c>
      <c r="AB3398" t="s">
        <v>409</v>
      </c>
      <c r="AC3398" t="s">
        <v>409</v>
      </c>
      <c r="AD3398" t="s">
        <v>261</v>
      </c>
      <c r="AH3398" t="s">
        <v>262</v>
      </c>
      <c r="AI3398" t="s">
        <v>262</v>
      </c>
      <c r="AJ3398" t="s">
        <v>261</v>
      </c>
      <c r="AK3398" t="s">
        <v>261</v>
      </c>
      <c r="AM3398" t="s">
        <v>262</v>
      </c>
      <c r="AN3398" t="s">
        <v>9290</v>
      </c>
    </row>
    <row r="3399" spans="1:40" x14ac:dyDescent="0.35">
      <c r="A3399">
        <v>6913558</v>
      </c>
      <c r="B3399" t="s">
        <v>9291</v>
      </c>
      <c r="C3399" t="str">
        <f>"9788021064881"</f>
        <v>9788021064881</v>
      </c>
      <c r="D3399" t="str">
        <f>"9788021095779"</f>
        <v>9788021095779</v>
      </c>
      <c r="E3399" t="s">
        <v>9180</v>
      </c>
      <c r="F3399" t="s">
        <v>9180</v>
      </c>
      <c r="G3399" s="1">
        <v>44013</v>
      </c>
      <c r="H3399" s="1">
        <v>44627</v>
      </c>
      <c r="I3399" t="s">
        <v>189</v>
      </c>
      <c r="L3399" t="s">
        <v>9292</v>
      </c>
    </row>
    <row r="3400" spans="1:40" x14ac:dyDescent="0.35">
      <c r="A3400">
        <v>6913559</v>
      </c>
      <c r="B3400" t="s">
        <v>9293</v>
      </c>
      <c r="C3400" t="str">
        <f>"9788021095816"</f>
        <v>9788021095816</v>
      </c>
      <c r="D3400" t="str">
        <f>"9788021095823"</f>
        <v>9788021095823</v>
      </c>
      <c r="E3400" t="s">
        <v>9180</v>
      </c>
      <c r="F3400" t="s">
        <v>9180</v>
      </c>
      <c r="G3400" s="1">
        <v>44013</v>
      </c>
      <c r="H3400" s="1">
        <v>44627</v>
      </c>
      <c r="I3400" t="s">
        <v>189</v>
      </c>
      <c r="L3400" t="s">
        <v>9285</v>
      </c>
    </row>
    <row r="3401" spans="1:40" x14ac:dyDescent="0.35">
      <c r="A3401">
        <v>6913560</v>
      </c>
      <c r="B3401" t="s">
        <v>9294</v>
      </c>
      <c r="C3401" t="str">
        <f>""</f>
        <v/>
      </c>
      <c r="D3401" t="str">
        <f>"9788021095908"</f>
        <v>9788021095908</v>
      </c>
      <c r="E3401" t="s">
        <v>9180</v>
      </c>
      <c r="F3401" t="s">
        <v>9180</v>
      </c>
      <c r="G3401" s="1">
        <v>43647</v>
      </c>
      <c r="H3401" s="1">
        <v>44627</v>
      </c>
      <c r="I3401" t="s">
        <v>189</v>
      </c>
      <c r="L3401" t="s">
        <v>9295</v>
      </c>
      <c r="M3401" t="s">
        <v>323</v>
      </c>
      <c r="Q3401" t="s">
        <v>260</v>
      </c>
      <c r="R3401" t="s">
        <v>261</v>
      </c>
      <c r="S3401" t="s">
        <v>261</v>
      </c>
      <c r="T3401" t="s">
        <v>261</v>
      </c>
      <c r="U3401" t="s">
        <v>262</v>
      </c>
      <c r="V3401" t="s">
        <v>262</v>
      </c>
      <c r="W3401" t="s">
        <v>261</v>
      </c>
      <c r="X3401" t="s">
        <v>262</v>
      </c>
      <c r="Y3401" t="s">
        <v>261</v>
      </c>
      <c r="Z3401" t="s">
        <v>409</v>
      </c>
      <c r="AA3401" t="s">
        <v>409</v>
      </c>
      <c r="AB3401" t="s">
        <v>409</v>
      </c>
      <c r="AC3401" t="s">
        <v>409</v>
      </c>
      <c r="AD3401" t="s">
        <v>261</v>
      </c>
      <c r="AH3401" t="s">
        <v>262</v>
      </c>
      <c r="AI3401" t="s">
        <v>262</v>
      </c>
      <c r="AJ3401" t="s">
        <v>261</v>
      </c>
      <c r="AK3401" t="s">
        <v>261</v>
      </c>
      <c r="AM3401" t="s">
        <v>262</v>
      </c>
      <c r="AN3401" t="s">
        <v>9296</v>
      </c>
    </row>
    <row r="3402" spans="1:40" x14ac:dyDescent="0.35">
      <c r="A3402">
        <v>6913561</v>
      </c>
      <c r="B3402" t="s">
        <v>9297</v>
      </c>
      <c r="C3402" t="str">
        <f>"9788021095892"</f>
        <v>9788021095892</v>
      </c>
      <c r="D3402" t="str">
        <f>"9788021095915"</f>
        <v>9788021095915</v>
      </c>
      <c r="E3402" t="s">
        <v>9180</v>
      </c>
      <c r="F3402" t="s">
        <v>9180</v>
      </c>
      <c r="G3402" s="1">
        <v>44013</v>
      </c>
      <c r="H3402" s="1">
        <v>44627</v>
      </c>
      <c r="I3402" t="s">
        <v>189</v>
      </c>
      <c r="L3402" t="s">
        <v>107</v>
      </c>
    </row>
    <row r="3403" spans="1:40" x14ac:dyDescent="0.35">
      <c r="A3403">
        <v>6913562</v>
      </c>
      <c r="B3403" t="s">
        <v>9298</v>
      </c>
      <c r="C3403" t="str">
        <f>""</f>
        <v/>
      </c>
      <c r="D3403" t="str">
        <f>"9788021095922"</f>
        <v>9788021095922</v>
      </c>
      <c r="E3403" t="s">
        <v>9180</v>
      </c>
      <c r="F3403" t="s">
        <v>9180</v>
      </c>
      <c r="G3403" s="1">
        <v>43647</v>
      </c>
      <c r="H3403" s="1">
        <v>44627</v>
      </c>
      <c r="I3403" t="s">
        <v>189</v>
      </c>
      <c r="L3403" t="s">
        <v>9299</v>
      </c>
      <c r="M3403" t="s">
        <v>323</v>
      </c>
      <c r="Q3403" t="s">
        <v>260</v>
      </c>
      <c r="R3403" t="s">
        <v>261</v>
      </c>
      <c r="S3403" t="s">
        <v>261</v>
      </c>
      <c r="T3403" t="s">
        <v>261</v>
      </c>
      <c r="U3403" t="s">
        <v>262</v>
      </c>
      <c r="V3403" t="s">
        <v>262</v>
      </c>
      <c r="W3403" t="s">
        <v>261</v>
      </c>
      <c r="X3403" t="s">
        <v>262</v>
      </c>
      <c r="Y3403" t="s">
        <v>261</v>
      </c>
      <c r="Z3403" t="s">
        <v>409</v>
      </c>
      <c r="AA3403" t="s">
        <v>409</v>
      </c>
      <c r="AB3403" t="s">
        <v>409</v>
      </c>
      <c r="AC3403" t="s">
        <v>409</v>
      </c>
      <c r="AD3403" t="s">
        <v>261</v>
      </c>
      <c r="AH3403" t="s">
        <v>262</v>
      </c>
      <c r="AI3403" t="s">
        <v>262</v>
      </c>
      <c r="AJ3403" t="s">
        <v>261</v>
      </c>
      <c r="AK3403" t="s">
        <v>261</v>
      </c>
      <c r="AM3403" t="s">
        <v>262</v>
      </c>
      <c r="AN3403" t="s">
        <v>9300</v>
      </c>
    </row>
    <row r="3404" spans="1:40" x14ac:dyDescent="0.35">
      <c r="A3404">
        <v>6913563</v>
      </c>
      <c r="B3404" t="s">
        <v>9301</v>
      </c>
      <c r="C3404" t="str">
        <f>""</f>
        <v/>
      </c>
      <c r="D3404" t="str">
        <f>"9788021095939"</f>
        <v>9788021095939</v>
      </c>
      <c r="E3404" t="s">
        <v>9180</v>
      </c>
      <c r="F3404" t="s">
        <v>9180</v>
      </c>
      <c r="G3404" s="1">
        <v>44013</v>
      </c>
      <c r="H3404" s="1">
        <v>44627</v>
      </c>
      <c r="I3404" t="s">
        <v>189</v>
      </c>
      <c r="L3404" t="s">
        <v>9302</v>
      </c>
      <c r="M3404" t="s">
        <v>9303</v>
      </c>
      <c r="Q3404" t="s">
        <v>260</v>
      </c>
      <c r="R3404" t="s">
        <v>261</v>
      </c>
      <c r="S3404" t="s">
        <v>261</v>
      </c>
      <c r="T3404" t="s">
        <v>261</v>
      </c>
      <c r="U3404" t="s">
        <v>262</v>
      </c>
      <c r="V3404" t="s">
        <v>262</v>
      </c>
      <c r="W3404" t="s">
        <v>261</v>
      </c>
      <c r="X3404" t="s">
        <v>262</v>
      </c>
      <c r="Y3404" t="s">
        <v>261</v>
      </c>
      <c r="Z3404" t="s">
        <v>409</v>
      </c>
      <c r="AA3404" t="s">
        <v>409</v>
      </c>
      <c r="AB3404" t="s">
        <v>409</v>
      </c>
      <c r="AC3404" t="s">
        <v>409</v>
      </c>
      <c r="AD3404" t="s">
        <v>261</v>
      </c>
      <c r="AH3404" t="s">
        <v>262</v>
      </c>
      <c r="AI3404" t="s">
        <v>262</v>
      </c>
      <c r="AJ3404" t="s">
        <v>261</v>
      </c>
      <c r="AK3404" t="s">
        <v>261</v>
      </c>
      <c r="AM3404" t="s">
        <v>262</v>
      </c>
      <c r="AN3404" t="s">
        <v>9304</v>
      </c>
    </row>
    <row r="3405" spans="1:40" x14ac:dyDescent="0.35">
      <c r="A3405">
        <v>6913564</v>
      </c>
      <c r="B3405" t="s">
        <v>9305</v>
      </c>
      <c r="C3405" t="str">
        <f>"9788021065031"</f>
        <v>9788021065031</v>
      </c>
      <c r="D3405" t="str">
        <f>"9788021095946"</f>
        <v>9788021095946</v>
      </c>
      <c r="E3405" t="s">
        <v>9180</v>
      </c>
      <c r="F3405" t="s">
        <v>9180</v>
      </c>
      <c r="G3405" s="1">
        <v>44013</v>
      </c>
      <c r="H3405" s="1">
        <v>44627</v>
      </c>
      <c r="I3405" t="s">
        <v>189</v>
      </c>
      <c r="L3405" t="s">
        <v>9306</v>
      </c>
    </row>
    <row r="3406" spans="1:40" x14ac:dyDescent="0.35">
      <c r="A3406">
        <v>6913565</v>
      </c>
      <c r="B3406" t="s">
        <v>9307</v>
      </c>
      <c r="C3406" t="str">
        <f>""</f>
        <v/>
      </c>
      <c r="D3406" t="str">
        <f>"9788021095953"</f>
        <v>9788021095953</v>
      </c>
      <c r="E3406" t="s">
        <v>9180</v>
      </c>
      <c r="F3406" t="s">
        <v>9180</v>
      </c>
      <c r="G3406" s="1">
        <v>43647</v>
      </c>
      <c r="H3406" s="1">
        <v>44627</v>
      </c>
      <c r="I3406" t="s">
        <v>189</v>
      </c>
      <c r="L3406" t="s">
        <v>98</v>
      </c>
    </row>
    <row r="3407" spans="1:40" x14ac:dyDescent="0.35">
      <c r="A3407">
        <v>6913566</v>
      </c>
      <c r="B3407" t="s">
        <v>9308</v>
      </c>
      <c r="C3407" t="str">
        <f>""</f>
        <v/>
      </c>
      <c r="D3407" t="str">
        <f>"9788021095991"</f>
        <v>9788021095991</v>
      </c>
      <c r="E3407" t="s">
        <v>9180</v>
      </c>
      <c r="F3407" t="s">
        <v>9180</v>
      </c>
      <c r="G3407" s="1">
        <v>43647</v>
      </c>
      <c r="H3407" s="1">
        <v>44627</v>
      </c>
      <c r="I3407" t="s">
        <v>189</v>
      </c>
      <c r="L3407" t="s">
        <v>9309</v>
      </c>
    </row>
    <row r="3408" spans="1:40" x14ac:dyDescent="0.35">
      <c r="A3408">
        <v>6913567</v>
      </c>
      <c r="B3408" t="s">
        <v>9310</v>
      </c>
      <c r="C3408" t="str">
        <f>"9788021093829"</f>
        <v>9788021093829</v>
      </c>
      <c r="D3408" t="str">
        <f>"9788021096059"</f>
        <v>9788021096059</v>
      </c>
      <c r="E3408" t="s">
        <v>9180</v>
      </c>
      <c r="F3408" t="s">
        <v>9180</v>
      </c>
      <c r="G3408" s="1">
        <v>44013</v>
      </c>
      <c r="H3408" s="1">
        <v>44627</v>
      </c>
      <c r="I3408" t="s">
        <v>189</v>
      </c>
      <c r="L3408" t="s">
        <v>9311</v>
      </c>
    </row>
    <row r="3409" spans="1:40" x14ac:dyDescent="0.35">
      <c r="A3409">
        <v>6913568</v>
      </c>
      <c r="B3409" t="s">
        <v>9312</v>
      </c>
      <c r="C3409" t="str">
        <f>""</f>
        <v/>
      </c>
      <c r="D3409" t="str">
        <f>"9788021096110"</f>
        <v>9788021096110</v>
      </c>
      <c r="E3409" t="s">
        <v>9180</v>
      </c>
      <c r="F3409" t="s">
        <v>9180</v>
      </c>
      <c r="G3409" s="1">
        <v>44013</v>
      </c>
      <c r="H3409" s="1">
        <v>44627</v>
      </c>
      <c r="I3409" t="s">
        <v>189</v>
      </c>
      <c r="L3409" t="s">
        <v>9313</v>
      </c>
      <c r="M3409" t="s">
        <v>3610</v>
      </c>
      <c r="Q3409" t="s">
        <v>9182</v>
      </c>
      <c r="R3409" t="s">
        <v>261</v>
      </c>
      <c r="S3409" t="s">
        <v>261</v>
      </c>
      <c r="T3409" t="s">
        <v>261</v>
      </c>
      <c r="U3409" t="s">
        <v>262</v>
      </c>
      <c r="V3409" t="s">
        <v>262</v>
      </c>
      <c r="W3409" t="s">
        <v>261</v>
      </c>
      <c r="X3409" t="s">
        <v>262</v>
      </c>
      <c r="Y3409" t="s">
        <v>261</v>
      </c>
      <c r="Z3409" t="s">
        <v>409</v>
      </c>
      <c r="AA3409" t="s">
        <v>409</v>
      </c>
      <c r="AB3409" t="s">
        <v>409</v>
      </c>
      <c r="AC3409" t="s">
        <v>409</v>
      </c>
      <c r="AD3409" t="s">
        <v>261</v>
      </c>
      <c r="AH3409" t="s">
        <v>262</v>
      </c>
      <c r="AI3409" t="s">
        <v>262</v>
      </c>
      <c r="AJ3409" t="s">
        <v>261</v>
      </c>
      <c r="AK3409" t="s">
        <v>261</v>
      </c>
      <c r="AM3409" t="s">
        <v>262</v>
      </c>
      <c r="AN3409" t="s">
        <v>9314</v>
      </c>
    </row>
    <row r="3410" spans="1:40" x14ac:dyDescent="0.35">
      <c r="A3410">
        <v>6913569</v>
      </c>
      <c r="B3410" t="s">
        <v>9315</v>
      </c>
      <c r="C3410" t="str">
        <f>""</f>
        <v/>
      </c>
      <c r="D3410" t="str">
        <f>"9788021096202"</f>
        <v>9788021096202</v>
      </c>
      <c r="E3410" t="s">
        <v>9180</v>
      </c>
      <c r="F3410" t="s">
        <v>9180</v>
      </c>
      <c r="G3410" s="1">
        <v>43647</v>
      </c>
      <c r="H3410" s="1">
        <v>44627</v>
      </c>
      <c r="I3410" t="s">
        <v>189</v>
      </c>
      <c r="L3410" t="s">
        <v>9316</v>
      </c>
      <c r="M3410" t="s">
        <v>323</v>
      </c>
      <c r="Q3410" t="s">
        <v>260</v>
      </c>
      <c r="R3410" t="s">
        <v>261</v>
      </c>
      <c r="S3410" t="s">
        <v>261</v>
      </c>
      <c r="T3410" t="s">
        <v>261</v>
      </c>
      <c r="U3410" t="s">
        <v>262</v>
      </c>
      <c r="V3410" t="s">
        <v>262</v>
      </c>
      <c r="W3410" t="s">
        <v>261</v>
      </c>
      <c r="X3410" t="s">
        <v>262</v>
      </c>
      <c r="Y3410" t="s">
        <v>261</v>
      </c>
      <c r="Z3410" t="s">
        <v>409</v>
      </c>
      <c r="AA3410" t="s">
        <v>409</v>
      </c>
      <c r="AB3410" t="s">
        <v>409</v>
      </c>
      <c r="AC3410" t="s">
        <v>409</v>
      </c>
      <c r="AD3410" t="s">
        <v>261</v>
      </c>
      <c r="AH3410" t="s">
        <v>262</v>
      </c>
      <c r="AI3410" t="s">
        <v>262</v>
      </c>
      <c r="AJ3410" t="s">
        <v>261</v>
      </c>
      <c r="AK3410" t="s">
        <v>261</v>
      </c>
      <c r="AM3410" t="s">
        <v>262</v>
      </c>
      <c r="AN3410" t="s">
        <v>9317</v>
      </c>
    </row>
    <row r="3411" spans="1:40" x14ac:dyDescent="0.35">
      <c r="A3411">
        <v>6913570</v>
      </c>
      <c r="B3411" t="s">
        <v>9318</v>
      </c>
      <c r="C3411" t="str">
        <f>"9788021096240"</f>
        <v>9788021096240</v>
      </c>
      <c r="D3411" t="str">
        <f>"9788021096257"</f>
        <v>9788021096257</v>
      </c>
      <c r="E3411" t="s">
        <v>9180</v>
      </c>
      <c r="F3411" t="s">
        <v>9180</v>
      </c>
      <c r="G3411" s="1">
        <v>44013</v>
      </c>
      <c r="H3411" s="1">
        <v>44627</v>
      </c>
      <c r="I3411" t="s">
        <v>189</v>
      </c>
      <c r="L3411" t="s">
        <v>9319</v>
      </c>
    </row>
    <row r="3412" spans="1:40" x14ac:dyDescent="0.35">
      <c r="A3412">
        <v>6913571</v>
      </c>
      <c r="B3412" t="s">
        <v>9320</v>
      </c>
      <c r="C3412" t="str">
        <f>""</f>
        <v/>
      </c>
      <c r="D3412" t="str">
        <f>"9788021096318"</f>
        <v>9788021096318</v>
      </c>
      <c r="E3412" t="s">
        <v>9180</v>
      </c>
      <c r="F3412" t="s">
        <v>9180</v>
      </c>
      <c r="G3412" s="1">
        <v>44013</v>
      </c>
      <c r="H3412" s="1">
        <v>44627</v>
      </c>
      <c r="I3412" t="s">
        <v>189</v>
      </c>
      <c r="L3412" t="s">
        <v>9321</v>
      </c>
    </row>
    <row r="3413" spans="1:40" x14ac:dyDescent="0.35">
      <c r="A3413">
        <v>6913572</v>
      </c>
      <c r="B3413" t="s">
        <v>9322</v>
      </c>
      <c r="C3413" t="str">
        <f>""</f>
        <v/>
      </c>
      <c r="D3413" t="str">
        <f>"9788021096325"</f>
        <v>9788021096325</v>
      </c>
      <c r="E3413" t="s">
        <v>9180</v>
      </c>
      <c r="F3413" t="s">
        <v>9180</v>
      </c>
      <c r="G3413" s="1">
        <v>44013</v>
      </c>
      <c r="H3413" s="1">
        <v>44627</v>
      </c>
      <c r="I3413" t="s">
        <v>189</v>
      </c>
      <c r="L3413" t="s">
        <v>9323</v>
      </c>
    </row>
    <row r="3414" spans="1:40" x14ac:dyDescent="0.35">
      <c r="A3414">
        <v>6913573</v>
      </c>
      <c r="B3414" t="s">
        <v>9324</v>
      </c>
      <c r="C3414" t="str">
        <f>""</f>
        <v/>
      </c>
      <c r="D3414" t="str">
        <f>"9788021096271"</f>
        <v>9788021096271</v>
      </c>
      <c r="E3414" t="s">
        <v>9180</v>
      </c>
      <c r="F3414" t="s">
        <v>9180</v>
      </c>
      <c r="G3414" s="1">
        <v>44013</v>
      </c>
      <c r="H3414" s="1">
        <v>44627</v>
      </c>
      <c r="I3414" t="s">
        <v>189</v>
      </c>
      <c r="L3414" t="s">
        <v>9325</v>
      </c>
    </row>
    <row r="3415" spans="1:40" x14ac:dyDescent="0.35">
      <c r="A3415">
        <v>6913574</v>
      </c>
      <c r="B3415" t="s">
        <v>9326</v>
      </c>
      <c r="C3415" t="str">
        <f>"9788021096394"</f>
        <v>9788021096394</v>
      </c>
      <c r="D3415" t="str">
        <f>"9788021096400"</f>
        <v>9788021096400</v>
      </c>
      <c r="E3415" t="s">
        <v>9180</v>
      </c>
      <c r="F3415" t="s">
        <v>9180</v>
      </c>
      <c r="G3415" s="1">
        <v>44013</v>
      </c>
      <c r="H3415" s="1">
        <v>44627</v>
      </c>
      <c r="I3415" t="s">
        <v>189</v>
      </c>
      <c r="L3415" t="s">
        <v>9268</v>
      </c>
    </row>
    <row r="3416" spans="1:40" x14ac:dyDescent="0.35">
      <c r="A3416">
        <v>6913575</v>
      </c>
      <c r="B3416" t="s">
        <v>9327</v>
      </c>
      <c r="C3416" t="str">
        <f>""</f>
        <v/>
      </c>
      <c r="D3416" t="str">
        <f>"9788021096417"</f>
        <v>9788021096417</v>
      </c>
      <c r="E3416" t="s">
        <v>9180</v>
      </c>
      <c r="F3416" t="s">
        <v>9180</v>
      </c>
      <c r="G3416" s="1">
        <v>44013</v>
      </c>
      <c r="H3416" s="1">
        <v>44627</v>
      </c>
      <c r="I3416" t="s">
        <v>189</v>
      </c>
      <c r="L3416" t="s">
        <v>9328</v>
      </c>
    </row>
    <row r="3417" spans="1:40" x14ac:dyDescent="0.35">
      <c r="A3417">
        <v>6913576</v>
      </c>
      <c r="B3417" t="s">
        <v>9329</v>
      </c>
      <c r="C3417" t="str">
        <f>""</f>
        <v/>
      </c>
      <c r="D3417" t="str">
        <f>"9788021096431"</f>
        <v>9788021096431</v>
      </c>
      <c r="E3417" t="s">
        <v>9180</v>
      </c>
      <c r="F3417" t="s">
        <v>9180</v>
      </c>
      <c r="G3417" s="1">
        <v>43647</v>
      </c>
      <c r="H3417" s="1">
        <v>44627</v>
      </c>
      <c r="I3417" t="s">
        <v>189</v>
      </c>
      <c r="L3417" t="s">
        <v>9330</v>
      </c>
    </row>
    <row r="3418" spans="1:40" x14ac:dyDescent="0.35">
      <c r="A3418">
        <v>6913577</v>
      </c>
      <c r="B3418" t="s">
        <v>9331</v>
      </c>
      <c r="C3418" t="str">
        <f>"9788021096479"</f>
        <v>9788021096479</v>
      </c>
      <c r="D3418" t="str">
        <f>"9788021096486"</f>
        <v>9788021096486</v>
      </c>
      <c r="E3418" t="s">
        <v>9180</v>
      </c>
      <c r="F3418" t="s">
        <v>9180</v>
      </c>
      <c r="G3418" s="1">
        <v>44013</v>
      </c>
      <c r="H3418" s="1">
        <v>44627</v>
      </c>
      <c r="I3418" t="s">
        <v>189</v>
      </c>
      <c r="L3418" t="s">
        <v>9332</v>
      </c>
    </row>
    <row r="3419" spans="1:40" x14ac:dyDescent="0.35">
      <c r="A3419">
        <v>6913578</v>
      </c>
      <c r="B3419" t="s">
        <v>9333</v>
      </c>
      <c r="C3419" t="str">
        <f>"9788021096516"</f>
        <v>9788021096516</v>
      </c>
      <c r="D3419" t="str">
        <f>"9788021096523"</f>
        <v>9788021096523</v>
      </c>
      <c r="E3419" t="s">
        <v>9180</v>
      </c>
      <c r="F3419" t="s">
        <v>9180</v>
      </c>
      <c r="G3419" s="1">
        <v>44013</v>
      </c>
      <c r="H3419" s="1">
        <v>44627</v>
      </c>
      <c r="I3419" t="s">
        <v>189</v>
      </c>
      <c r="L3419" t="s">
        <v>9334</v>
      </c>
    </row>
    <row r="3420" spans="1:40" x14ac:dyDescent="0.35">
      <c r="A3420">
        <v>6913579</v>
      </c>
      <c r="B3420" t="s">
        <v>9335</v>
      </c>
      <c r="C3420" t="str">
        <f>""</f>
        <v/>
      </c>
      <c r="D3420" t="str">
        <f>"9788021096714"</f>
        <v>9788021096714</v>
      </c>
      <c r="E3420" t="s">
        <v>9180</v>
      </c>
      <c r="F3420" t="s">
        <v>9180</v>
      </c>
      <c r="G3420" s="1">
        <v>44013</v>
      </c>
      <c r="H3420" s="1">
        <v>44627</v>
      </c>
      <c r="I3420" t="s">
        <v>189</v>
      </c>
      <c r="L3420" t="s">
        <v>9273</v>
      </c>
    </row>
    <row r="3421" spans="1:40" x14ac:dyDescent="0.35">
      <c r="A3421">
        <v>6913580</v>
      </c>
      <c r="B3421" t="s">
        <v>9336</v>
      </c>
      <c r="C3421" t="str">
        <f>""</f>
        <v/>
      </c>
      <c r="D3421" t="str">
        <f>"9788021096745"</f>
        <v>9788021096745</v>
      </c>
      <c r="E3421" t="s">
        <v>9180</v>
      </c>
      <c r="F3421" t="s">
        <v>9180</v>
      </c>
      <c r="G3421" s="1">
        <v>43647</v>
      </c>
      <c r="H3421" s="1">
        <v>44627</v>
      </c>
      <c r="I3421" t="s">
        <v>189</v>
      </c>
      <c r="L3421" t="s">
        <v>9330</v>
      </c>
      <c r="M3421" t="s">
        <v>323</v>
      </c>
      <c r="Q3421" t="s">
        <v>260</v>
      </c>
      <c r="R3421" t="s">
        <v>261</v>
      </c>
      <c r="S3421" t="s">
        <v>261</v>
      </c>
      <c r="T3421" t="s">
        <v>261</v>
      </c>
      <c r="U3421" t="s">
        <v>262</v>
      </c>
      <c r="V3421" t="s">
        <v>262</v>
      </c>
      <c r="W3421" t="s">
        <v>261</v>
      </c>
      <c r="X3421" t="s">
        <v>262</v>
      </c>
      <c r="Y3421" t="s">
        <v>261</v>
      </c>
      <c r="Z3421" t="s">
        <v>409</v>
      </c>
      <c r="AA3421" t="s">
        <v>409</v>
      </c>
      <c r="AB3421" t="s">
        <v>409</v>
      </c>
      <c r="AC3421" t="s">
        <v>409</v>
      </c>
      <c r="AD3421" t="s">
        <v>261</v>
      </c>
      <c r="AH3421" t="s">
        <v>262</v>
      </c>
      <c r="AI3421" t="s">
        <v>262</v>
      </c>
      <c r="AJ3421" t="s">
        <v>261</v>
      </c>
      <c r="AK3421" t="s">
        <v>261</v>
      </c>
      <c r="AM3421" t="s">
        <v>262</v>
      </c>
      <c r="AN3421" t="s">
        <v>9337</v>
      </c>
    </row>
    <row r="3422" spans="1:40" x14ac:dyDescent="0.35">
      <c r="A3422">
        <v>6913581</v>
      </c>
      <c r="B3422" t="s">
        <v>9338</v>
      </c>
      <c r="C3422" t="str">
        <f>""</f>
        <v/>
      </c>
      <c r="D3422" t="str">
        <f>"9788021096752"</f>
        <v>9788021096752</v>
      </c>
      <c r="E3422" t="s">
        <v>9180</v>
      </c>
      <c r="F3422" t="s">
        <v>9180</v>
      </c>
      <c r="G3422" s="1">
        <v>43647</v>
      </c>
      <c r="H3422" s="1">
        <v>44627</v>
      </c>
      <c r="I3422" t="s">
        <v>189</v>
      </c>
      <c r="L3422" t="s">
        <v>9339</v>
      </c>
      <c r="M3422" t="s">
        <v>323</v>
      </c>
      <c r="Q3422" t="s">
        <v>260</v>
      </c>
      <c r="R3422" t="s">
        <v>261</v>
      </c>
      <c r="S3422" t="s">
        <v>261</v>
      </c>
      <c r="T3422" t="s">
        <v>261</v>
      </c>
      <c r="U3422" t="s">
        <v>262</v>
      </c>
      <c r="V3422" t="s">
        <v>262</v>
      </c>
      <c r="W3422" t="s">
        <v>261</v>
      </c>
      <c r="X3422" t="s">
        <v>262</v>
      </c>
      <c r="Y3422" t="s">
        <v>261</v>
      </c>
      <c r="Z3422" t="s">
        <v>409</v>
      </c>
      <c r="AA3422" t="s">
        <v>409</v>
      </c>
      <c r="AB3422" t="s">
        <v>409</v>
      </c>
      <c r="AC3422" t="s">
        <v>409</v>
      </c>
      <c r="AD3422" t="s">
        <v>261</v>
      </c>
      <c r="AH3422" t="s">
        <v>262</v>
      </c>
      <c r="AI3422" t="s">
        <v>262</v>
      </c>
      <c r="AJ3422" t="s">
        <v>261</v>
      </c>
      <c r="AK3422" t="s">
        <v>261</v>
      </c>
      <c r="AM3422" t="s">
        <v>262</v>
      </c>
      <c r="AN3422" t="s">
        <v>9340</v>
      </c>
    </row>
    <row r="3423" spans="1:40" x14ac:dyDescent="0.35">
      <c r="A3423">
        <v>6913582</v>
      </c>
      <c r="B3423" t="s">
        <v>9341</v>
      </c>
      <c r="C3423" t="str">
        <f>""</f>
        <v/>
      </c>
      <c r="D3423" t="str">
        <f>"9788021096783"</f>
        <v>9788021096783</v>
      </c>
      <c r="E3423" t="s">
        <v>9180</v>
      </c>
      <c r="F3423" t="s">
        <v>9180</v>
      </c>
      <c r="G3423" s="1">
        <v>43647</v>
      </c>
      <c r="H3423" s="1">
        <v>44627</v>
      </c>
      <c r="I3423" t="s">
        <v>189</v>
      </c>
      <c r="L3423" t="s">
        <v>98</v>
      </c>
    </row>
    <row r="3424" spans="1:40" x14ac:dyDescent="0.35">
      <c r="A3424">
        <v>6913583</v>
      </c>
      <c r="B3424" t="s">
        <v>9342</v>
      </c>
      <c r="C3424" t="str">
        <f>"9788021096875"</f>
        <v>9788021096875</v>
      </c>
      <c r="D3424" t="str">
        <f>"9788021096882"</f>
        <v>9788021096882</v>
      </c>
      <c r="E3424" t="s">
        <v>9180</v>
      </c>
      <c r="F3424" t="s">
        <v>9180</v>
      </c>
      <c r="G3424" s="1">
        <v>44013</v>
      </c>
      <c r="H3424" s="1">
        <v>44627</v>
      </c>
      <c r="I3424" t="s">
        <v>189</v>
      </c>
      <c r="L3424" t="s">
        <v>9343</v>
      </c>
    </row>
    <row r="3425" spans="1:40" x14ac:dyDescent="0.35">
      <c r="A3425">
        <v>6913584</v>
      </c>
      <c r="B3425" t="s">
        <v>9344</v>
      </c>
      <c r="C3425" t="str">
        <f>""</f>
        <v/>
      </c>
      <c r="D3425" t="str">
        <f>"9788021096905"</f>
        <v>9788021096905</v>
      </c>
      <c r="E3425" t="s">
        <v>9180</v>
      </c>
      <c r="F3425" t="s">
        <v>9180</v>
      </c>
      <c r="G3425" s="1">
        <v>44013</v>
      </c>
      <c r="H3425" s="1">
        <v>44627</v>
      </c>
      <c r="I3425" t="s">
        <v>189</v>
      </c>
      <c r="K3425" t="s">
        <v>9240</v>
      </c>
      <c r="L3425" t="s">
        <v>9241</v>
      </c>
    </row>
    <row r="3426" spans="1:40" x14ac:dyDescent="0.35">
      <c r="A3426">
        <v>6913585</v>
      </c>
      <c r="B3426" t="s">
        <v>9345</v>
      </c>
      <c r="C3426" t="str">
        <f>"9788021096660"</f>
        <v>9788021096660</v>
      </c>
      <c r="D3426" t="str">
        <f>"9788021096929"</f>
        <v>9788021096929</v>
      </c>
      <c r="E3426" t="s">
        <v>9180</v>
      </c>
      <c r="F3426" t="s">
        <v>9180</v>
      </c>
      <c r="G3426" s="1">
        <v>44013</v>
      </c>
      <c r="H3426" s="1">
        <v>44627</v>
      </c>
      <c r="I3426" t="s">
        <v>189</v>
      </c>
      <c r="L3426" t="s">
        <v>9346</v>
      </c>
    </row>
    <row r="3427" spans="1:40" x14ac:dyDescent="0.35">
      <c r="A3427">
        <v>6913586</v>
      </c>
      <c r="B3427" t="s">
        <v>9347</v>
      </c>
      <c r="C3427" t="str">
        <f>"9788021096936"</f>
        <v>9788021096936</v>
      </c>
      <c r="D3427" t="str">
        <f>"9788021096943"</f>
        <v>9788021096943</v>
      </c>
      <c r="E3427" t="s">
        <v>9180</v>
      </c>
      <c r="F3427" t="s">
        <v>9180</v>
      </c>
      <c r="G3427" s="1">
        <v>44013</v>
      </c>
      <c r="H3427" s="1">
        <v>44627</v>
      </c>
      <c r="I3427" t="s">
        <v>189</v>
      </c>
      <c r="L3427" t="s">
        <v>9348</v>
      </c>
    </row>
    <row r="3428" spans="1:40" x14ac:dyDescent="0.35">
      <c r="A3428">
        <v>6913587</v>
      </c>
      <c r="B3428" t="s">
        <v>9349</v>
      </c>
      <c r="C3428" t="str">
        <f>"9788021097032"</f>
        <v>9788021097032</v>
      </c>
      <c r="D3428" t="str">
        <f>"9788021097049"</f>
        <v>9788021097049</v>
      </c>
      <c r="E3428" t="s">
        <v>9180</v>
      </c>
      <c r="F3428" t="s">
        <v>9180</v>
      </c>
      <c r="G3428" s="1">
        <v>44013</v>
      </c>
      <c r="H3428" s="1">
        <v>44627</v>
      </c>
      <c r="I3428" t="s">
        <v>189</v>
      </c>
      <c r="L3428" t="s">
        <v>9350</v>
      </c>
    </row>
    <row r="3429" spans="1:40" x14ac:dyDescent="0.35">
      <c r="A3429">
        <v>6913588</v>
      </c>
      <c r="B3429" t="s">
        <v>9351</v>
      </c>
      <c r="C3429" t="str">
        <f>"9788021097087"</f>
        <v>9788021097087</v>
      </c>
      <c r="D3429" t="str">
        <f>"9788021097117"</f>
        <v>9788021097117</v>
      </c>
      <c r="E3429" t="s">
        <v>9180</v>
      </c>
      <c r="F3429" t="s">
        <v>9180</v>
      </c>
      <c r="G3429" s="1">
        <v>44013</v>
      </c>
      <c r="H3429" s="1">
        <v>44627</v>
      </c>
      <c r="I3429" t="s">
        <v>189</v>
      </c>
      <c r="L3429" t="s">
        <v>9352</v>
      </c>
    </row>
    <row r="3430" spans="1:40" x14ac:dyDescent="0.35">
      <c r="A3430">
        <v>6913589</v>
      </c>
      <c r="B3430" t="s">
        <v>9353</v>
      </c>
      <c r="C3430" t="str">
        <f>"9788021097490"</f>
        <v>9788021097490</v>
      </c>
      <c r="D3430" t="str">
        <f>"9788021097308"</f>
        <v>9788021097308</v>
      </c>
      <c r="E3430" t="s">
        <v>9180</v>
      </c>
      <c r="F3430" t="s">
        <v>9180</v>
      </c>
      <c r="G3430" s="1">
        <v>44013</v>
      </c>
      <c r="H3430" s="1">
        <v>44627</v>
      </c>
      <c r="I3430" t="s">
        <v>189</v>
      </c>
      <c r="L3430" t="s">
        <v>9354</v>
      </c>
    </row>
    <row r="3431" spans="1:40" x14ac:dyDescent="0.35">
      <c r="A3431">
        <v>6913590</v>
      </c>
      <c r="B3431" t="s">
        <v>9355</v>
      </c>
      <c r="C3431" t="str">
        <f>"9788021097414"</f>
        <v>9788021097414</v>
      </c>
      <c r="D3431" t="str">
        <f>"9788021097421"</f>
        <v>9788021097421</v>
      </c>
      <c r="E3431" t="s">
        <v>9180</v>
      </c>
      <c r="F3431" t="s">
        <v>9180</v>
      </c>
      <c r="G3431" s="1">
        <v>44013</v>
      </c>
      <c r="H3431" s="1">
        <v>44627</v>
      </c>
      <c r="I3431" t="s">
        <v>189</v>
      </c>
      <c r="L3431" t="s">
        <v>9356</v>
      </c>
      <c r="M3431" t="s">
        <v>282</v>
      </c>
      <c r="Q3431" t="s">
        <v>260</v>
      </c>
      <c r="R3431" t="s">
        <v>261</v>
      </c>
      <c r="S3431" t="s">
        <v>261</v>
      </c>
      <c r="T3431" t="s">
        <v>261</v>
      </c>
      <c r="U3431" t="s">
        <v>262</v>
      </c>
      <c r="V3431" t="s">
        <v>262</v>
      </c>
      <c r="W3431" t="s">
        <v>261</v>
      </c>
      <c r="X3431" t="s">
        <v>262</v>
      </c>
      <c r="Y3431" t="s">
        <v>261</v>
      </c>
      <c r="Z3431" t="s">
        <v>409</v>
      </c>
      <c r="AA3431" t="s">
        <v>409</v>
      </c>
      <c r="AB3431" t="s">
        <v>409</v>
      </c>
      <c r="AC3431" t="s">
        <v>409</v>
      </c>
      <c r="AD3431" t="s">
        <v>261</v>
      </c>
      <c r="AH3431" t="s">
        <v>262</v>
      </c>
      <c r="AI3431" t="s">
        <v>262</v>
      </c>
      <c r="AJ3431" t="s">
        <v>261</v>
      </c>
      <c r="AK3431" t="s">
        <v>261</v>
      </c>
      <c r="AM3431" t="s">
        <v>262</v>
      </c>
      <c r="AN3431" t="s">
        <v>9357</v>
      </c>
    </row>
    <row r="3432" spans="1:40" x14ac:dyDescent="0.35">
      <c r="A3432">
        <v>6913591</v>
      </c>
      <c r="B3432" t="s">
        <v>9358</v>
      </c>
      <c r="C3432" t="str">
        <f>"9788021097438"</f>
        <v>9788021097438</v>
      </c>
      <c r="D3432" t="str">
        <f>"9788021097445"</f>
        <v>9788021097445</v>
      </c>
      <c r="E3432" t="s">
        <v>9180</v>
      </c>
      <c r="F3432" t="s">
        <v>9180</v>
      </c>
      <c r="G3432" s="1">
        <v>44378</v>
      </c>
      <c r="H3432" s="1">
        <v>44627</v>
      </c>
      <c r="I3432" t="s">
        <v>189</v>
      </c>
      <c r="K3432" t="s">
        <v>9359</v>
      </c>
      <c r="L3432" t="s">
        <v>9360</v>
      </c>
    </row>
    <row r="3433" spans="1:40" x14ac:dyDescent="0.35">
      <c r="A3433">
        <v>6913592</v>
      </c>
      <c r="B3433" t="s">
        <v>9361</v>
      </c>
      <c r="C3433" t="str">
        <f>"9788021097452"</f>
        <v>9788021097452</v>
      </c>
      <c r="D3433" t="str">
        <f>"9788021097469"</f>
        <v>9788021097469</v>
      </c>
      <c r="E3433" t="s">
        <v>9180</v>
      </c>
      <c r="F3433" t="s">
        <v>9180</v>
      </c>
      <c r="G3433" s="1">
        <v>44013</v>
      </c>
      <c r="H3433" s="1">
        <v>44627</v>
      </c>
      <c r="I3433" t="s">
        <v>189</v>
      </c>
      <c r="L3433" t="s">
        <v>99</v>
      </c>
    </row>
    <row r="3434" spans="1:40" x14ac:dyDescent="0.35">
      <c r="A3434">
        <v>6913593</v>
      </c>
      <c r="B3434" t="s">
        <v>9362</v>
      </c>
      <c r="C3434" t="str">
        <f>"9788021097537"</f>
        <v>9788021097537</v>
      </c>
      <c r="D3434" t="str">
        <f>"9788021097544"</f>
        <v>9788021097544</v>
      </c>
      <c r="E3434" t="s">
        <v>9180</v>
      </c>
      <c r="F3434" t="s">
        <v>9180</v>
      </c>
      <c r="G3434" s="1">
        <v>44013</v>
      </c>
      <c r="H3434" s="1">
        <v>44627</v>
      </c>
      <c r="I3434" t="s">
        <v>189</v>
      </c>
      <c r="K3434" t="s">
        <v>9218</v>
      </c>
      <c r="L3434" t="s">
        <v>103</v>
      </c>
    </row>
    <row r="3435" spans="1:40" x14ac:dyDescent="0.35">
      <c r="A3435">
        <v>6913594</v>
      </c>
      <c r="B3435" t="s">
        <v>9363</v>
      </c>
      <c r="C3435" t="str">
        <f>"9788021097575"</f>
        <v>9788021097575</v>
      </c>
      <c r="D3435" t="str">
        <f>"9788021097582"</f>
        <v>9788021097582</v>
      </c>
      <c r="E3435" t="s">
        <v>9180</v>
      </c>
      <c r="F3435" t="s">
        <v>9180</v>
      </c>
      <c r="G3435" s="1">
        <v>44378</v>
      </c>
      <c r="H3435" s="1">
        <v>44627</v>
      </c>
      <c r="I3435" t="s">
        <v>189</v>
      </c>
      <c r="L3435" t="s">
        <v>109</v>
      </c>
    </row>
    <row r="3436" spans="1:40" x14ac:dyDescent="0.35">
      <c r="A3436">
        <v>6913595</v>
      </c>
      <c r="B3436" t="s">
        <v>9364</v>
      </c>
      <c r="C3436" t="str">
        <f>"9788021097605"</f>
        <v>9788021097605</v>
      </c>
      <c r="D3436" t="str">
        <f>"9788021097612"</f>
        <v>9788021097612</v>
      </c>
      <c r="E3436" t="s">
        <v>9180</v>
      </c>
      <c r="F3436" t="s">
        <v>9180</v>
      </c>
      <c r="G3436" s="1">
        <v>44013</v>
      </c>
      <c r="H3436" s="1">
        <v>44627</v>
      </c>
      <c r="I3436" t="s">
        <v>189</v>
      </c>
      <c r="L3436" t="s">
        <v>9365</v>
      </c>
      <c r="M3436" t="s">
        <v>578</v>
      </c>
      <c r="Q3436" t="s">
        <v>260</v>
      </c>
      <c r="R3436" t="s">
        <v>261</v>
      </c>
      <c r="S3436" t="s">
        <v>261</v>
      </c>
      <c r="T3436" t="s">
        <v>261</v>
      </c>
      <c r="U3436" t="s">
        <v>262</v>
      </c>
      <c r="V3436" t="s">
        <v>262</v>
      </c>
      <c r="W3436" t="s">
        <v>261</v>
      </c>
      <c r="X3436" t="s">
        <v>262</v>
      </c>
      <c r="Y3436" t="s">
        <v>261</v>
      </c>
      <c r="Z3436" t="s">
        <v>409</v>
      </c>
      <c r="AA3436" t="s">
        <v>409</v>
      </c>
      <c r="AB3436" t="s">
        <v>409</v>
      </c>
      <c r="AC3436" t="s">
        <v>409</v>
      </c>
      <c r="AD3436" t="s">
        <v>261</v>
      </c>
      <c r="AH3436" t="s">
        <v>262</v>
      </c>
      <c r="AI3436" t="s">
        <v>262</v>
      </c>
      <c r="AJ3436" t="s">
        <v>261</v>
      </c>
      <c r="AK3436" t="s">
        <v>261</v>
      </c>
      <c r="AM3436" t="s">
        <v>262</v>
      </c>
      <c r="AN3436" t="s">
        <v>9366</v>
      </c>
    </row>
    <row r="3437" spans="1:40" x14ac:dyDescent="0.35">
      <c r="A3437">
        <v>6913596</v>
      </c>
      <c r="B3437" t="s">
        <v>9367</v>
      </c>
      <c r="C3437" t="str">
        <f>"9788021097629"</f>
        <v>9788021097629</v>
      </c>
      <c r="D3437" t="str">
        <f>"9788021097636"</f>
        <v>9788021097636</v>
      </c>
      <c r="E3437" t="s">
        <v>9180</v>
      </c>
      <c r="F3437" t="s">
        <v>9180</v>
      </c>
      <c r="G3437" s="1">
        <v>44378</v>
      </c>
      <c r="H3437" s="1">
        <v>44627</v>
      </c>
      <c r="I3437" t="s">
        <v>189</v>
      </c>
      <c r="K3437" t="s">
        <v>9368</v>
      </c>
      <c r="L3437" t="s">
        <v>105</v>
      </c>
    </row>
    <row r="3438" spans="1:40" x14ac:dyDescent="0.35">
      <c r="A3438">
        <v>6913597</v>
      </c>
      <c r="B3438" t="s">
        <v>9369</v>
      </c>
      <c r="C3438" t="str">
        <f>"9788021097667"</f>
        <v>9788021097667</v>
      </c>
      <c r="D3438" t="str">
        <f>"9788021097674"</f>
        <v>9788021097674</v>
      </c>
      <c r="E3438" t="s">
        <v>9180</v>
      </c>
      <c r="F3438" t="s">
        <v>9180</v>
      </c>
      <c r="G3438" s="1">
        <v>44013</v>
      </c>
      <c r="H3438" s="1">
        <v>44627</v>
      </c>
      <c r="I3438" t="s">
        <v>189</v>
      </c>
      <c r="L3438" t="s">
        <v>9370</v>
      </c>
    </row>
    <row r="3439" spans="1:40" x14ac:dyDescent="0.35">
      <c r="A3439">
        <v>6913598</v>
      </c>
      <c r="B3439" t="s">
        <v>9371</v>
      </c>
      <c r="C3439" t="str">
        <f>"9788021031036"</f>
        <v>9788021031036</v>
      </c>
      <c r="D3439" t="str">
        <f>"9788021097698"</f>
        <v>9788021097698</v>
      </c>
      <c r="E3439" t="s">
        <v>9180</v>
      </c>
      <c r="F3439" t="s">
        <v>9180</v>
      </c>
      <c r="G3439" s="1">
        <v>44378</v>
      </c>
      <c r="H3439" s="1">
        <v>44627</v>
      </c>
      <c r="I3439" t="s">
        <v>189</v>
      </c>
      <c r="L3439" t="s">
        <v>9343</v>
      </c>
      <c r="M3439" t="s">
        <v>964</v>
      </c>
      <c r="Q3439" t="s">
        <v>9182</v>
      </c>
      <c r="R3439" t="s">
        <v>261</v>
      </c>
      <c r="S3439" t="s">
        <v>261</v>
      </c>
      <c r="T3439" t="s">
        <v>261</v>
      </c>
      <c r="U3439" t="s">
        <v>262</v>
      </c>
      <c r="V3439" t="s">
        <v>262</v>
      </c>
      <c r="W3439" t="s">
        <v>261</v>
      </c>
      <c r="X3439" t="s">
        <v>262</v>
      </c>
      <c r="Y3439" t="s">
        <v>261</v>
      </c>
      <c r="Z3439" t="s">
        <v>409</v>
      </c>
      <c r="AA3439" t="s">
        <v>409</v>
      </c>
      <c r="AB3439" t="s">
        <v>409</v>
      </c>
      <c r="AC3439" t="s">
        <v>409</v>
      </c>
      <c r="AD3439" t="s">
        <v>261</v>
      </c>
      <c r="AH3439" t="s">
        <v>262</v>
      </c>
      <c r="AI3439" t="s">
        <v>262</v>
      </c>
      <c r="AJ3439" t="s">
        <v>261</v>
      </c>
      <c r="AK3439" t="s">
        <v>261</v>
      </c>
      <c r="AM3439" t="s">
        <v>262</v>
      </c>
      <c r="AN3439" t="s">
        <v>9372</v>
      </c>
    </row>
    <row r="3440" spans="1:40" x14ac:dyDescent="0.35">
      <c r="A3440">
        <v>6913599</v>
      </c>
      <c r="B3440" t="s">
        <v>9373</v>
      </c>
      <c r="C3440" t="str">
        <f>""</f>
        <v/>
      </c>
      <c r="D3440" t="str">
        <f>"9788021097810"</f>
        <v>9788021097810</v>
      </c>
      <c r="E3440" t="s">
        <v>9180</v>
      </c>
      <c r="F3440" t="s">
        <v>9180</v>
      </c>
      <c r="G3440" s="1">
        <v>44013</v>
      </c>
      <c r="H3440" s="1">
        <v>44627</v>
      </c>
      <c r="I3440" t="s">
        <v>189</v>
      </c>
      <c r="K3440" t="s">
        <v>9240</v>
      </c>
      <c r="L3440" t="s">
        <v>9374</v>
      </c>
    </row>
    <row r="3441" spans="1:40" x14ac:dyDescent="0.35">
      <c r="A3441">
        <v>6913600</v>
      </c>
      <c r="B3441" t="s">
        <v>9375</v>
      </c>
      <c r="C3441" t="str">
        <f>""</f>
        <v/>
      </c>
      <c r="D3441" t="str">
        <f>"9788021097872"</f>
        <v>9788021097872</v>
      </c>
      <c r="E3441" t="s">
        <v>9180</v>
      </c>
      <c r="F3441" t="s">
        <v>9180</v>
      </c>
      <c r="G3441" s="1">
        <v>44378</v>
      </c>
      <c r="H3441" s="1">
        <v>44627</v>
      </c>
      <c r="I3441" t="s">
        <v>189</v>
      </c>
      <c r="L3441" t="s">
        <v>9376</v>
      </c>
    </row>
    <row r="3442" spans="1:40" x14ac:dyDescent="0.35">
      <c r="A3442">
        <v>6913601</v>
      </c>
      <c r="B3442" t="s">
        <v>9377</v>
      </c>
      <c r="C3442" t="str">
        <f>""</f>
        <v/>
      </c>
      <c r="D3442" t="str">
        <f>"9788021097889"</f>
        <v>9788021097889</v>
      </c>
      <c r="E3442" t="s">
        <v>9180</v>
      </c>
      <c r="F3442" t="s">
        <v>9180</v>
      </c>
      <c r="G3442" s="1">
        <v>44013</v>
      </c>
      <c r="H3442" s="1">
        <v>44627</v>
      </c>
      <c r="I3442" t="s">
        <v>189</v>
      </c>
      <c r="L3442" t="s">
        <v>9185</v>
      </c>
      <c r="M3442" t="s">
        <v>339</v>
      </c>
      <c r="Q3442" t="s">
        <v>9182</v>
      </c>
      <c r="R3442" t="s">
        <v>261</v>
      </c>
      <c r="S3442" t="s">
        <v>261</v>
      </c>
      <c r="T3442" t="s">
        <v>261</v>
      </c>
      <c r="U3442" t="s">
        <v>262</v>
      </c>
      <c r="V3442" t="s">
        <v>262</v>
      </c>
      <c r="W3442" t="s">
        <v>261</v>
      </c>
      <c r="X3442" t="s">
        <v>262</v>
      </c>
      <c r="Y3442" t="s">
        <v>261</v>
      </c>
      <c r="Z3442" t="s">
        <v>409</v>
      </c>
      <c r="AA3442" t="s">
        <v>409</v>
      </c>
      <c r="AB3442" t="s">
        <v>409</v>
      </c>
      <c r="AC3442" t="s">
        <v>409</v>
      </c>
      <c r="AD3442" t="s">
        <v>261</v>
      </c>
      <c r="AH3442" t="s">
        <v>262</v>
      </c>
      <c r="AI3442" t="s">
        <v>262</v>
      </c>
      <c r="AJ3442" t="s">
        <v>261</v>
      </c>
      <c r="AK3442" t="s">
        <v>261</v>
      </c>
      <c r="AM3442" t="s">
        <v>262</v>
      </c>
      <c r="AN3442" t="s">
        <v>9378</v>
      </c>
    </row>
    <row r="3443" spans="1:40" x14ac:dyDescent="0.35">
      <c r="A3443">
        <v>6913602</v>
      </c>
      <c r="B3443" t="s">
        <v>9379</v>
      </c>
      <c r="C3443" t="str">
        <f>"9788021097988"</f>
        <v>9788021097988</v>
      </c>
      <c r="D3443" t="str">
        <f>"9788021097995"</f>
        <v>9788021097995</v>
      </c>
      <c r="E3443" t="s">
        <v>9180</v>
      </c>
      <c r="F3443" t="s">
        <v>9180</v>
      </c>
      <c r="G3443" s="1">
        <v>44378</v>
      </c>
      <c r="H3443" s="1">
        <v>44627</v>
      </c>
      <c r="I3443" t="s">
        <v>189</v>
      </c>
      <c r="K3443" t="s">
        <v>9380</v>
      </c>
      <c r="L3443" t="s">
        <v>9381</v>
      </c>
      <c r="M3443" t="s">
        <v>676</v>
      </c>
      <c r="Q3443" t="s">
        <v>6636</v>
      </c>
    </row>
    <row r="3444" spans="1:40" x14ac:dyDescent="0.35">
      <c r="A3444">
        <v>6913603</v>
      </c>
      <c r="B3444" t="s">
        <v>9382</v>
      </c>
      <c r="C3444" t="str">
        <f>"9788021098022"</f>
        <v>9788021098022</v>
      </c>
      <c r="D3444" t="str">
        <f>"9788021098039"</f>
        <v>9788021098039</v>
      </c>
      <c r="E3444" t="s">
        <v>9180</v>
      </c>
      <c r="F3444" t="s">
        <v>9180</v>
      </c>
      <c r="G3444" s="1">
        <v>44013</v>
      </c>
      <c r="H3444" s="1">
        <v>44627</v>
      </c>
      <c r="I3444" t="s">
        <v>189</v>
      </c>
      <c r="K3444" t="s">
        <v>9383</v>
      </c>
      <c r="L3444" t="s">
        <v>104</v>
      </c>
      <c r="M3444" t="s">
        <v>3181</v>
      </c>
      <c r="Q3444" t="s">
        <v>260</v>
      </c>
      <c r="R3444" t="s">
        <v>261</v>
      </c>
      <c r="S3444" t="s">
        <v>261</v>
      </c>
      <c r="T3444" t="s">
        <v>261</v>
      </c>
      <c r="U3444" t="s">
        <v>262</v>
      </c>
      <c r="V3444" t="s">
        <v>262</v>
      </c>
      <c r="W3444" t="s">
        <v>261</v>
      </c>
      <c r="X3444" t="s">
        <v>262</v>
      </c>
      <c r="Y3444" t="s">
        <v>261</v>
      </c>
      <c r="Z3444" t="s">
        <v>409</v>
      </c>
      <c r="AA3444" t="s">
        <v>409</v>
      </c>
      <c r="AB3444" t="s">
        <v>409</v>
      </c>
      <c r="AC3444" t="s">
        <v>409</v>
      </c>
      <c r="AD3444" t="s">
        <v>261</v>
      </c>
      <c r="AH3444" t="s">
        <v>262</v>
      </c>
      <c r="AI3444" t="s">
        <v>262</v>
      </c>
      <c r="AJ3444" t="s">
        <v>261</v>
      </c>
      <c r="AK3444" t="s">
        <v>261</v>
      </c>
      <c r="AM3444" t="s">
        <v>262</v>
      </c>
      <c r="AN3444" t="s">
        <v>9384</v>
      </c>
    </row>
    <row r="3445" spans="1:40" x14ac:dyDescent="0.35">
      <c r="A3445">
        <v>6913604</v>
      </c>
      <c r="B3445" t="s">
        <v>9385</v>
      </c>
      <c r="C3445" t="str">
        <f>"9788021098091"</f>
        <v>9788021098091</v>
      </c>
      <c r="D3445" t="str">
        <f>"9788021098107"</f>
        <v>9788021098107</v>
      </c>
      <c r="E3445" t="s">
        <v>9180</v>
      </c>
      <c r="F3445" t="s">
        <v>9180</v>
      </c>
      <c r="G3445" s="1">
        <v>44378</v>
      </c>
      <c r="H3445" s="1">
        <v>44627</v>
      </c>
      <c r="I3445" t="s">
        <v>189</v>
      </c>
      <c r="K3445" t="s">
        <v>9386</v>
      </c>
      <c r="L3445" t="s">
        <v>9387</v>
      </c>
      <c r="M3445" t="s">
        <v>323</v>
      </c>
      <c r="Q3445" t="s">
        <v>9182</v>
      </c>
      <c r="R3445" t="s">
        <v>261</v>
      </c>
      <c r="S3445" t="s">
        <v>261</v>
      </c>
      <c r="T3445" t="s">
        <v>261</v>
      </c>
      <c r="U3445" t="s">
        <v>262</v>
      </c>
      <c r="V3445" t="s">
        <v>262</v>
      </c>
      <c r="W3445" t="s">
        <v>261</v>
      </c>
      <c r="X3445" t="s">
        <v>262</v>
      </c>
      <c r="Y3445" t="s">
        <v>261</v>
      </c>
      <c r="Z3445" t="s">
        <v>409</v>
      </c>
      <c r="AA3445" t="s">
        <v>409</v>
      </c>
      <c r="AB3445" t="s">
        <v>409</v>
      </c>
      <c r="AC3445" t="s">
        <v>409</v>
      </c>
      <c r="AD3445" t="s">
        <v>261</v>
      </c>
      <c r="AH3445" t="s">
        <v>262</v>
      </c>
      <c r="AI3445" t="s">
        <v>262</v>
      </c>
      <c r="AJ3445" t="s">
        <v>261</v>
      </c>
      <c r="AK3445" t="s">
        <v>261</v>
      </c>
      <c r="AM3445" t="s">
        <v>262</v>
      </c>
      <c r="AN3445" t="s">
        <v>9388</v>
      </c>
    </row>
    <row r="3446" spans="1:40" x14ac:dyDescent="0.35">
      <c r="A3446">
        <v>6913605</v>
      </c>
      <c r="B3446" t="s">
        <v>9389</v>
      </c>
      <c r="C3446" t="str">
        <f>"9788021098183"</f>
        <v>9788021098183</v>
      </c>
      <c r="D3446" t="str">
        <f>"9788021098190"</f>
        <v>9788021098190</v>
      </c>
      <c r="E3446" t="s">
        <v>9180</v>
      </c>
      <c r="F3446" t="s">
        <v>9180</v>
      </c>
      <c r="G3446" s="1">
        <v>44013</v>
      </c>
      <c r="H3446" s="1">
        <v>44627</v>
      </c>
      <c r="I3446" t="s">
        <v>189</v>
      </c>
      <c r="L3446" t="s">
        <v>9390</v>
      </c>
    </row>
    <row r="3447" spans="1:40" x14ac:dyDescent="0.35">
      <c r="A3447">
        <v>6913606</v>
      </c>
      <c r="B3447" t="s">
        <v>9391</v>
      </c>
      <c r="C3447" t="str">
        <f>"9788021098213"</f>
        <v>9788021098213</v>
      </c>
      <c r="D3447" t="str">
        <f>"9788021098220"</f>
        <v>9788021098220</v>
      </c>
      <c r="E3447" t="s">
        <v>9180</v>
      </c>
      <c r="F3447" t="s">
        <v>9180</v>
      </c>
      <c r="G3447" s="1">
        <v>44013</v>
      </c>
      <c r="H3447" s="1">
        <v>44627</v>
      </c>
      <c r="I3447" t="s">
        <v>189</v>
      </c>
      <c r="L3447" t="s">
        <v>9275</v>
      </c>
    </row>
    <row r="3448" spans="1:40" x14ac:dyDescent="0.35">
      <c r="A3448">
        <v>6913607</v>
      </c>
      <c r="B3448" t="s">
        <v>9392</v>
      </c>
      <c r="C3448" t="str">
        <f>""</f>
        <v/>
      </c>
      <c r="D3448" t="str">
        <f>"9788021098305"</f>
        <v>9788021098305</v>
      </c>
      <c r="E3448" t="s">
        <v>9180</v>
      </c>
      <c r="F3448" t="s">
        <v>9180</v>
      </c>
      <c r="G3448" s="1">
        <v>44013</v>
      </c>
      <c r="H3448" s="1">
        <v>44627</v>
      </c>
      <c r="I3448" t="s">
        <v>189</v>
      </c>
      <c r="L3448" t="s">
        <v>9339</v>
      </c>
    </row>
    <row r="3449" spans="1:40" x14ac:dyDescent="0.35">
      <c r="A3449">
        <v>6913608</v>
      </c>
      <c r="B3449" t="s">
        <v>9393</v>
      </c>
      <c r="C3449" t="str">
        <f>""</f>
        <v/>
      </c>
      <c r="D3449" t="str">
        <f>"9788021098312"</f>
        <v>9788021098312</v>
      </c>
      <c r="E3449" t="s">
        <v>9180</v>
      </c>
      <c r="F3449" t="s">
        <v>9180</v>
      </c>
      <c r="G3449" s="1">
        <v>44013</v>
      </c>
      <c r="H3449" s="1">
        <v>44627</v>
      </c>
      <c r="I3449" t="s">
        <v>189</v>
      </c>
      <c r="L3449" t="s">
        <v>9339</v>
      </c>
    </row>
    <row r="3450" spans="1:40" x14ac:dyDescent="0.35">
      <c r="A3450">
        <v>6913609</v>
      </c>
      <c r="B3450" t="s">
        <v>9394</v>
      </c>
      <c r="C3450" t="str">
        <f>""</f>
        <v/>
      </c>
      <c r="D3450" t="str">
        <f>"9788021098343"</f>
        <v>9788021098343</v>
      </c>
      <c r="E3450" t="s">
        <v>9180</v>
      </c>
      <c r="F3450" t="s">
        <v>9180</v>
      </c>
      <c r="G3450" s="1">
        <v>44013</v>
      </c>
      <c r="H3450" s="1">
        <v>44627</v>
      </c>
      <c r="I3450" t="s">
        <v>189</v>
      </c>
      <c r="L3450" t="s">
        <v>9395</v>
      </c>
    </row>
    <row r="3451" spans="1:40" x14ac:dyDescent="0.35">
      <c r="A3451">
        <v>6913610</v>
      </c>
      <c r="B3451" t="s">
        <v>9396</v>
      </c>
      <c r="C3451" t="str">
        <f>""</f>
        <v/>
      </c>
      <c r="D3451" t="str">
        <f>"9788021098398"</f>
        <v>9788021098398</v>
      </c>
      <c r="E3451" t="s">
        <v>9180</v>
      </c>
      <c r="F3451" t="s">
        <v>9180</v>
      </c>
      <c r="G3451" s="1">
        <v>44378</v>
      </c>
      <c r="H3451" s="1">
        <v>44627</v>
      </c>
      <c r="I3451" t="s">
        <v>189</v>
      </c>
      <c r="L3451" t="s">
        <v>9299</v>
      </c>
    </row>
    <row r="3452" spans="1:40" x14ac:dyDescent="0.35">
      <c r="A3452">
        <v>6913611</v>
      </c>
      <c r="B3452" t="s">
        <v>9397</v>
      </c>
      <c r="C3452" t="str">
        <f>""</f>
        <v/>
      </c>
      <c r="D3452" t="str">
        <f>"9788021098404"</f>
        <v>9788021098404</v>
      </c>
      <c r="E3452" t="s">
        <v>9180</v>
      </c>
      <c r="F3452" t="s">
        <v>9180</v>
      </c>
      <c r="G3452" s="1">
        <v>44378</v>
      </c>
      <c r="H3452" s="1">
        <v>44627</v>
      </c>
      <c r="I3452" t="s">
        <v>189</v>
      </c>
      <c r="L3452" t="s">
        <v>9299</v>
      </c>
    </row>
    <row r="3453" spans="1:40" x14ac:dyDescent="0.35">
      <c r="A3453">
        <v>6913612</v>
      </c>
      <c r="B3453" t="s">
        <v>9398</v>
      </c>
      <c r="C3453" t="str">
        <f>""</f>
        <v/>
      </c>
      <c r="D3453" t="str">
        <f>"9788021098411"</f>
        <v>9788021098411</v>
      </c>
      <c r="E3453" t="s">
        <v>9180</v>
      </c>
      <c r="F3453" t="s">
        <v>9180</v>
      </c>
      <c r="G3453" s="1">
        <v>44013</v>
      </c>
      <c r="H3453" s="1">
        <v>44627</v>
      </c>
      <c r="I3453" t="s">
        <v>189</v>
      </c>
      <c r="L3453" t="s">
        <v>9330</v>
      </c>
    </row>
    <row r="3454" spans="1:40" x14ac:dyDescent="0.35">
      <c r="A3454">
        <v>6913613</v>
      </c>
      <c r="B3454" t="s">
        <v>9399</v>
      </c>
      <c r="C3454" t="str">
        <f>""</f>
        <v/>
      </c>
      <c r="D3454" t="str">
        <f>"9788021098459"</f>
        <v>9788021098459</v>
      </c>
      <c r="E3454" t="s">
        <v>9180</v>
      </c>
      <c r="F3454" t="s">
        <v>9180</v>
      </c>
      <c r="G3454" s="1">
        <v>44013</v>
      </c>
      <c r="H3454" s="1">
        <v>44627</v>
      </c>
      <c r="I3454" t="s">
        <v>189</v>
      </c>
      <c r="L3454" t="s">
        <v>9295</v>
      </c>
    </row>
    <row r="3455" spans="1:40" x14ac:dyDescent="0.35">
      <c r="A3455">
        <v>6913614</v>
      </c>
      <c r="B3455" t="s">
        <v>9400</v>
      </c>
      <c r="C3455" t="str">
        <f>""</f>
        <v/>
      </c>
      <c r="D3455" t="str">
        <f>"9788021098558"</f>
        <v>9788021098558</v>
      </c>
      <c r="E3455" t="s">
        <v>9180</v>
      </c>
      <c r="F3455" t="s">
        <v>9180</v>
      </c>
      <c r="G3455" s="1">
        <v>44013</v>
      </c>
      <c r="H3455" s="1">
        <v>44627</v>
      </c>
      <c r="I3455" t="s">
        <v>189</v>
      </c>
      <c r="L3455" t="s">
        <v>9401</v>
      </c>
      <c r="M3455" t="s">
        <v>323</v>
      </c>
      <c r="Q3455" t="s">
        <v>9182</v>
      </c>
      <c r="R3455" t="s">
        <v>261</v>
      </c>
      <c r="S3455" t="s">
        <v>261</v>
      </c>
      <c r="T3455" t="s">
        <v>261</v>
      </c>
      <c r="U3455" t="s">
        <v>262</v>
      </c>
      <c r="V3455" t="s">
        <v>262</v>
      </c>
      <c r="W3455" t="s">
        <v>261</v>
      </c>
      <c r="X3455" t="s">
        <v>262</v>
      </c>
      <c r="Y3455" t="s">
        <v>261</v>
      </c>
      <c r="Z3455" t="s">
        <v>409</v>
      </c>
      <c r="AA3455" t="s">
        <v>409</v>
      </c>
      <c r="AB3455" t="s">
        <v>409</v>
      </c>
      <c r="AC3455" t="s">
        <v>409</v>
      </c>
      <c r="AD3455" t="s">
        <v>261</v>
      </c>
      <c r="AH3455" t="s">
        <v>262</v>
      </c>
      <c r="AI3455" t="s">
        <v>262</v>
      </c>
      <c r="AJ3455" t="s">
        <v>261</v>
      </c>
      <c r="AK3455" t="s">
        <v>261</v>
      </c>
      <c r="AM3455" t="s">
        <v>262</v>
      </c>
      <c r="AN3455" t="s">
        <v>9402</v>
      </c>
    </row>
    <row r="3456" spans="1:40" x14ac:dyDescent="0.35">
      <c r="A3456">
        <v>6913615</v>
      </c>
      <c r="B3456" t="s">
        <v>9403</v>
      </c>
      <c r="C3456" t="str">
        <f>"9788021098640"</f>
        <v>9788021098640</v>
      </c>
      <c r="D3456" t="str">
        <f>"9788021098657"</f>
        <v>9788021098657</v>
      </c>
      <c r="E3456" t="s">
        <v>9180</v>
      </c>
      <c r="F3456" t="s">
        <v>9180</v>
      </c>
      <c r="G3456" s="1">
        <v>44378</v>
      </c>
      <c r="H3456" s="1">
        <v>44627</v>
      </c>
      <c r="I3456" t="s">
        <v>189</v>
      </c>
      <c r="K3456" t="s">
        <v>9404</v>
      </c>
      <c r="L3456" t="s">
        <v>105</v>
      </c>
    </row>
    <row r="3457" spans="1:40" x14ac:dyDescent="0.35">
      <c r="A3457">
        <v>6913616</v>
      </c>
      <c r="B3457" t="s">
        <v>9405</v>
      </c>
      <c r="C3457" t="str">
        <f>""</f>
        <v/>
      </c>
      <c r="D3457" t="str">
        <f>"9788021098701"</f>
        <v>9788021098701</v>
      </c>
      <c r="E3457" t="s">
        <v>9180</v>
      </c>
      <c r="F3457" t="s">
        <v>9180</v>
      </c>
      <c r="G3457" s="1">
        <v>44378</v>
      </c>
      <c r="H3457" s="1">
        <v>44627</v>
      </c>
      <c r="I3457" t="s">
        <v>189</v>
      </c>
      <c r="L3457" t="s">
        <v>9406</v>
      </c>
    </row>
    <row r="3458" spans="1:40" x14ac:dyDescent="0.35">
      <c r="A3458">
        <v>6913617</v>
      </c>
      <c r="B3458" t="s">
        <v>9407</v>
      </c>
      <c r="C3458" t="str">
        <f>""</f>
        <v/>
      </c>
      <c r="D3458" t="str">
        <f>"9788021098824"</f>
        <v>9788021098824</v>
      </c>
      <c r="E3458" t="s">
        <v>9180</v>
      </c>
      <c r="F3458" t="s">
        <v>9180</v>
      </c>
      <c r="G3458" s="1">
        <v>44378</v>
      </c>
      <c r="H3458" s="1">
        <v>44627</v>
      </c>
      <c r="I3458" t="s">
        <v>189</v>
      </c>
      <c r="L3458" t="s">
        <v>9313</v>
      </c>
    </row>
    <row r="3459" spans="1:40" x14ac:dyDescent="0.35">
      <c r="A3459">
        <v>6913618</v>
      </c>
      <c r="B3459" t="s">
        <v>9408</v>
      </c>
      <c r="C3459" t="str">
        <f>""</f>
        <v/>
      </c>
      <c r="D3459" t="str">
        <f>"9788021098961"</f>
        <v>9788021098961</v>
      </c>
      <c r="E3459" t="s">
        <v>9180</v>
      </c>
      <c r="F3459" t="s">
        <v>9180</v>
      </c>
      <c r="G3459" s="1">
        <v>44378</v>
      </c>
      <c r="H3459" s="1">
        <v>44627</v>
      </c>
      <c r="I3459" t="s">
        <v>189</v>
      </c>
      <c r="L3459" t="s">
        <v>9409</v>
      </c>
    </row>
    <row r="3460" spans="1:40" x14ac:dyDescent="0.35">
      <c r="A3460">
        <v>6913619</v>
      </c>
      <c r="B3460" t="s">
        <v>9410</v>
      </c>
      <c r="C3460" t="str">
        <f>""</f>
        <v/>
      </c>
      <c r="D3460" t="str">
        <f>"9788021099012"</f>
        <v>9788021099012</v>
      </c>
      <c r="E3460" t="s">
        <v>9180</v>
      </c>
      <c r="F3460" t="s">
        <v>9180</v>
      </c>
      <c r="G3460" s="1">
        <v>44378</v>
      </c>
      <c r="H3460" s="1">
        <v>44627</v>
      </c>
      <c r="I3460" t="s">
        <v>189</v>
      </c>
      <c r="L3460" t="s">
        <v>107</v>
      </c>
    </row>
    <row r="3461" spans="1:40" x14ac:dyDescent="0.35">
      <c r="A3461">
        <v>6913620</v>
      </c>
      <c r="B3461" t="s">
        <v>9411</v>
      </c>
      <c r="C3461" t="str">
        <f>"9788021099029"</f>
        <v>9788021099029</v>
      </c>
      <c r="D3461" t="str">
        <f>"9788021099036"</f>
        <v>9788021099036</v>
      </c>
      <c r="E3461" t="s">
        <v>9180</v>
      </c>
      <c r="F3461" t="s">
        <v>9180</v>
      </c>
      <c r="G3461" s="1">
        <v>44378</v>
      </c>
      <c r="H3461" s="1">
        <v>44627</v>
      </c>
      <c r="I3461" t="s">
        <v>189</v>
      </c>
      <c r="K3461" t="s">
        <v>9221</v>
      </c>
      <c r="L3461" t="s">
        <v>9412</v>
      </c>
      <c r="M3461" t="s">
        <v>676</v>
      </c>
      <c r="Q3461" t="s">
        <v>9182</v>
      </c>
      <c r="R3461" t="s">
        <v>261</v>
      </c>
      <c r="S3461" t="s">
        <v>261</v>
      </c>
      <c r="T3461" t="s">
        <v>261</v>
      </c>
      <c r="U3461" t="s">
        <v>262</v>
      </c>
      <c r="V3461" t="s">
        <v>262</v>
      </c>
      <c r="W3461" t="s">
        <v>261</v>
      </c>
      <c r="X3461" t="s">
        <v>262</v>
      </c>
      <c r="Y3461" t="s">
        <v>261</v>
      </c>
      <c r="Z3461" t="s">
        <v>409</v>
      </c>
      <c r="AA3461" t="s">
        <v>409</v>
      </c>
      <c r="AB3461" t="s">
        <v>409</v>
      </c>
      <c r="AC3461" t="s">
        <v>409</v>
      </c>
      <c r="AD3461" t="s">
        <v>261</v>
      </c>
      <c r="AH3461" t="s">
        <v>262</v>
      </c>
      <c r="AI3461" t="s">
        <v>262</v>
      </c>
      <c r="AJ3461" t="s">
        <v>261</v>
      </c>
      <c r="AK3461" t="s">
        <v>261</v>
      </c>
      <c r="AM3461" t="s">
        <v>262</v>
      </c>
      <c r="AN3461" t="s">
        <v>9413</v>
      </c>
    </row>
    <row r="3462" spans="1:40" x14ac:dyDescent="0.35">
      <c r="A3462">
        <v>6913621</v>
      </c>
      <c r="B3462" t="s">
        <v>9414</v>
      </c>
      <c r="C3462" t="str">
        <f>""</f>
        <v/>
      </c>
      <c r="D3462" t="str">
        <f>"9788021099050"</f>
        <v>9788021099050</v>
      </c>
      <c r="E3462" t="s">
        <v>9180</v>
      </c>
      <c r="F3462" t="s">
        <v>9180</v>
      </c>
      <c r="G3462" s="1">
        <v>44378</v>
      </c>
      <c r="H3462" s="1">
        <v>44627</v>
      </c>
      <c r="I3462" t="s">
        <v>189</v>
      </c>
      <c r="L3462" t="s">
        <v>9415</v>
      </c>
      <c r="M3462" t="s">
        <v>1687</v>
      </c>
      <c r="Q3462" t="s">
        <v>9182</v>
      </c>
      <c r="R3462" t="s">
        <v>261</v>
      </c>
      <c r="S3462" t="s">
        <v>261</v>
      </c>
      <c r="T3462" t="s">
        <v>261</v>
      </c>
      <c r="U3462" t="s">
        <v>262</v>
      </c>
      <c r="V3462" t="s">
        <v>262</v>
      </c>
      <c r="W3462" t="s">
        <v>261</v>
      </c>
      <c r="X3462" t="s">
        <v>262</v>
      </c>
      <c r="Y3462" t="s">
        <v>261</v>
      </c>
      <c r="Z3462" t="s">
        <v>409</v>
      </c>
      <c r="AA3462" t="s">
        <v>409</v>
      </c>
      <c r="AB3462" t="s">
        <v>409</v>
      </c>
      <c r="AC3462" t="s">
        <v>409</v>
      </c>
      <c r="AD3462" t="s">
        <v>261</v>
      </c>
      <c r="AH3462" t="s">
        <v>262</v>
      </c>
      <c r="AI3462" t="s">
        <v>262</v>
      </c>
      <c r="AJ3462" t="s">
        <v>261</v>
      </c>
      <c r="AK3462" t="s">
        <v>261</v>
      </c>
      <c r="AM3462" t="s">
        <v>262</v>
      </c>
      <c r="AN3462" t="s">
        <v>9416</v>
      </c>
    </row>
    <row r="3463" spans="1:40" x14ac:dyDescent="0.35">
      <c r="A3463">
        <v>6913622</v>
      </c>
      <c r="B3463" t="s">
        <v>9262</v>
      </c>
      <c r="C3463" t="str">
        <f>""</f>
        <v/>
      </c>
      <c r="D3463" t="str">
        <f>"9788021099067"</f>
        <v>9788021099067</v>
      </c>
      <c r="E3463" t="s">
        <v>9180</v>
      </c>
      <c r="F3463" t="s">
        <v>9180</v>
      </c>
      <c r="G3463" s="1">
        <v>44378</v>
      </c>
      <c r="H3463" s="1">
        <v>44627</v>
      </c>
      <c r="I3463" t="s">
        <v>189</v>
      </c>
      <c r="L3463" t="s">
        <v>9263</v>
      </c>
    </row>
    <row r="3464" spans="1:40" x14ac:dyDescent="0.35">
      <c r="A3464">
        <v>6913623</v>
      </c>
      <c r="B3464" t="s">
        <v>9417</v>
      </c>
      <c r="C3464" t="str">
        <f>"9788021099098"</f>
        <v>9788021099098</v>
      </c>
      <c r="D3464" t="str">
        <f>"9788021099104"</f>
        <v>9788021099104</v>
      </c>
      <c r="E3464" t="s">
        <v>9180</v>
      </c>
      <c r="F3464" t="s">
        <v>9180</v>
      </c>
      <c r="G3464" s="1">
        <v>44378</v>
      </c>
      <c r="H3464" s="1">
        <v>44627</v>
      </c>
      <c r="I3464" t="s">
        <v>189</v>
      </c>
      <c r="L3464" t="s">
        <v>9418</v>
      </c>
    </row>
    <row r="3465" spans="1:40" x14ac:dyDescent="0.35">
      <c r="A3465">
        <v>6913624</v>
      </c>
      <c r="B3465" t="s">
        <v>9419</v>
      </c>
      <c r="C3465" t="str">
        <f>""</f>
        <v/>
      </c>
      <c r="D3465" t="str">
        <f>"9788021099111"</f>
        <v>9788021099111</v>
      </c>
      <c r="E3465" t="s">
        <v>9180</v>
      </c>
      <c r="F3465" t="s">
        <v>9180</v>
      </c>
      <c r="G3465" s="1">
        <v>44378</v>
      </c>
      <c r="H3465" s="1">
        <v>44627</v>
      </c>
      <c r="I3465" t="s">
        <v>189</v>
      </c>
      <c r="L3465" t="s">
        <v>9420</v>
      </c>
    </row>
    <row r="3466" spans="1:40" x14ac:dyDescent="0.35">
      <c r="A3466">
        <v>6913626</v>
      </c>
      <c r="B3466" t="s">
        <v>9421</v>
      </c>
      <c r="C3466" t="str">
        <f>"9788021099135"</f>
        <v>9788021099135</v>
      </c>
      <c r="D3466" t="str">
        <f>"9788021099142"</f>
        <v>9788021099142</v>
      </c>
      <c r="E3466" t="s">
        <v>9180</v>
      </c>
      <c r="F3466" t="s">
        <v>9180</v>
      </c>
      <c r="G3466" s="1">
        <v>44378</v>
      </c>
      <c r="H3466" s="1">
        <v>44627</v>
      </c>
      <c r="I3466" t="s">
        <v>189</v>
      </c>
      <c r="L3466" t="s">
        <v>110</v>
      </c>
      <c r="M3466" t="s">
        <v>323</v>
      </c>
      <c r="Q3466" t="s">
        <v>9182</v>
      </c>
      <c r="R3466" t="s">
        <v>261</v>
      </c>
      <c r="S3466" t="s">
        <v>261</v>
      </c>
      <c r="T3466" t="s">
        <v>261</v>
      </c>
      <c r="U3466" t="s">
        <v>262</v>
      </c>
      <c r="V3466" t="s">
        <v>262</v>
      </c>
      <c r="W3466" t="s">
        <v>261</v>
      </c>
      <c r="X3466" t="s">
        <v>262</v>
      </c>
      <c r="Y3466" t="s">
        <v>261</v>
      </c>
      <c r="Z3466" t="s">
        <v>409</v>
      </c>
      <c r="AA3466" t="s">
        <v>409</v>
      </c>
      <c r="AB3466" t="s">
        <v>409</v>
      </c>
      <c r="AC3466" t="s">
        <v>409</v>
      </c>
      <c r="AD3466" t="s">
        <v>261</v>
      </c>
      <c r="AH3466" t="s">
        <v>262</v>
      </c>
      <c r="AI3466" t="s">
        <v>262</v>
      </c>
      <c r="AJ3466" t="s">
        <v>261</v>
      </c>
      <c r="AK3466" t="s">
        <v>261</v>
      </c>
      <c r="AM3466" t="s">
        <v>262</v>
      </c>
      <c r="AN3466" t="s">
        <v>9422</v>
      </c>
    </row>
    <row r="3467" spans="1:40" x14ac:dyDescent="0.35">
      <c r="A3467">
        <v>6913627</v>
      </c>
      <c r="B3467" t="s">
        <v>9423</v>
      </c>
      <c r="C3467" t="str">
        <f>""</f>
        <v/>
      </c>
      <c r="D3467" t="str">
        <f>"9788021099203"</f>
        <v>9788021099203</v>
      </c>
      <c r="E3467" t="s">
        <v>9180</v>
      </c>
      <c r="F3467" t="s">
        <v>9180</v>
      </c>
      <c r="G3467" s="1">
        <v>44378</v>
      </c>
      <c r="H3467" s="1">
        <v>44627</v>
      </c>
      <c r="I3467" t="s">
        <v>189</v>
      </c>
      <c r="L3467" t="s">
        <v>9424</v>
      </c>
    </row>
    <row r="3468" spans="1:40" x14ac:dyDescent="0.35">
      <c r="A3468">
        <v>6913628</v>
      </c>
      <c r="B3468" t="s">
        <v>9425</v>
      </c>
      <c r="C3468" t="str">
        <f>""</f>
        <v/>
      </c>
      <c r="D3468" t="str">
        <f>"9788021099272"</f>
        <v>9788021099272</v>
      </c>
      <c r="E3468" t="s">
        <v>9180</v>
      </c>
      <c r="F3468" t="s">
        <v>9180</v>
      </c>
      <c r="G3468" s="1">
        <v>44378</v>
      </c>
      <c r="H3468" s="1">
        <v>44627</v>
      </c>
      <c r="I3468" t="s">
        <v>189</v>
      </c>
      <c r="K3468" t="s">
        <v>9240</v>
      </c>
      <c r="L3468" t="s">
        <v>9241</v>
      </c>
    </row>
    <row r="3469" spans="1:40" x14ac:dyDescent="0.35">
      <c r="A3469">
        <v>6913629</v>
      </c>
      <c r="B3469" t="s">
        <v>9426</v>
      </c>
      <c r="C3469" t="str">
        <f>""</f>
        <v/>
      </c>
      <c r="D3469" t="str">
        <f>"9788021099302"</f>
        <v>9788021099302</v>
      </c>
      <c r="E3469" t="s">
        <v>9180</v>
      </c>
      <c r="F3469" t="s">
        <v>9180</v>
      </c>
      <c r="G3469" s="1">
        <v>44013</v>
      </c>
      <c r="H3469" s="1">
        <v>44627</v>
      </c>
      <c r="I3469" t="s">
        <v>189</v>
      </c>
      <c r="L3469" t="s">
        <v>9427</v>
      </c>
      <c r="M3469" t="s">
        <v>323</v>
      </c>
      <c r="Q3469" t="s">
        <v>9182</v>
      </c>
      <c r="R3469" t="s">
        <v>261</v>
      </c>
      <c r="S3469" t="s">
        <v>261</v>
      </c>
      <c r="T3469" t="s">
        <v>261</v>
      </c>
      <c r="U3469" t="s">
        <v>262</v>
      </c>
      <c r="V3469" t="s">
        <v>262</v>
      </c>
      <c r="W3469" t="s">
        <v>261</v>
      </c>
      <c r="X3469" t="s">
        <v>262</v>
      </c>
      <c r="Y3469" t="s">
        <v>261</v>
      </c>
      <c r="Z3469" t="s">
        <v>409</v>
      </c>
      <c r="AA3469" t="s">
        <v>409</v>
      </c>
      <c r="AB3469" t="s">
        <v>409</v>
      </c>
      <c r="AC3469" t="s">
        <v>409</v>
      </c>
      <c r="AD3469" t="s">
        <v>261</v>
      </c>
      <c r="AH3469" t="s">
        <v>262</v>
      </c>
      <c r="AI3469" t="s">
        <v>262</v>
      </c>
      <c r="AJ3469" t="s">
        <v>261</v>
      </c>
      <c r="AK3469" t="s">
        <v>261</v>
      </c>
      <c r="AM3469" t="s">
        <v>262</v>
      </c>
      <c r="AN3469" t="s">
        <v>9428</v>
      </c>
    </row>
    <row r="3470" spans="1:40" x14ac:dyDescent="0.35">
      <c r="A3470">
        <v>6913630</v>
      </c>
      <c r="B3470" t="s">
        <v>9429</v>
      </c>
      <c r="C3470" t="str">
        <f>"9788021099395"</f>
        <v>9788021099395</v>
      </c>
      <c r="D3470" t="str">
        <f>"9788021099401"</f>
        <v>9788021099401</v>
      </c>
      <c r="E3470" t="s">
        <v>9180</v>
      </c>
      <c r="F3470" t="s">
        <v>9180</v>
      </c>
      <c r="G3470" s="1">
        <v>44378</v>
      </c>
      <c r="H3470" s="1">
        <v>44627</v>
      </c>
      <c r="I3470" t="s">
        <v>189</v>
      </c>
      <c r="L3470" t="s">
        <v>9430</v>
      </c>
      <c r="M3470" t="s">
        <v>249</v>
      </c>
      <c r="Q3470" t="s">
        <v>9182</v>
      </c>
      <c r="R3470" t="s">
        <v>261</v>
      </c>
      <c r="S3470" t="s">
        <v>261</v>
      </c>
      <c r="T3470" t="s">
        <v>261</v>
      </c>
      <c r="U3470" t="s">
        <v>262</v>
      </c>
      <c r="V3470" t="s">
        <v>262</v>
      </c>
      <c r="W3470" t="s">
        <v>261</v>
      </c>
      <c r="X3470" t="s">
        <v>262</v>
      </c>
      <c r="Y3470" t="s">
        <v>261</v>
      </c>
      <c r="Z3470" t="s">
        <v>409</v>
      </c>
      <c r="AA3470" t="s">
        <v>409</v>
      </c>
      <c r="AB3470" t="s">
        <v>409</v>
      </c>
      <c r="AC3470" t="s">
        <v>409</v>
      </c>
      <c r="AD3470" t="s">
        <v>261</v>
      </c>
      <c r="AH3470" t="s">
        <v>262</v>
      </c>
      <c r="AI3470" t="s">
        <v>262</v>
      </c>
      <c r="AJ3470" t="s">
        <v>261</v>
      </c>
      <c r="AK3470" t="s">
        <v>261</v>
      </c>
      <c r="AM3470" t="s">
        <v>262</v>
      </c>
      <c r="AN3470" t="s">
        <v>9431</v>
      </c>
    </row>
    <row r="3471" spans="1:40" x14ac:dyDescent="0.35">
      <c r="A3471">
        <v>6913631</v>
      </c>
      <c r="B3471" t="s">
        <v>9432</v>
      </c>
      <c r="C3471" t="str">
        <f>"9788021099562"</f>
        <v>9788021099562</v>
      </c>
      <c r="D3471" t="str">
        <f>"9788021099579"</f>
        <v>9788021099579</v>
      </c>
      <c r="E3471" t="s">
        <v>9180</v>
      </c>
      <c r="F3471" t="s">
        <v>9180</v>
      </c>
      <c r="G3471" s="1">
        <v>44378</v>
      </c>
      <c r="H3471" s="1">
        <v>44627</v>
      </c>
      <c r="I3471" t="s">
        <v>189</v>
      </c>
      <c r="K3471" t="s">
        <v>9386</v>
      </c>
      <c r="L3471" t="s">
        <v>103</v>
      </c>
    </row>
    <row r="3472" spans="1:40" x14ac:dyDescent="0.35">
      <c r="A3472">
        <v>6913632</v>
      </c>
      <c r="B3472" t="s">
        <v>9433</v>
      </c>
      <c r="C3472" t="str">
        <f>"9788021099739"</f>
        <v>9788021099739</v>
      </c>
      <c r="D3472" t="str">
        <f>"9788021099746"</f>
        <v>9788021099746</v>
      </c>
      <c r="E3472" t="s">
        <v>9180</v>
      </c>
      <c r="F3472" t="s">
        <v>9180</v>
      </c>
      <c r="G3472" s="1">
        <v>44378</v>
      </c>
      <c r="H3472" s="1">
        <v>44627</v>
      </c>
      <c r="I3472" t="s">
        <v>189</v>
      </c>
      <c r="L3472" t="s">
        <v>9434</v>
      </c>
    </row>
    <row r="3473" spans="1:40" x14ac:dyDescent="0.35">
      <c r="A3473">
        <v>6913633</v>
      </c>
      <c r="B3473" t="s">
        <v>9435</v>
      </c>
      <c r="C3473" t="str">
        <f>"9788021099821"</f>
        <v>9788021099821</v>
      </c>
      <c r="D3473" t="str">
        <f>"9788021099838"</f>
        <v>9788021099838</v>
      </c>
      <c r="E3473" t="s">
        <v>9180</v>
      </c>
      <c r="F3473" t="s">
        <v>9180</v>
      </c>
      <c r="G3473" s="1">
        <v>44378</v>
      </c>
      <c r="H3473" s="1">
        <v>44627</v>
      </c>
      <c r="I3473" t="s">
        <v>189</v>
      </c>
      <c r="L3473" t="s">
        <v>9436</v>
      </c>
    </row>
    <row r="3474" spans="1:40" x14ac:dyDescent="0.35">
      <c r="A3474">
        <v>6913634</v>
      </c>
      <c r="B3474" t="s">
        <v>9437</v>
      </c>
      <c r="C3474" t="str">
        <f>"9788021099913"</f>
        <v>9788021099913</v>
      </c>
      <c r="D3474" t="str">
        <f>"9788021099920"</f>
        <v>9788021099920</v>
      </c>
      <c r="E3474" t="s">
        <v>9180</v>
      </c>
      <c r="F3474" t="s">
        <v>9180</v>
      </c>
      <c r="G3474" s="1">
        <v>44378</v>
      </c>
      <c r="H3474" s="1">
        <v>44627</v>
      </c>
      <c r="I3474" t="s">
        <v>189</v>
      </c>
      <c r="L3474" t="s">
        <v>9438</v>
      </c>
    </row>
    <row r="3475" spans="1:40" x14ac:dyDescent="0.35">
      <c r="A3475">
        <v>6913635</v>
      </c>
      <c r="B3475" t="s">
        <v>9439</v>
      </c>
      <c r="C3475" t="str">
        <f>"9788021099944"</f>
        <v>9788021099944</v>
      </c>
      <c r="D3475" t="str">
        <f>"9788021099951"</f>
        <v>9788021099951</v>
      </c>
      <c r="E3475" t="s">
        <v>9180</v>
      </c>
      <c r="F3475" t="s">
        <v>9180</v>
      </c>
      <c r="G3475" s="1">
        <v>44378</v>
      </c>
      <c r="H3475" s="1">
        <v>44627</v>
      </c>
      <c r="I3475" t="s">
        <v>189</v>
      </c>
      <c r="L3475" t="s">
        <v>9440</v>
      </c>
      <c r="M3475" t="s">
        <v>323</v>
      </c>
      <c r="Q3475" t="s">
        <v>9182</v>
      </c>
      <c r="R3475" t="s">
        <v>261</v>
      </c>
      <c r="S3475" t="s">
        <v>261</v>
      </c>
      <c r="T3475" t="s">
        <v>261</v>
      </c>
      <c r="U3475" t="s">
        <v>262</v>
      </c>
      <c r="V3475" t="s">
        <v>262</v>
      </c>
      <c r="W3475" t="s">
        <v>261</v>
      </c>
      <c r="X3475" t="s">
        <v>262</v>
      </c>
      <c r="Y3475" t="s">
        <v>261</v>
      </c>
      <c r="Z3475" t="s">
        <v>409</v>
      </c>
      <c r="AA3475" t="s">
        <v>409</v>
      </c>
      <c r="AB3475" t="s">
        <v>409</v>
      </c>
      <c r="AC3475" t="s">
        <v>409</v>
      </c>
      <c r="AD3475" t="s">
        <v>261</v>
      </c>
      <c r="AH3475" t="s">
        <v>262</v>
      </c>
      <c r="AI3475" t="s">
        <v>262</v>
      </c>
      <c r="AJ3475" t="s">
        <v>261</v>
      </c>
      <c r="AK3475" t="s">
        <v>261</v>
      </c>
      <c r="AM3475" t="s">
        <v>262</v>
      </c>
      <c r="AN3475" t="s">
        <v>9441</v>
      </c>
    </row>
    <row r="3476" spans="1:40" x14ac:dyDescent="0.35">
      <c r="A3476">
        <v>6913636</v>
      </c>
      <c r="B3476" t="s">
        <v>9442</v>
      </c>
      <c r="C3476" t="str">
        <f>""</f>
        <v/>
      </c>
      <c r="D3476" t="str">
        <f>"9788021099975"</f>
        <v>9788021099975</v>
      </c>
      <c r="E3476" t="s">
        <v>9180</v>
      </c>
      <c r="F3476" t="s">
        <v>9180</v>
      </c>
      <c r="G3476" s="1">
        <v>44378</v>
      </c>
      <c r="H3476" s="1">
        <v>44627</v>
      </c>
      <c r="I3476" t="s">
        <v>189</v>
      </c>
      <c r="L3476" t="s">
        <v>9443</v>
      </c>
    </row>
    <row r="3477" spans="1:40" x14ac:dyDescent="0.35">
      <c r="A3477">
        <v>6913637</v>
      </c>
      <c r="B3477" t="s">
        <v>9444</v>
      </c>
      <c r="C3477" t="str">
        <f>""</f>
        <v/>
      </c>
      <c r="D3477" t="str">
        <f>"9788021099982"</f>
        <v>9788021099982</v>
      </c>
      <c r="E3477" t="s">
        <v>9180</v>
      </c>
      <c r="F3477" t="s">
        <v>9180</v>
      </c>
      <c r="G3477" s="1">
        <v>44378</v>
      </c>
      <c r="H3477" s="1">
        <v>44627</v>
      </c>
      <c r="I3477" t="s">
        <v>189</v>
      </c>
      <c r="L3477" t="s">
        <v>9246</v>
      </c>
    </row>
    <row r="3478" spans="1:40" x14ac:dyDescent="0.35">
      <c r="A3478">
        <v>6913673</v>
      </c>
      <c r="B3478" t="s">
        <v>9445</v>
      </c>
      <c r="C3478" t="str">
        <f>"9789811680854"</f>
        <v>9789811680854</v>
      </c>
      <c r="D3478" t="str">
        <f>"9789811680861"</f>
        <v>9789811680861</v>
      </c>
      <c r="E3478" t="s">
        <v>3404</v>
      </c>
      <c r="F3478" t="s">
        <v>2290</v>
      </c>
      <c r="G3478" s="1">
        <v>44626</v>
      </c>
      <c r="H3478" s="1">
        <v>44631</v>
      </c>
      <c r="I3478" t="s">
        <v>189</v>
      </c>
      <c r="K3478" t="s">
        <v>7445</v>
      </c>
      <c r="L3478" t="s">
        <v>7446</v>
      </c>
    </row>
    <row r="3479" spans="1:40" x14ac:dyDescent="0.35">
      <c r="A3479">
        <v>6913842</v>
      </c>
      <c r="B3479" t="s">
        <v>9446</v>
      </c>
      <c r="C3479" t="str">
        <f>""</f>
        <v/>
      </c>
      <c r="D3479" t="str">
        <f>"9781789061963"</f>
        <v>9781789061963</v>
      </c>
      <c r="E3479" t="s">
        <v>1784</v>
      </c>
      <c r="F3479" t="s">
        <v>1784</v>
      </c>
      <c r="G3479" s="1">
        <v>44211</v>
      </c>
      <c r="H3479" s="1">
        <v>44631</v>
      </c>
      <c r="I3479" t="s">
        <v>189</v>
      </c>
      <c r="J3479">
        <v>1</v>
      </c>
      <c r="L3479" t="s">
        <v>9447</v>
      </c>
      <c r="M3479" t="s">
        <v>1728</v>
      </c>
    </row>
    <row r="3480" spans="1:40" x14ac:dyDescent="0.35">
      <c r="A3480">
        <v>6913843</v>
      </c>
      <c r="B3480" t="s">
        <v>9448</v>
      </c>
      <c r="C3480" t="str">
        <f>"9781789060751"</f>
        <v>9781789060751</v>
      </c>
      <c r="D3480" t="str">
        <f>"9781789060768"</f>
        <v>9781789060768</v>
      </c>
      <c r="E3480" t="s">
        <v>1784</v>
      </c>
      <c r="F3480" t="s">
        <v>1784</v>
      </c>
      <c r="G3480" s="1">
        <v>44180</v>
      </c>
      <c r="H3480" s="1">
        <v>44628</v>
      </c>
      <c r="I3480" t="s">
        <v>189</v>
      </c>
      <c r="J3480">
        <v>1</v>
      </c>
      <c r="L3480" t="s">
        <v>9449</v>
      </c>
    </row>
    <row r="3481" spans="1:40" x14ac:dyDescent="0.35">
      <c r="A3481">
        <v>6914946</v>
      </c>
      <c r="B3481" t="s">
        <v>9450</v>
      </c>
      <c r="C3481" t="str">
        <f>"9783030861858"</f>
        <v>9783030861858</v>
      </c>
      <c r="D3481" t="str">
        <f>"9783030861865"</f>
        <v>9783030861865</v>
      </c>
      <c r="E3481" t="s">
        <v>2289</v>
      </c>
      <c r="F3481" t="s">
        <v>2290</v>
      </c>
      <c r="G3481" s="1">
        <v>44660</v>
      </c>
      <c r="H3481" s="1">
        <v>44631</v>
      </c>
      <c r="I3481" t="s">
        <v>189</v>
      </c>
      <c r="K3481" t="s">
        <v>5004</v>
      </c>
      <c r="L3481" t="s">
        <v>9451</v>
      </c>
      <c r="M3481" t="s">
        <v>249</v>
      </c>
      <c r="N3481" t="s">
        <v>9452</v>
      </c>
      <c r="Q3481" t="s">
        <v>260</v>
      </c>
      <c r="R3481" t="s">
        <v>261</v>
      </c>
      <c r="S3481" t="s">
        <v>261</v>
      </c>
      <c r="T3481" t="s">
        <v>261</v>
      </c>
      <c r="U3481" t="s">
        <v>261</v>
      </c>
      <c r="V3481" t="s">
        <v>262</v>
      </c>
      <c r="W3481" t="s">
        <v>261</v>
      </c>
      <c r="X3481" t="s">
        <v>261</v>
      </c>
      <c r="Y3481" t="s">
        <v>261</v>
      </c>
      <c r="Z3481" t="s">
        <v>409</v>
      </c>
      <c r="AA3481" t="s">
        <v>409</v>
      </c>
      <c r="AB3481" t="s">
        <v>409</v>
      </c>
      <c r="AC3481" t="s">
        <v>409</v>
      </c>
      <c r="AD3481" t="s">
        <v>261</v>
      </c>
      <c r="AH3481" t="s">
        <v>262</v>
      </c>
      <c r="AI3481" t="s">
        <v>262</v>
      </c>
      <c r="AJ3481" t="s">
        <v>261</v>
      </c>
      <c r="AK3481" t="s">
        <v>261</v>
      </c>
      <c r="AM3481" t="s">
        <v>262</v>
      </c>
      <c r="AN3481" t="s">
        <v>9453</v>
      </c>
    </row>
    <row r="3482" spans="1:40" x14ac:dyDescent="0.35">
      <c r="A3482">
        <v>6914960</v>
      </c>
      <c r="B3482" t="s">
        <v>9454</v>
      </c>
      <c r="C3482" t="str">
        <f>"9783030919702"</f>
        <v>9783030919702</v>
      </c>
      <c r="D3482" t="str">
        <f>"9783030919719"</f>
        <v>9783030919719</v>
      </c>
      <c r="E3482" t="s">
        <v>2289</v>
      </c>
      <c r="F3482" t="s">
        <v>2290</v>
      </c>
      <c r="G3482" s="1">
        <v>44690</v>
      </c>
      <c r="H3482" s="1">
        <v>44631</v>
      </c>
      <c r="I3482" t="s">
        <v>189</v>
      </c>
      <c r="K3482" t="s">
        <v>1208</v>
      </c>
      <c r="L3482" t="s">
        <v>9455</v>
      </c>
    </row>
    <row r="3483" spans="1:40" x14ac:dyDescent="0.35">
      <c r="A3483">
        <v>6915684</v>
      </c>
      <c r="B3483" t="s">
        <v>9456</v>
      </c>
      <c r="C3483" t="str">
        <f>""</f>
        <v/>
      </c>
      <c r="D3483" t="str">
        <f>"9782759233113"</f>
        <v>9782759233113</v>
      </c>
      <c r="E3483" t="s">
        <v>1928</v>
      </c>
      <c r="F3483" t="s">
        <v>1928</v>
      </c>
      <c r="G3483" s="1">
        <v>44630</v>
      </c>
      <c r="H3483" s="1">
        <v>44631</v>
      </c>
      <c r="I3483" t="s">
        <v>189</v>
      </c>
      <c r="K3483" t="s">
        <v>2029</v>
      </c>
      <c r="L3483" t="s">
        <v>9457</v>
      </c>
    </row>
    <row r="3484" spans="1:40" x14ac:dyDescent="0.35">
      <c r="A3484">
        <v>6915747</v>
      </c>
      <c r="B3484" t="s">
        <v>9458</v>
      </c>
      <c r="C3484" t="str">
        <f>"9783030860233"</f>
        <v>9783030860233</v>
      </c>
      <c r="D3484" t="str">
        <f>"9783030860240"</f>
        <v>9783030860240</v>
      </c>
      <c r="E3484" t="s">
        <v>2289</v>
      </c>
      <c r="F3484" t="s">
        <v>2290</v>
      </c>
      <c r="G3484" s="1">
        <v>44629</v>
      </c>
      <c r="H3484" s="1">
        <v>44631</v>
      </c>
      <c r="I3484" t="s">
        <v>189</v>
      </c>
      <c r="K3484" t="s">
        <v>5004</v>
      </c>
      <c r="L3484" t="s">
        <v>9451</v>
      </c>
      <c r="M3484" t="s">
        <v>249</v>
      </c>
      <c r="N3484" t="s">
        <v>9452</v>
      </c>
      <c r="Q3484" t="s">
        <v>260</v>
      </c>
      <c r="R3484" t="s">
        <v>261</v>
      </c>
      <c r="S3484" t="s">
        <v>261</v>
      </c>
      <c r="T3484" t="s">
        <v>261</v>
      </c>
      <c r="U3484" t="s">
        <v>261</v>
      </c>
      <c r="V3484" t="s">
        <v>262</v>
      </c>
      <c r="W3484" t="s">
        <v>261</v>
      </c>
      <c r="X3484" t="s">
        <v>261</v>
      </c>
      <c r="Y3484" t="s">
        <v>261</v>
      </c>
      <c r="Z3484" t="s">
        <v>409</v>
      </c>
      <c r="AA3484" t="s">
        <v>409</v>
      </c>
      <c r="AB3484" t="s">
        <v>409</v>
      </c>
      <c r="AC3484" t="s">
        <v>409</v>
      </c>
      <c r="AD3484" t="s">
        <v>261</v>
      </c>
      <c r="AH3484" t="s">
        <v>262</v>
      </c>
      <c r="AI3484" t="s">
        <v>262</v>
      </c>
      <c r="AJ3484" t="s">
        <v>261</v>
      </c>
      <c r="AK3484" t="s">
        <v>261</v>
      </c>
      <c r="AM3484" t="s">
        <v>262</v>
      </c>
      <c r="AN3484" t="s">
        <v>9459</v>
      </c>
    </row>
    <row r="3485" spans="1:40" x14ac:dyDescent="0.35">
      <c r="A3485">
        <v>6915748</v>
      </c>
      <c r="B3485" t="s">
        <v>9460</v>
      </c>
      <c r="C3485" t="str">
        <f>"9783658367039"</f>
        <v>9783658367039</v>
      </c>
      <c r="D3485" t="str">
        <f>"9783658367046"</f>
        <v>9783658367046</v>
      </c>
      <c r="E3485" t="s">
        <v>3972</v>
      </c>
      <c r="F3485" t="s">
        <v>3998</v>
      </c>
      <c r="G3485" s="1">
        <v>44629</v>
      </c>
      <c r="H3485" s="1">
        <v>44631</v>
      </c>
      <c r="I3485" t="s">
        <v>189</v>
      </c>
      <c r="K3485" t="s">
        <v>5871</v>
      </c>
      <c r="L3485" t="s">
        <v>9461</v>
      </c>
      <c r="M3485" t="s">
        <v>199</v>
      </c>
      <c r="N3485" t="s">
        <v>5873</v>
      </c>
      <c r="Q3485" t="s">
        <v>408</v>
      </c>
      <c r="R3485" t="s">
        <v>261</v>
      </c>
      <c r="S3485" t="s">
        <v>261</v>
      </c>
      <c r="T3485" t="s">
        <v>261</v>
      </c>
      <c r="U3485" t="s">
        <v>261</v>
      </c>
      <c r="V3485" t="s">
        <v>262</v>
      </c>
      <c r="W3485" t="s">
        <v>261</v>
      </c>
      <c r="X3485" t="s">
        <v>261</v>
      </c>
      <c r="Y3485" t="s">
        <v>261</v>
      </c>
      <c r="Z3485" t="s">
        <v>409</v>
      </c>
      <c r="AA3485" t="s">
        <v>409</v>
      </c>
      <c r="AB3485" t="s">
        <v>409</v>
      </c>
      <c r="AC3485" t="s">
        <v>409</v>
      </c>
      <c r="AD3485" t="s">
        <v>261</v>
      </c>
      <c r="AH3485" t="s">
        <v>262</v>
      </c>
      <c r="AI3485" t="s">
        <v>262</v>
      </c>
      <c r="AJ3485" t="s">
        <v>261</v>
      </c>
      <c r="AK3485" t="s">
        <v>261</v>
      </c>
      <c r="AM3485" t="s">
        <v>262</v>
      </c>
      <c r="AN3485" t="s">
        <v>9462</v>
      </c>
    </row>
    <row r="3486" spans="1:40" x14ac:dyDescent="0.35">
      <c r="A3486">
        <v>6916284</v>
      </c>
      <c r="B3486" t="s">
        <v>9463</v>
      </c>
      <c r="C3486" t="str">
        <f>""</f>
        <v/>
      </c>
      <c r="D3486" t="str">
        <f>"9781800100473"</f>
        <v>9781800100473</v>
      </c>
      <c r="E3486" t="s">
        <v>9464</v>
      </c>
      <c r="F3486" t="s">
        <v>9464</v>
      </c>
      <c r="G3486" s="1">
        <v>44119</v>
      </c>
      <c r="H3486" s="1">
        <v>44635</v>
      </c>
      <c r="I3486" t="s">
        <v>189</v>
      </c>
      <c r="J3486">
        <v>1</v>
      </c>
      <c r="K3486" t="s">
        <v>9465</v>
      </c>
      <c r="L3486" t="s">
        <v>9466</v>
      </c>
      <c r="M3486" t="s">
        <v>339</v>
      </c>
      <c r="Q3486" t="s">
        <v>260</v>
      </c>
      <c r="R3486" t="s">
        <v>261</v>
      </c>
      <c r="S3486" t="s">
        <v>261</v>
      </c>
      <c r="T3486" t="s">
        <v>261</v>
      </c>
      <c r="U3486" t="s">
        <v>262</v>
      </c>
      <c r="V3486" t="s">
        <v>262</v>
      </c>
      <c r="W3486" t="s">
        <v>261</v>
      </c>
      <c r="X3486" t="s">
        <v>261</v>
      </c>
      <c r="Y3486" t="s">
        <v>261</v>
      </c>
      <c r="Z3486" t="s">
        <v>409</v>
      </c>
      <c r="AA3486" t="s">
        <v>409</v>
      </c>
      <c r="AB3486" t="s">
        <v>409</v>
      </c>
      <c r="AC3486" t="s">
        <v>409</v>
      </c>
      <c r="AD3486" t="s">
        <v>261</v>
      </c>
      <c r="AH3486" t="s">
        <v>262</v>
      </c>
      <c r="AI3486" t="s">
        <v>262</v>
      </c>
      <c r="AJ3486" t="s">
        <v>261</v>
      </c>
      <c r="AK3486" t="s">
        <v>261</v>
      </c>
      <c r="AM3486" t="s">
        <v>262</v>
      </c>
      <c r="AN3486" t="s">
        <v>9467</v>
      </c>
    </row>
    <row r="3487" spans="1:40" x14ac:dyDescent="0.35">
      <c r="A3487">
        <v>6916285</v>
      </c>
      <c r="B3487" t="s">
        <v>9468</v>
      </c>
      <c r="C3487" t="str">
        <f>""</f>
        <v/>
      </c>
      <c r="D3487" t="str">
        <f>"9781800101050"</f>
        <v>9781800101050</v>
      </c>
      <c r="E3487" t="s">
        <v>9464</v>
      </c>
      <c r="F3487" t="s">
        <v>9464</v>
      </c>
      <c r="G3487" s="1">
        <v>44064</v>
      </c>
      <c r="H3487" s="1">
        <v>44635</v>
      </c>
      <c r="I3487" t="s">
        <v>189</v>
      </c>
      <c r="J3487">
        <v>1</v>
      </c>
      <c r="K3487" t="s">
        <v>9465</v>
      </c>
      <c r="L3487" t="s">
        <v>9469</v>
      </c>
    </row>
    <row r="3488" spans="1:40" x14ac:dyDescent="0.35">
      <c r="A3488">
        <v>6916340</v>
      </c>
      <c r="B3488" t="s">
        <v>9470</v>
      </c>
      <c r="C3488" t="str">
        <f>"9783030827663"</f>
        <v>9783030827663</v>
      </c>
      <c r="D3488" t="str">
        <f>"9783030827670"</f>
        <v>9783030827670</v>
      </c>
      <c r="E3488" t="s">
        <v>2289</v>
      </c>
      <c r="F3488" t="s">
        <v>2663</v>
      </c>
      <c r="G3488" s="1">
        <v>44630</v>
      </c>
      <c r="H3488" s="1">
        <v>44635</v>
      </c>
      <c r="I3488" t="s">
        <v>189</v>
      </c>
      <c r="L3488" t="s">
        <v>9471</v>
      </c>
    </row>
    <row r="3489" spans="1:40" x14ac:dyDescent="0.35">
      <c r="A3489">
        <v>6916353</v>
      </c>
      <c r="B3489" t="s">
        <v>9472</v>
      </c>
      <c r="C3489" t="str">
        <f>"9783030920913"</f>
        <v>9783030920913</v>
      </c>
      <c r="D3489" t="str">
        <f>"9783030920920"</f>
        <v>9783030920920</v>
      </c>
      <c r="E3489" t="s">
        <v>2289</v>
      </c>
      <c r="F3489" t="s">
        <v>2290</v>
      </c>
      <c r="G3489" s="1">
        <v>44630</v>
      </c>
      <c r="H3489" s="1">
        <v>44635</v>
      </c>
      <c r="I3489" t="s">
        <v>189</v>
      </c>
      <c r="K3489" t="s">
        <v>1208</v>
      </c>
      <c r="L3489" t="s">
        <v>9473</v>
      </c>
      <c r="M3489" t="s">
        <v>210</v>
      </c>
      <c r="N3489" t="s">
        <v>4706</v>
      </c>
      <c r="Q3489" t="s">
        <v>260</v>
      </c>
      <c r="R3489" t="s">
        <v>261</v>
      </c>
      <c r="S3489" t="s">
        <v>261</v>
      </c>
      <c r="T3489" t="s">
        <v>261</v>
      </c>
      <c r="U3489" t="s">
        <v>261</v>
      </c>
      <c r="V3489" t="s">
        <v>262</v>
      </c>
      <c r="W3489" t="s">
        <v>261</v>
      </c>
      <c r="X3489" t="s">
        <v>261</v>
      </c>
      <c r="Y3489" t="s">
        <v>261</v>
      </c>
      <c r="Z3489" t="s">
        <v>409</v>
      </c>
      <c r="AA3489" t="s">
        <v>409</v>
      </c>
      <c r="AB3489" t="s">
        <v>409</v>
      </c>
      <c r="AC3489" t="s">
        <v>409</v>
      </c>
      <c r="AD3489" t="s">
        <v>261</v>
      </c>
      <c r="AH3489" t="s">
        <v>262</v>
      </c>
      <c r="AI3489" t="s">
        <v>262</v>
      </c>
      <c r="AJ3489" t="s">
        <v>261</v>
      </c>
      <c r="AK3489" t="s">
        <v>261</v>
      </c>
      <c r="AM3489" t="s">
        <v>262</v>
      </c>
      <c r="AN3489" t="s">
        <v>9474</v>
      </c>
    </row>
    <row r="3490" spans="1:40" x14ac:dyDescent="0.35">
      <c r="A3490">
        <v>6921720</v>
      </c>
      <c r="B3490" t="s">
        <v>9475</v>
      </c>
      <c r="C3490" t="str">
        <f>"9783030932084"</f>
        <v>9783030932084</v>
      </c>
      <c r="D3490" t="str">
        <f>"9783030932091"</f>
        <v>9783030932091</v>
      </c>
      <c r="E3490" t="s">
        <v>2289</v>
      </c>
      <c r="F3490" t="s">
        <v>2663</v>
      </c>
      <c r="G3490" s="1">
        <v>44651</v>
      </c>
      <c r="H3490" s="1">
        <v>44635</v>
      </c>
      <c r="I3490" t="s">
        <v>189</v>
      </c>
      <c r="L3490" t="s">
        <v>5111</v>
      </c>
    </row>
    <row r="3491" spans="1:40" x14ac:dyDescent="0.35">
      <c r="A3491">
        <v>6921798</v>
      </c>
      <c r="B3491" t="s">
        <v>9476</v>
      </c>
      <c r="C3491" t="str">
        <f>"9783658344900"</f>
        <v>9783658344900</v>
      </c>
      <c r="D3491" t="str">
        <f>"9783658344917"</f>
        <v>9783658344917</v>
      </c>
      <c r="E3491" t="s">
        <v>3972</v>
      </c>
      <c r="F3491" t="s">
        <v>3998</v>
      </c>
      <c r="G3491" s="1">
        <v>44680</v>
      </c>
      <c r="H3491" s="1">
        <v>44635</v>
      </c>
      <c r="I3491" t="s">
        <v>189</v>
      </c>
      <c r="L3491" t="s">
        <v>9477</v>
      </c>
    </row>
    <row r="3492" spans="1:40" x14ac:dyDescent="0.35">
      <c r="A3492">
        <v>6921808</v>
      </c>
      <c r="B3492" t="s">
        <v>9478</v>
      </c>
      <c r="C3492" t="str">
        <f>""</f>
        <v/>
      </c>
      <c r="D3492" t="str">
        <f>"9789179291358"</f>
        <v>9789179291358</v>
      </c>
      <c r="E3492" t="s">
        <v>3642</v>
      </c>
      <c r="F3492" t="s">
        <v>3642</v>
      </c>
      <c r="G3492" s="1">
        <v>44631</v>
      </c>
      <c r="H3492" s="1">
        <v>44634</v>
      </c>
      <c r="I3492" t="s">
        <v>189</v>
      </c>
      <c r="J3492">
        <v>1</v>
      </c>
      <c r="L3492" t="s">
        <v>9479</v>
      </c>
      <c r="Q3492" t="s">
        <v>260</v>
      </c>
      <c r="R3492" t="s">
        <v>261</v>
      </c>
      <c r="S3492" t="s">
        <v>261</v>
      </c>
      <c r="T3492" t="s">
        <v>261</v>
      </c>
      <c r="U3492" t="s">
        <v>261</v>
      </c>
      <c r="V3492" t="s">
        <v>262</v>
      </c>
      <c r="W3492" t="s">
        <v>261</v>
      </c>
      <c r="X3492" t="s">
        <v>261</v>
      </c>
      <c r="Y3492" t="s">
        <v>261</v>
      </c>
      <c r="AD3492" t="s">
        <v>261</v>
      </c>
      <c r="AH3492" t="s">
        <v>262</v>
      </c>
      <c r="AI3492" t="s">
        <v>261</v>
      </c>
      <c r="AJ3492" t="s">
        <v>261</v>
      </c>
      <c r="AK3492" t="s">
        <v>261</v>
      </c>
      <c r="AM3492" t="s">
        <v>262</v>
      </c>
      <c r="AN3492" t="s">
        <v>9480</v>
      </c>
    </row>
    <row r="3493" spans="1:40" x14ac:dyDescent="0.35">
      <c r="A3493">
        <v>6921832</v>
      </c>
      <c r="B3493" t="s">
        <v>9481</v>
      </c>
      <c r="C3493" t="str">
        <f>"9783030944957"</f>
        <v>9783030944957</v>
      </c>
      <c r="D3493" t="str">
        <f>"9783030944964"</f>
        <v>9783030944964</v>
      </c>
      <c r="E3493" t="s">
        <v>2289</v>
      </c>
      <c r="F3493" t="s">
        <v>2290</v>
      </c>
      <c r="G3493" s="1">
        <v>44676</v>
      </c>
      <c r="H3493" s="1">
        <v>44650</v>
      </c>
      <c r="I3493" t="s">
        <v>189</v>
      </c>
      <c r="L3493" t="s">
        <v>4252</v>
      </c>
    </row>
    <row r="3494" spans="1:40" x14ac:dyDescent="0.35">
      <c r="A3494">
        <v>6925883</v>
      </c>
      <c r="B3494" t="s">
        <v>9482</v>
      </c>
      <c r="C3494" t="str">
        <f>"9783658371029"</f>
        <v>9783658371029</v>
      </c>
      <c r="D3494" t="str">
        <f>"9783658371036"</f>
        <v>9783658371036</v>
      </c>
      <c r="E3494" t="s">
        <v>3972</v>
      </c>
      <c r="F3494" t="s">
        <v>3972</v>
      </c>
      <c r="G3494" s="1">
        <v>44678</v>
      </c>
      <c r="H3494" s="1">
        <v>44650</v>
      </c>
      <c r="I3494" t="s">
        <v>189</v>
      </c>
      <c r="L3494" t="s">
        <v>9483</v>
      </c>
      <c r="M3494" t="s">
        <v>249</v>
      </c>
      <c r="N3494" t="s">
        <v>9484</v>
      </c>
      <c r="Q3494" t="s">
        <v>260</v>
      </c>
      <c r="R3494" t="s">
        <v>261</v>
      </c>
      <c r="S3494" t="s">
        <v>261</v>
      </c>
      <c r="T3494" t="s">
        <v>261</v>
      </c>
      <c r="U3494" t="s">
        <v>261</v>
      </c>
      <c r="V3494" t="s">
        <v>262</v>
      </c>
      <c r="W3494" t="s">
        <v>261</v>
      </c>
      <c r="X3494" t="s">
        <v>261</v>
      </c>
      <c r="Y3494" t="s">
        <v>261</v>
      </c>
      <c r="Z3494" t="s">
        <v>409</v>
      </c>
      <c r="AA3494" t="s">
        <v>409</v>
      </c>
      <c r="AB3494" t="s">
        <v>409</v>
      </c>
      <c r="AC3494" t="s">
        <v>409</v>
      </c>
      <c r="AD3494" t="s">
        <v>261</v>
      </c>
      <c r="AH3494" t="s">
        <v>262</v>
      </c>
      <c r="AI3494" t="s">
        <v>262</v>
      </c>
      <c r="AJ3494" t="s">
        <v>261</v>
      </c>
      <c r="AK3494" t="s">
        <v>261</v>
      </c>
      <c r="AM3494" t="s">
        <v>262</v>
      </c>
      <c r="AN3494" t="s">
        <v>9485</v>
      </c>
    </row>
    <row r="3495" spans="1:40" x14ac:dyDescent="0.35">
      <c r="A3495">
        <v>6925889</v>
      </c>
      <c r="B3495" t="s">
        <v>9486</v>
      </c>
      <c r="C3495" t="str">
        <f>"9789811907623"</f>
        <v>9789811907623</v>
      </c>
      <c r="D3495" t="str">
        <f>"9789811907630"</f>
        <v>9789811907630</v>
      </c>
      <c r="E3495" t="s">
        <v>3404</v>
      </c>
      <c r="F3495" t="s">
        <v>2290</v>
      </c>
      <c r="G3495" s="1">
        <v>44635</v>
      </c>
      <c r="H3495" s="1">
        <v>44650</v>
      </c>
      <c r="I3495" t="s">
        <v>189</v>
      </c>
      <c r="K3495" t="s">
        <v>5936</v>
      </c>
      <c r="L3495" t="s">
        <v>9487</v>
      </c>
    </row>
    <row r="3496" spans="1:40" x14ac:dyDescent="0.35">
      <c r="A3496">
        <v>6925890</v>
      </c>
      <c r="B3496" t="s">
        <v>9488</v>
      </c>
      <c r="C3496" t="str">
        <f>"9783030858162"</f>
        <v>9783030858162</v>
      </c>
      <c r="D3496" t="str">
        <f>"9783030858179"</f>
        <v>9783030858179</v>
      </c>
      <c r="E3496" t="s">
        <v>2289</v>
      </c>
      <c r="F3496" t="s">
        <v>2290</v>
      </c>
      <c r="G3496" s="1">
        <v>44653</v>
      </c>
      <c r="H3496" s="1">
        <v>44650</v>
      </c>
      <c r="I3496" t="s">
        <v>189</v>
      </c>
      <c r="K3496" t="s">
        <v>5939</v>
      </c>
      <c r="L3496" t="s">
        <v>5940</v>
      </c>
    </row>
    <row r="3497" spans="1:40" x14ac:dyDescent="0.35">
      <c r="A3497">
        <v>6926681</v>
      </c>
      <c r="B3497" t="s">
        <v>9489</v>
      </c>
      <c r="C3497" t="str">
        <f>"9781478001928"</f>
        <v>9781478001928</v>
      </c>
      <c r="D3497" t="str">
        <f>"9781478090083"</f>
        <v>9781478090083</v>
      </c>
      <c r="E3497" t="s">
        <v>687</v>
      </c>
      <c r="F3497" t="s">
        <v>687</v>
      </c>
      <c r="G3497" s="1">
        <v>43882</v>
      </c>
      <c r="H3497" s="1">
        <v>44650</v>
      </c>
      <c r="I3497" t="s">
        <v>189</v>
      </c>
      <c r="J3497">
        <v>1</v>
      </c>
      <c r="K3497" t="s">
        <v>2503</v>
      </c>
      <c r="L3497" t="s">
        <v>9490</v>
      </c>
      <c r="M3497" t="s">
        <v>329</v>
      </c>
      <c r="N3497" t="s">
        <v>9491</v>
      </c>
      <c r="O3497" t="s">
        <v>9492</v>
      </c>
      <c r="Q3497" t="s">
        <v>260</v>
      </c>
      <c r="R3497" t="s">
        <v>261</v>
      </c>
      <c r="S3497" t="s">
        <v>261</v>
      </c>
      <c r="T3497" t="s">
        <v>261</v>
      </c>
      <c r="U3497" t="s">
        <v>261</v>
      </c>
      <c r="V3497" t="s">
        <v>262</v>
      </c>
      <c r="W3497" t="s">
        <v>261</v>
      </c>
      <c r="X3497" t="s">
        <v>261</v>
      </c>
      <c r="Y3497" t="s">
        <v>261</v>
      </c>
      <c r="Z3497" t="s">
        <v>9493</v>
      </c>
      <c r="AB3497" t="s">
        <v>9494</v>
      </c>
      <c r="AC3497" t="s">
        <v>9493</v>
      </c>
      <c r="AD3497" t="s">
        <v>261</v>
      </c>
      <c r="AH3497" t="s">
        <v>262</v>
      </c>
      <c r="AI3497" t="s">
        <v>262</v>
      </c>
      <c r="AJ3497" t="s">
        <v>261</v>
      </c>
      <c r="AK3497" t="s">
        <v>261</v>
      </c>
      <c r="AM3497" t="s">
        <v>262</v>
      </c>
      <c r="AN3497" t="s">
        <v>9495</v>
      </c>
    </row>
    <row r="3498" spans="1:40" x14ac:dyDescent="0.35">
      <c r="A3498">
        <v>6927289</v>
      </c>
      <c r="B3498" t="s">
        <v>9496</v>
      </c>
      <c r="C3498" t="str">
        <f>"9783030921392"</f>
        <v>9783030921392</v>
      </c>
      <c r="D3498" t="str">
        <f>"9783030921408"</f>
        <v>9783030921408</v>
      </c>
      <c r="E3498" t="s">
        <v>2289</v>
      </c>
      <c r="F3498" t="s">
        <v>2663</v>
      </c>
      <c r="G3498" s="1">
        <v>44676</v>
      </c>
      <c r="H3498" s="1">
        <v>44650</v>
      </c>
      <c r="I3498" t="s">
        <v>189</v>
      </c>
      <c r="K3498" t="s">
        <v>6913</v>
      </c>
      <c r="L3498" t="s">
        <v>9497</v>
      </c>
    </row>
    <row r="3499" spans="1:40" x14ac:dyDescent="0.35">
      <c r="A3499">
        <v>6927290</v>
      </c>
      <c r="B3499" t="s">
        <v>9498</v>
      </c>
      <c r="C3499" t="str">
        <f>"9781478015550"</f>
        <v>9781478015550</v>
      </c>
      <c r="D3499" t="str">
        <f>"9781478092582"</f>
        <v>9781478092582</v>
      </c>
      <c r="E3499" t="s">
        <v>687</v>
      </c>
      <c r="F3499" t="s">
        <v>687</v>
      </c>
      <c r="G3499" s="1">
        <v>44701</v>
      </c>
      <c r="H3499" s="1">
        <v>44641</v>
      </c>
      <c r="I3499" t="s">
        <v>189</v>
      </c>
      <c r="J3499">
        <v>1</v>
      </c>
      <c r="L3499" t="s">
        <v>9499</v>
      </c>
      <c r="M3499" t="s">
        <v>249</v>
      </c>
    </row>
    <row r="3500" spans="1:40" x14ac:dyDescent="0.35">
      <c r="A3500">
        <v>6927300</v>
      </c>
      <c r="B3500" t="s">
        <v>9500</v>
      </c>
      <c r="C3500" t="str">
        <f>"9789811679445"</f>
        <v>9789811679445</v>
      </c>
      <c r="D3500" t="str">
        <f>"9789811679452"</f>
        <v>9789811679452</v>
      </c>
      <c r="E3500" t="s">
        <v>3404</v>
      </c>
      <c r="F3500" t="s">
        <v>2290</v>
      </c>
      <c r="G3500" s="1">
        <v>44636</v>
      </c>
      <c r="H3500" s="1">
        <v>44650</v>
      </c>
      <c r="I3500" t="s">
        <v>189</v>
      </c>
      <c r="L3500" t="s">
        <v>9501</v>
      </c>
    </row>
    <row r="3501" spans="1:40" x14ac:dyDescent="0.35">
      <c r="A3501">
        <v>6927304</v>
      </c>
      <c r="B3501" t="s">
        <v>9502</v>
      </c>
      <c r="C3501" t="str">
        <f>"9783030949716"</f>
        <v>9783030949716</v>
      </c>
      <c r="D3501" t="str">
        <f>"9783030949723"</f>
        <v>9783030949723</v>
      </c>
      <c r="E3501" t="s">
        <v>2289</v>
      </c>
      <c r="F3501" t="s">
        <v>2290</v>
      </c>
      <c r="G3501" s="1">
        <v>44668</v>
      </c>
      <c r="H3501" s="1">
        <v>44650</v>
      </c>
      <c r="I3501" t="s">
        <v>189</v>
      </c>
      <c r="K3501" t="s">
        <v>1208</v>
      </c>
      <c r="L3501" t="s">
        <v>9503</v>
      </c>
    </row>
    <row r="3502" spans="1:40" x14ac:dyDescent="0.35">
      <c r="A3502">
        <v>6927308</v>
      </c>
      <c r="B3502" t="s">
        <v>9504</v>
      </c>
      <c r="C3502" t="str">
        <f>"9783662640838"</f>
        <v>9783662640838</v>
      </c>
      <c r="D3502" t="str">
        <f>"9783662640845"</f>
        <v>9783662640845</v>
      </c>
      <c r="E3502" t="s">
        <v>5118</v>
      </c>
      <c r="F3502" t="s">
        <v>5118</v>
      </c>
      <c r="G3502" s="1">
        <v>44668</v>
      </c>
      <c r="H3502" s="1">
        <v>44650</v>
      </c>
      <c r="I3502" t="s">
        <v>189</v>
      </c>
      <c r="K3502" t="s">
        <v>9505</v>
      </c>
      <c r="L3502" t="s">
        <v>9506</v>
      </c>
    </row>
    <row r="3503" spans="1:40" x14ac:dyDescent="0.35">
      <c r="A3503">
        <v>6927309</v>
      </c>
      <c r="B3503" t="s">
        <v>9507</v>
      </c>
      <c r="C3503" t="str">
        <f>"9789811697968"</f>
        <v>9789811697968</v>
      </c>
      <c r="D3503" t="str">
        <f>"9789811697975"</f>
        <v>9789811697975</v>
      </c>
      <c r="E3503" t="s">
        <v>3404</v>
      </c>
      <c r="F3503" t="s">
        <v>2290</v>
      </c>
      <c r="G3503" s="1">
        <v>44668</v>
      </c>
      <c r="H3503" s="1">
        <v>44650</v>
      </c>
      <c r="I3503" t="s">
        <v>189</v>
      </c>
      <c r="K3503" t="s">
        <v>4674</v>
      </c>
      <c r="L3503" t="s">
        <v>9508</v>
      </c>
    </row>
    <row r="3504" spans="1:40" x14ac:dyDescent="0.35">
      <c r="A3504">
        <v>6931077</v>
      </c>
      <c r="B3504" t="s">
        <v>9509</v>
      </c>
      <c r="C3504" t="str">
        <f>""</f>
        <v/>
      </c>
      <c r="D3504" t="str">
        <f>"9789179291563"</f>
        <v>9789179291563</v>
      </c>
      <c r="E3504" t="s">
        <v>3642</v>
      </c>
      <c r="F3504" t="s">
        <v>3642</v>
      </c>
      <c r="G3504" s="1">
        <v>44588</v>
      </c>
      <c r="H3504" s="1">
        <v>44641</v>
      </c>
      <c r="I3504" t="s">
        <v>189</v>
      </c>
      <c r="J3504">
        <v>1</v>
      </c>
      <c r="L3504" t="s">
        <v>9510</v>
      </c>
      <c r="Q3504" t="s">
        <v>260</v>
      </c>
      <c r="R3504" t="s">
        <v>261</v>
      </c>
      <c r="S3504" t="s">
        <v>261</v>
      </c>
      <c r="T3504" t="s">
        <v>261</v>
      </c>
      <c r="U3504" t="s">
        <v>261</v>
      </c>
      <c r="V3504" t="s">
        <v>262</v>
      </c>
      <c r="W3504" t="s">
        <v>261</v>
      </c>
      <c r="X3504" t="s">
        <v>261</v>
      </c>
      <c r="Y3504" t="s">
        <v>261</v>
      </c>
      <c r="AD3504" t="s">
        <v>261</v>
      </c>
      <c r="AH3504" t="s">
        <v>262</v>
      </c>
      <c r="AI3504" t="s">
        <v>261</v>
      </c>
      <c r="AJ3504" t="s">
        <v>261</v>
      </c>
      <c r="AK3504" t="s">
        <v>261</v>
      </c>
      <c r="AM3504" t="s">
        <v>262</v>
      </c>
      <c r="AN3504" t="s">
        <v>9511</v>
      </c>
    </row>
    <row r="3505" spans="1:40" x14ac:dyDescent="0.35">
      <c r="A3505">
        <v>6935182</v>
      </c>
      <c r="B3505" t="s">
        <v>9512</v>
      </c>
      <c r="C3505" t="str">
        <f>"9781800643574"</f>
        <v>9781800643574</v>
      </c>
      <c r="D3505" t="str">
        <f>"9781800643581"</f>
        <v>9781800643581</v>
      </c>
      <c r="E3505" t="s">
        <v>1807</v>
      </c>
      <c r="F3505" t="s">
        <v>1807</v>
      </c>
      <c r="G3505" s="1">
        <v>44637</v>
      </c>
      <c r="H3505" s="1">
        <v>44643</v>
      </c>
      <c r="I3505" t="s">
        <v>189</v>
      </c>
      <c r="J3505">
        <v>1</v>
      </c>
      <c r="L3505" t="s">
        <v>9513</v>
      </c>
      <c r="M3505" t="s">
        <v>249</v>
      </c>
      <c r="N3505" t="s">
        <v>9514</v>
      </c>
      <c r="O3505" s="2">
        <v>3880952</v>
      </c>
      <c r="Q3505" t="s">
        <v>260</v>
      </c>
      <c r="R3505" t="s">
        <v>261</v>
      </c>
      <c r="S3505" t="s">
        <v>261</v>
      </c>
      <c r="T3505" t="s">
        <v>261</v>
      </c>
      <c r="U3505" t="s">
        <v>261</v>
      </c>
      <c r="V3505" t="s">
        <v>262</v>
      </c>
      <c r="W3505" t="s">
        <v>261</v>
      </c>
      <c r="X3505" t="s">
        <v>261</v>
      </c>
      <c r="Y3505" t="s">
        <v>261</v>
      </c>
      <c r="Z3505" t="s">
        <v>409</v>
      </c>
      <c r="AA3505" t="s">
        <v>409</v>
      </c>
      <c r="AB3505" t="s">
        <v>409</v>
      </c>
      <c r="AC3505" t="s">
        <v>409</v>
      </c>
      <c r="AD3505" t="s">
        <v>261</v>
      </c>
      <c r="AH3505" t="s">
        <v>262</v>
      </c>
      <c r="AI3505" t="s">
        <v>262</v>
      </c>
      <c r="AJ3505" t="s">
        <v>261</v>
      </c>
      <c r="AK3505" t="s">
        <v>261</v>
      </c>
      <c r="AM3505" t="s">
        <v>262</v>
      </c>
      <c r="AN3505" t="s">
        <v>9515</v>
      </c>
    </row>
    <row r="3506" spans="1:40" x14ac:dyDescent="0.35">
      <c r="A3506">
        <v>6935556</v>
      </c>
      <c r="B3506" t="s">
        <v>9516</v>
      </c>
      <c r="C3506" t="str">
        <f>"9783658361921"</f>
        <v>9783658361921</v>
      </c>
      <c r="D3506" t="str">
        <f>"9783658361938"</f>
        <v>9783658361938</v>
      </c>
      <c r="E3506" t="s">
        <v>3972</v>
      </c>
      <c r="F3506" t="s">
        <v>3998</v>
      </c>
      <c r="G3506" s="1">
        <v>44643</v>
      </c>
      <c r="H3506" s="1">
        <v>44650</v>
      </c>
      <c r="I3506" t="s">
        <v>189</v>
      </c>
      <c r="K3506" t="s">
        <v>9517</v>
      </c>
      <c r="L3506" t="s">
        <v>9518</v>
      </c>
      <c r="M3506" t="s">
        <v>323</v>
      </c>
      <c r="N3506" t="s">
        <v>9519</v>
      </c>
      <c r="Q3506" t="s">
        <v>408</v>
      </c>
      <c r="R3506" t="s">
        <v>261</v>
      </c>
      <c r="S3506" t="s">
        <v>261</v>
      </c>
      <c r="T3506" t="s">
        <v>261</v>
      </c>
      <c r="U3506" t="s">
        <v>261</v>
      </c>
      <c r="V3506" t="s">
        <v>262</v>
      </c>
      <c r="W3506" t="s">
        <v>261</v>
      </c>
      <c r="X3506" t="s">
        <v>261</v>
      </c>
      <c r="Y3506" t="s">
        <v>261</v>
      </c>
      <c r="Z3506" t="s">
        <v>409</v>
      </c>
      <c r="AA3506" t="s">
        <v>409</v>
      </c>
      <c r="AB3506" t="s">
        <v>409</v>
      </c>
      <c r="AC3506" t="s">
        <v>409</v>
      </c>
      <c r="AD3506" t="s">
        <v>261</v>
      </c>
      <c r="AH3506" t="s">
        <v>262</v>
      </c>
      <c r="AI3506" t="s">
        <v>262</v>
      </c>
      <c r="AJ3506" t="s">
        <v>261</v>
      </c>
      <c r="AK3506" t="s">
        <v>261</v>
      </c>
      <c r="AM3506" t="s">
        <v>262</v>
      </c>
      <c r="AN3506" t="s">
        <v>9520</v>
      </c>
    </row>
    <row r="3507" spans="1:40" x14ac:dyDescent="0.35">
      <c r="A3507">
        <v>6938742</v>
      </c>
      <c r="B3507" t="s">
        <v>9521</v>
      </c>
      <c r="C3507" t="str">
        <f>"9783030985806"</f>
        <v>9783030985806</v>
      </c>
      <c r="D3507" t="str">
        <f>"9783030985813"</f>
        <v>9783030985813</v>
      </c>
      <c r="E3507" t="s">
        <v>2289</v>
      </c>
      <c r="F3507" t="s">
        <v>2290</v>
      </c>
      <c r="G3507" s="1">
        <v>44675</v>
      </c>
      <c r="H3507" s="1">
        <v>44650</v>
      </c>
      <c r="I3507" t="s">
        <v>189</v>
      </c>
      <c r="K3507" t="s">
        <v>4306</v>
      </c>
      <c r="L3507" t="s">
        <v>9522</v>
      </c>
    </row>
    <row r="3508" spans="1:40" x14ac:dyDescent="0.35">
      <c r="A3508">
        <v>6938761</v>
      </c>
      <c r="B3508" t="s">
        <v>9523</v>
      </c>
      <c r="C3508" t="str">
        <f>"9783030892883"</f>
        <v>9783030892883</v>
      </c>
      <c r="D3508" t="str">
        <f>"9783030892890"</f>
        <v>9783030892890</v>
      </c>
      <c r="E3508" t="s">
        <v>2289</v>
      </c>
      <c r="F3508" t="s">
        <v>2290</v>
      </c>
      <c r="G3508" s="1">
        <v>44675</v>
      </c>
      <c r="H3508" s="1">
        <v>44650</v>
      </c>
      <c r="I3508" t="s">
        <v>189</v>
      </c>
      <c r="L3508" t="s">
        <v>9524</v>
      </c>
    </row>
    <row r="3509" spans="1:40" x14ac:dyDescent="0.35">
      <c r="A3509">
        <v>6938770</v>
      </c>
      <c r="B3509" t="s">
        <v>9525</v>
      </c>
      <c r="C3509" t="str">
        <f>"9789811902796"</f>
        <v>9789811902796</v>
      </c>
      <c r="D3509" t="str">
        <f>"9789811902802"</f>
        <v>9789811902802</v>
      </c>
      <c r="E3509" t="s">
        <v>3404</v>
      </c>
      <c r="F3509" t="s">
        <v>2290</v>
      </c>
      <c r="G3509" s="1">
        <v>44643</v>
      </c>
      <c r="H3509" s="1">
        <v>44650</v>
      </c>
      <c r="I3509" t="s">
        <v>189</v>
      </c>
      <c r="L3509" t="s">
        <v>9526</v>
      </c>
    </row>
    <row r="3510" spans="1:40" x14ac:dyDescent="0.35">
      <c r="A3510">
        <v>6939387</v>
      </c>
      <c r="B3510" t="s">
        <v>9527</v>
      </c>
      <c r="C3510" t="str">
        <f>"9783030925765"</f>
        <v>9783030925765</v>
      </c>
      <c r="D3510" t="str">
        <f>"9783030925772"</f>
        <v>9783030925772</v>
      </c>
      <c r="E3510" t="s">
        <v>2289</v>
      </c>
      <c r="F3510" t="s">
        <v>2663</v>
      </c>
      <c r="G3510" s="1">
        <v>44679</v>
      </c>
      <c r="H3510" s="1">
        <v>44650</v>
      </c>
      <c r="I3510" t="s">
        <v>189</v>
      </c>
      <c r="K3510" t="s">
        <v>8685</v>
      </c>
      <c r="L3510" t="s">
        <v>9528</v>
      </c>
    </row>
    <row r="3511" spans="1:40" x14ac:dyDescent="0.35">
      <c r="A3511">
        <v>6939908</v>
      </c>
      <c r="B3511" t="s">
        <v>9529</v>
      </c>
      <c r="C3511" t="str">
        <f>"9781607329473"</f>
        <v>9781607329473</v>
      </c>
      <c r="D3511" t="str">
        <f>"9781607329558"</f>
        <v>9781607329558</v>
      </c>
      <c r="E3511" t="s">
        <v>1405</v>
      </c>
      <c r="F3511" t="s">
        <v>1405</v>
      </c>
      <c r="G3511" s="1">
        <v>43784</v>
      </c>
      <c r="H3511" s="1">
        <v>44672</v>
      </c>
      <c r="I3511" t="s">
        <v>189</v>
      </c>
      <c r="L3511" t="s">
        <v>9530</v>
      </c>
      <c r="M3511" t="s">
        <v>249</v>
      </c>
    </row>
    <row r="3512" spans="1:40" x14ac:dyDescent="0.35">
      <c r="A3512">
        <v>6939946</v>
      </c>
      <c r="B3512" t="s">
        <v>9531</v>
      </c>
      <c r="C3512" t="str">
        <f>""</f>
        <v/>
      </c>
      <c r="D3512" t="str">
        <f>"9788366675391"</f>
        <v>9788366675391</v>
      </c>
      <c r="E3512" t="s">
        <v>415</v>
      </c>
      <c r="F3512" t="s">
        <v>3134</v>
      </c>
      <c r="G3512" s="1">
        <v>44382</v>
      </c>
      <c r="H3512" s="1">
        <v>44649</v>
      </c>
      <c r="I3512" t="s">
        <v>189</v>
      </c>
      <c r="J3512">
        <v>1</v>
      </c>
      <c r="L3512" t="s">
        <v>9532</v>
      </c>
    </row>
    <row r="3513" spans="1:40" x14ac:dyDescent="0.35">
      <c r="A3513">
        <v>6940021</v>
      </c>
      <c r="B3513" t="s">
        <v>9533</v>
      </c>
      <c r="C3513" t="str">
        <f>"9783658367534"</f>
        <v>9783658367534</v>
      </c>
      <c r="D3513" t="str">
        <f>"9783658367541"</f>
        <v>9783658367541</v>
      </c>
      <c r="E3513" t="s">
        <v>3972</v>
      </c>
      <c r="F3513" t="s">
        <v>3998</v>
      </c>
      <c r="G3513" s="1">
        <v>44685</v>
      </c>
      <c r="H3513" s="1">
        <v>44650</v>
      </c>
      <c r="I3513" t="s">
        <v>189</v>
      </c>
      <c r="L3513" t="s">
        <v>9534</v>
      </c>
      <c r="M3513" t="s">
        <v>210</v>
      </c>
      <c r="N3513" t="s">
        <v>9535</v>
      </c>
      <c r="Q3513" t="s">
        <v>408</v>
      </c>
      <c r="R3513" t="s">
        <v>261</v>
      </c>
      <c r="S3513" t="s">
        <v>261</v>
      </c>
      <c r="T3513" t="s">
        <v>261</v>
      </c>
      <c r="U3513" t="s">
        <v>261</v>
      </c>
      <c r="V3513" t="s">
        <v>262</v>
      </c>
      <c r="W3513" t="s">
        <v>261</v>
      </c>
      <c r="X3513" t="s">
        <v>261</v>
      </c>
      <c r="Y3513" t="s">
        <v>261</v>
      </c>
      <c r="Z3513" t="s">
        <v>409</v>
      </c>
      <c r="AA3513" t="s">
        <v>409</v>
      </c>
      <c r="AB3513" t="s">
        <v>409</v>
      </c>
      <c r="AC3513" t="s">
        <v>409</v>
      </c>
      <c r="AD3513" t="s">
        <v>261</v>
      </c>
      <c r="AH3513" t="s">
        <v>262</v>
      </c>
      <c r="AI3513" t="s">
        <v>262</v>
      </c>
      <c r="AJ3513" t="s">
        <v>261</v>
      </c>
      <c r="AK3513" t="s">
        <v>261</v>
      </c>
      <c r="AM3513" t="s">
        <v>262</v>
      </c>
      <c r="AN3513" t="s">
        <v>9536</v>
      </c>
    </row>
    <row r="3514" spans="1:40" x14ac:dyDescent="0.35">
      <c r="A3514">
        <v>6940041</v>
      </c>
      <c r="B3514" t="s">
        <v>9537</v>
      </c>
      <c r="C3514" t="str">
        <f>""</f>
        <v/>
      </c>
      <c r="D3514" t="str">
        <f>"9789179292713"</f>
        <v>9789179292713</v>
      </c>
      <c r="E3514" t="s">
        <v>3642</v>
      </c>
      <c r="F3514" t="s">
        <v>3642</v>
      </c>
      <c r="G3514" s="1">
        <v>44635</v>
      </c>
      <c r="H3514" s="1">
        <v>44648</v>
      </c>
      <c r="I3514" t="s">
        <v>189</v>
      </c>
      <c r="J3514">
        <v>1</v>
      </c>
      <c r="L3514" t="s">
        <v>9538</v>
      </c>
      <c r="Q3514" t="s">
        <v>260</v>
      </c>
      <c r="R3514" t="s">
        <v>261</v>
      </c>
      <c r="S3514" t="s">
        <v>261</v>
      </c>
      <c r="T3514" t="s">
        <v>261</v>
      </c>
      <c r="U3514" t="s">
        <v>261</v>
      </c>
      <c r="V3514" t="s">
        <v>262</v>
      </c>
      <c r="W3514" t="s">
        <v>261</v>
      </c>
      <c r="X3514" t="s">
        <v>261</v>
      </c>
      <c r="Y3514" t="s">
        <v>261</v>
      </c>
      <c r="AD3514" t="s">
        <v>261</v>
      </c>
      <c r="AH3514" t="s">
        <v>262</v>
      </c>
      <c r="AI3514" t="s">
        <v>261</v>
      </c>
      <c r="AJ3514" t="s">
        <v>261</v>
      </c>
      <c r="AK3514" t="s">
        <v>261</v>
      </c>
      <c r="AM3514" t="s">
        <v>262</v>
      </c>
      <c r="AN3514" t="s">
        <v>9539</v>
      </c>
    </row>
    <row r="3515" spans="1:40" x14ac:dyDescent="0.35">
      <c r="A3515">
        <v>6940043</v>
      </c>
      <c r="B3515" t="s">
        <v>9540</v>
      </c>
      <c r="C3515" t="str">
        <f>""</f>
        <v/>
      </c>
      <c r="D3515" t="str">
        <f>"9789179291938"</f>
        <v>9789179291938</v>
      </c>
      <c r="E3515" t="s">
        <v>3642</v>
      </c>
      <c r="F3515" t="s">
        <v>3642</v>
      </c>
      <c r="G3515" s="1">
        <v>44571</v>
      </c>
      <c r="H3515" s="1">
        <v>44648</v>
      </c>
      <c r="I3515" t="s">
        <v>189</v>
      </c>
      <c r="J3515">
        <v>1</v>
      </c>
      <c r="L3515" t="s">
        <v>9541</v>
      </c>
      <c r="Q3515" t="s">
        <v>260</v>
      </c>
      <c r="R3515" t="s">
        <v>261</v>
      </c>
      <c r="S3515" t="s">
        <v>261</v>
      </c>
      <c r="T3515" t="s">
        <v>261</v>
      </c>
      <c r="U3515" t="s">
        <v>261</v>
      </c>
      <c r="V3515" t="s">
        <v>262</v>
      </c>
      <c r="W3515" t="s">
        <v>261</v>
      </c>
      <c r="X3515" t="s">
        <v>261</v>
      </c>
      <c r="Y3515" t="s">
        <v>261</v>
      </c>
      <c r="AD3515" t="s">
        <v>261</v>
      </c>
      <c r="AH3515" t="s">
        <v>262</v>
      </c>
      <c r="AI3515" t="s">
        <v>261</v>
      </c>
      <c r="AJ3515" t="s">
        <v>261</v>
      </c>
      <c r="AK3515" t="s">
        <v>261</v>
      </c>
      <c r="AM3515" t="s">
        <v>262</v>
      </c>
      <c r="AN3515" t="s">
        <v>9542</v>
      </c>
    </row>
    <row r="3516" spans="1:40" x14ac:dyDescent="0.35">
      <c r="A3516">
        <v>6940133</v>
      </c>
      <c r="B3516" t="s">
        <v>9543</v>
      </c>
      <c r="C3516" t="str">
        <f>"9783658368265"</f>
        <v>9783658368265</v>
      </c>
      <c r="D3516" t="str">
        <f>"9783658368272"</f>
        <v>9783658368272</v>
      </c>
      <c r="E3516" t="s">
        <v>3972</v>
      </c>
      <c r="F3516" t="s">
        <v>3998</v>
      </c>
      <c r="G3516" s="1">
        <v>44649</v>
      </c>
      <c r="H3516" s="1">
        <v>44672</v>
      </c>
      <c r="I3516" t="s">
        <v>189</v>
      </c>
      <c r="K3516" t="s">
        <v>9544</v>
      </c>
      <c r="L3516" t="s">
        <v>9545</v>
      </c>
      <c r="M3516" t="s">
        <v>323</v>
      </c>
      <c r="N3516" t="s">
        <v>9546</v>
      </c>
      <c r="Q3516" t="s">
        <v>408</v>
      </c>
      <c r="R3516" t="s">
        <v>261</v>
      </c>
      <c r="S3516" t="s">
        <v>261</v>
      </c>
      <c r="T3516" t="s">
        <v>261</v>
      </c>
      <c r="U3516" t="s">
        <v>261</v>
      </c>
      <c r="V3516" t="s">
        <v>262</v>
      </c>
      <c r="W3516" t="s">
        <v>261</v>
      </c>
      <c r="X3516" t="s">
        <v>261</v>
      </c>
      <c r="Y3516" t="s">
        <v>261</v>
      </c>
      <c r="Z3516" t="s">
        <v>409</v>
      </c>
      <c r="AA3516" t="s">
        <v>409</v>
      </c>
      <c r="AB3516" t="s">
        <v>409</v>
      </c>
      <c r="AC3516" t="s">
        <v>409</v>
      </c>
      <c r="AD3516" t="s">
        <v>261</v>
      </c>
      <c r="AH3516" t="s">
        <v>262</v>
      </c>
      <c r="AI3516" t="s">
        <v>262</v>
      </c>
      <c r="AJ3516" t="s">
        <v>261</v>
      </c>
      <c r="AK3516" t="s">
        <v>261</v>
      </c>
      <c r="AM3516" t="s">
        <v>262</v>
      </c>
      <c r="AN3516" t="s">
        <v>9547</v>
      </c>
    </row>
    <row r="3517" spans="1:40" x14ac:dyDescent="0.35">
      <c r="A3517">
        <v>6940169</v>
      </c>
      <c r="B3517" t="s">
        <v>9548</v>
      </c>
      <c r="C3517" t="str">
        <f>""</f>
        <v/>
      </c>
      <c r="D3517" t="str">
        <f>"9781644698846"</f>
        <v>9781644698846</v>
      </c>
      <c r="E3517" t="s">
        <v>1592</v>
      </c>
      <c r="F3517" t="s">
        <v>1592</v>
      </c>
      <c r="G3517" s="1">
        <v>44656</v>
      </c>
      <c r="H3517" s="1">
        <v>44651</v>
      </c>
      <c r="I3517" t="s">
        <v>189</v>
      </c>
      <c r="J3517">
        <v>1</v>
      </c>
      <c r="L3517" t="s">
        <v>9549</v>
      </c>
      <c r="M3517" t="s">
        <v>329</v>
      </c>
    </row>
    <row r="3518" spans="1:40" x14ac:dyDescent="0.35">
      <c r="A3518">
        <v>6940459</v>
      </c>
      <c r="B3518" t="s">
        <v>9550</v>
      </c>
      <c r="C3518" t="str">
        <f>"9783030806453"</f>
        <v>9783030806453</v>
      </c>
      <c r="D3518" t="str">
        <f>"9783030806460"</f>
        <v>9783030806460</v>
      </c>
      <c r="E3518" t="s">
        <v>2289</v>
      </c>
      <c r="F3518" t="s">
        <v>2663</v>
      </c>
      <c r="G3518" s="1">
        <v>44665</v>
      </c>
      <c r="H3518" s="1">
        <v>44672</v>
      </c>
      <c r="I3518" t="s">
        <v>189</v>
      </c>
      <c r="L3518" t="s">
        <v>9551</v>
      </c>
    </row>
    <row r="3519" spans="1:40" x14ac:dyDescent="0.35">
      <c r="A3519">
        <v>6940978</v>
      </c>
      <c r="B3519" t="s">
        <v>9552</v>
      </c>
      <c r="C3519" t="str">
        <f>"9781438488035"</f>
        <v>9781438488035</v>
      </c>
      <c r="D3519" t="str">
        <f>"9781438488059"</f>
        <v>9781438488059</v>
      </c>
      <c r="E3519" t="s">
        <v>2073</v>
      </c>
      <c r="F3519" t="s">
        <v>2074</v>
      </c>
      <c r="G3519" s="1">
        <v>44652</v>
      </c>
      <c r="H3519" s="1">
        <v>44650</v>
      </c>
      <c r="I3519" t="s">
        <v>189</v>
      </c>
      <c r="J3519">
        <v>1</v>
      </c>
      <c r="K3519" t="s">
        <v>9553</v>
      </c>
      <c r="L3519" t="s">
        <v>9554</v>
      </c>
      <c r="M3519" t="s">
        <v>578</v>
      </c>
      <c r="O3519" s="2">
        <v>79143652997072</v>
      </c>
      <c r="Q3519" t="s">
        <v>260</v>
      </c>
      <c r="R3519" t="s">
        <v>261</v>
      </c>
      <c r="S3519" t="s">
        <v>261</v>
      </c>
      <c r="T3519" t="s">
        <v>261</v>
      </c>
      <c r="U3519" t="s">
        <v>261</v>
      </c>
      <c r="V3519" t="s">
        <v>262</v>
      </c>
      <c r="W3519" t="s">
        <v>261</v>
      </c>
      <c r="X3519" t="s">
        <v>261</v>
      </c>
      <c r="Y3519" t="s">
        <v>261</v>
      </c>
      <c r="Z3519" t="s">
        <v>409</v>
      </c>
      <c r="AA3519" t="s">
        <v>409</v>
      </c>
      <c r="AB3519" t="s">
        <v>409</v>
      </c>
      <c r="AC3519" t="s">
        <v>409</v>
      </c>
      <c r="AD3519" t="s">
        <v>261</v>
      </c>
      <c r="AH3519" t="s">
        <v>262</v>
      </c>
      <c r="AI3519" t="s">
        <v>262</v>
      </c>
      <c r="AJ3519" t="s">
        <v>261</v>
      </c>
      <c r="AK3519" t="s">
        <v>261</v>
      </c>
      <c r="AM3519" t="s">
        <v>262</v>
      </c>
      <c r="AN3519" t="s">
        <v>9555</v>
      </c>
    </row>
    <row r="3520" spans="1:40" x14ac:dyDescent="0.35">
      <c r="A3520">
        <v>6941355</v>
      </c>
      <c r="B3520" t="s">
        <v>9556</v>
      </c>
      <c r="C3520" t="str">
        <f>"9783030994280"</f>
        <v>9783030994280</v>
      </c>
      <c r="D3520" t="str">
        <f>"9783030994297"</f>
        <v>9783030994297</v>
      </c>
      <c r="E3520" t="s">
        <v>2289</v>
      </c>
      <c r="F3520" t="s">
        <v>2290</v>
      </c>
      <c r="G3520" s="1">
        <v>44686</v>
      </c>
      <c r="H3520" s="1">
        <v>44672</v>
      </c>
      <c r="I3520" t="s">
        <v>189</v>
      </c>
      <c r="K3520" t="s">
        <v>4008</v>
      </c>
      <c r="L3520" t="s">
        <v>9557</v>
      </c>
    </row>
    <row r="3521" spans="1:40" x14ac:dyDescent="0.35">
      <c r="A3521">
        <v>6941372</v>
      </c>
      <c r="B3521" t="s">
        <v>9558</v>
      </c>
      <c r="C3521" t="str">
        <f>"9783030993351"</f>
        <v>9783030993351</v>
      </c>
      <c r="D3521" t="str">
        <f>"9783030993368"</f>
        <v>9783030993368</v>
      </c>
      <c r="E3521" t="s">
        <v>2289</v>
      </c>
      <c r="F3521" t="s">
        <v>2290</v>
      </c>
      <c r="G3521" s="1">
        <v>44683</v>
      </c>
      <c r="H3521" s="1">
        <v>44672</v>
      </c>
      <c r="I3521" t="s">
        <v>189</v>
      </c>
      <c r="K3521" t="s">
        <v>4008</v>
      </c>
      <c r="L3521" t="s">
        <v>9559</v>
      </c>
      <c r="M3521" t="s">
        <v>582</v>
      </c>
      <c r="N3521" t="s">
        <v>4625</v>
      </c>
      <c r="Q3521" t="s">
        <v>260</v>
      </c>
      <c r="R3521" t="s">
        <v>261</v>
      </c>
      <c r="S3521" t="s">
        <v>261</v>
      </c>
      <c r="T3521" t="s">
        <v>261</v>
      </c>
      <c r="U3521" t="s">
        <v>261</v>
      </c>
      <c r="V3521" t="s">
        <v>262</v>
      </c>
      <c r="W3521" t="s">
        <v>261</v>
      </c>
      <c r="X3521" t="s">
        <v>261</v>
      </c>
      <c r="Y3521" t="s">
        <v>261</v>
      </c>
      <c r="Z3521" t="s">
        <v>409</v>
      </c>
      <c r="AA3521" t="s">
        <v>409</v>
      </c>
      <c r="AB3521" t="s">
        <v>409</v>
      </c>
      <c r="AC3521" t="s">
        <v>409</v>
      </c>
      <c r="AD3521" t="s">
        <v>261</v>
      </c>
      <c r="AH3521" t="s">
        <v>262</v>
      </c>
      <c r="AI3521" t="s">
        <v>262</v>
      </c>
      <c r="AJ3521" t="s">
        <v>261</v>
      </c>
      <c r="AK3521" t="s">
        <v>261</v>
      </c>
      <c r="AM3521" t="s">
        <v>262</v>
      </c>
      <c r="AN3521" t="s">
        <v>9560</v>
      </c>
    </row>
    <row r="3522" spans="1:40" x14ac:dyDescent="0.35">
      <c r="A3522">
        <v>6942704</v>
      </c>
      <c r="B3522" t="s">
        <v>9561</v>
      </c>
      <c r="C3522" t="str">
        <f>"9783030992521"</f>
        <v>9783030992521</v>
      </c>
      <c r="D3522" t="str">
        <f>"9783030992538"</f>
        <v>9783030992538</v>
      </c>
      <c r="E3522" t="s">
        <v>2289</v>
      </c>
      <c r="F3522" t="s">
        <v>2290</v>
      </c>
      <c r="G3522" s="1">
        <v>44681</v>
      </c>
      <c r="H3522" s="1">
        <v>44669</v>
      </c>
      <c r="I3522" t="s">
        <v>189</v>
      </c>
      <c r="K3522" t="s">
        <v>4008</v>
      </c>
      <c r="L3522" t="s">
        <v>9562</v>
      </c>
    </row>
    <row r="3523" spans="1:40" x14ac:dyDescent="0.35">
      <c r="A3523">
        <v>6942717</v>
      </c>
      <c r="B3523" t="s">
        <v>9563</v>
      </c>
      <c r="C3523" t="str">
        <f>"9783030995232"</f>
        <v>9783030995232</v>
      </c>
      <c r="D3523" t="str">
        <f>"9783030995249"</f>
        <v>9783030995249</v>
      </c>
      <c r="E3523" t="s">
        <v>2289</v>
      </c>
      <c r="F3523" t="s">
        <v>2290</v>
      </c>
      <c r="G3523" s="1">
        <v>44686</v>
      </c>
      <c r="H3523" s="1">
        <v>44669</v>
      </c>
      <c r="I3523" t="s">
        <v>189</v>
      </c>
      <c r="K3523" t="s">
        <v>4008</v>
      </c>
      <c r="L3523" t="s">
        <v>9564</v>
      </c>
    </row>
    <row r="3524" spans="1:40" x14ac:dyDescent="0.35">
      <c r="A3524">
        <v>6942718</v>
      </c>
      <c r="B3524" t="s">
        <v>9565</v>
      </c>
      <c r="C3524" t="str">
        <f>"9783030926113"</f>
        <v>9783030926113</v>
      </c>
      <c r="D3524" t="str">
        <f>"9783030926120"</f>
        <v>9783030926120</v>
      </c>
      <c r="E3524" t="s">
        <v>2289</v>
      </c>
      <c r="F3524" t="s">
        <v>2290</v>
      </c>
      <c r="G3524" s="1">
        <v>44683</v>
      </c>
      <c r="H3524" s="1">
        <v>44669</v>
      </c>
      <c r="I3524" t="s">
        <v>189</v>
      </c>
      <c r="K3524" t="s">
        <v>9566</v>
      </c>
      <c r="L3524" t="s">
        <v>9567</v>
      </c>
    </row>
    <row r="3525" spans="1:40" x14ac:dyDescent="0.35">
      <c r="A3525">
        <v>6942731</v>
      </c>
      <c r="B3525" t="s">
        <v>9568</v>
      </c>
      <c r="C3525" t="str">
        <f>"9783030995263"</f>
        <v>9783030995263</v>
      </c>
      <c r="D3525" t="str">
        <f>"9783030995270"</f>
        <v>9783030995270</v>
      </c>
      <c r="E3525" t="s">
        <v>2289</v>
      </c>
      <c r="F3525" t="s">
        <v>2290</v>
      </c>
      <c r="G3525" s="1">
        <v>44650</v>
      </c>
      <c r="H3525" s="1">
        <v>44669</v>
      </c>
      <c r="I3525" t="s">
        <v>189</v>
      </c>
      <c r="K3525" t="s">
        <v>4008</v>
      </c>
      <c r="L3525" t="s">
        <v>9564</v>
      </c>
    </row>
    <row r="3526" spans="1:40" x14ac:dyDescent="0.35">
      <c r="A3526">
        <v>6943625</v>
      </c>
      <c r="B3526" t="s">
        <v>9569</v>
      </c>
      <c r="C3526" t="str">
        <f>"9783030964115"</f>
        <v>9783030964115</v>
      </c>
      <c r="D3526" t="str">
        <f>"9783030964122"</f>
        <v>9783030964122</v>
      </c>
      <c r="E3526" t="s">
        <v>2289</v>
      </c>
      <c r="F3526" t="s">
        <v>2290</v>
      </c>
      <c r="G3526" s="1">
        <v>44682</v>
      </c>
      <c r="H3526" s="1">
        <v>44669</v>
      </c>
      <c r="I3526" t="s">
        <v>189</v>
      </c>
      <c r="L3526" t="s">
        <v>9570</v>
      </c>
    </row>
    <row r="3527" spans="1:40" x14ac:dyDescent="0.35">
      <c r="A3527">
        <v>6944353</v>
      </c>
      <c r="B3527" t="s">
        <v>9571</v>
      </c>
      <c r="C3527" t="str">
        <f>"9783030919580"</f>
        <v>9783030919580</v>
      </c>
      <c r="D3527" t="str">
        <f>"9783030919597"</f>
        <v>9783030919597</v>
      </c>
      <c r="E3527" t="s">
        <v>2289</v>
      </c>
      <c r="F3527" t="s">
        <v>2663</v>
      </c>
      <c r="G3527" s="1">
        <v>44653</v>
      </c>
      <c r="H3527" s="1">
        <v>44669</v>
      </c>
      <c r="I3527" t="s">
        <v>189</v>
      </c>
      <c r="L3527" t="s">
        <v>9572</v>
      </c>
    </row>
    <row r="3528" spans="1:40" x14ac:dyDescent="0.35">
      <c r="A3528">
        <v>6944375</v>
      </c>
      <c r="B3528" t="s">
        <v>9573</v>
      </c>
      <c r="C3528" t="str">
        <f>"9783658366186"</f>
        <v>9783658366186</v>
      </c>
      <c r="D3528" t="str">
        <f>"9783658366193"</f>
        <v>9783658366193</v>
      </c>
      <c r="E3528" t="s">
        <v>3972</v>
      </c>
      <c r="F3528" t="s">
        <v>2290</v>
      </c>
      <c r="G3528" s="1">
        <v>44653</v>
      </c>
      <c r="H3528" s="1">
        <v>44669</v>
      </c>
      <c r="I3528" t="s">
        <v>189</v>
      </c>
      <c r="L3528" t="s">
        <v>9574</v>
      </c>
      <c r="M3528" t="s">
        <v>329</v>
      </c>
      <c r="N3528" t="s">
        <v>9575</v>
      </c>
      <c r="Q3528" t="s">
        <v>408</v>
      </c>
      <c r="R3528" t="s">
        <v>261</v>
      </c>
      <c r="S3528" t="s">
        <v>261</v>
      </c>
      <c r="T3528" t="s">
        <v>261</v>
      </c>
      <c r="U3528" t="s">
        <v>261</v>
      </c>
      <c r="V3528" t="s">
        <v>262</v>
      </c>
      <c r="W3528" t="s">
        <v>261</v>
      </c>
      <c r="X3528" t="s">
        <v>261</v>
      </c>
      <c r="Y3528" t="s">
        <v>261</v>
      </c>
      <c r="Z3528" t="s">
        <v>409</v>
      </c>
      <c r="AA3528" t="s">
        <v>409</v>
      </c>
      <c r="AB3528" t="s">
        <v>409</v>
      </c>
      <c r="AC3528" t="s">
        <v>409</v>
      </c>
      <c r="AD3528" t="s">
        <v>261</v>
      </c>
      <c r="AH3528" t="s">
        <v>262</v>
      </c>
      <c r="AI3528" t="s">
        <v>262</v>
      </c>
      <c r="AJ3528" t="s">
        <v>261</v>
      </c>
      <c r="AK3528" t="s">
        <v>261</v>
      </c>
      <c r="AM3528" t="s">
        <v>262</v>
      </c>
      <c r="AN3528" t="s">
        <v>9576</v>
      </c>
    </row>
    <row r="3529" spans="1:40" x14ac:dyDescent="0.35">
      <c r="A3529">
        <v>6944403</v>
      </c>
      <c r="B3529" t="s">
        <v>9577</v>
      </c>
      <c r="C3529" t="str">
        <f>"9783030928162"</f>
        <v>9783030928162</v>
      </c>
      <c r="D3529" t="str">
        <f>"9783030928179"</f>
        <v>9783030928179</v>
      </c>
      <c r="E3529" t="s">
        <v>2289</v>
      </c>
      <c r="F3529" t="s">
        <v>2290</v>
      </c>
      <c r="G3529" s="1">
        <v>44714</v>
      </c>
      <c r="H3529" s="1">
        <v>44669</v>
      </c>
      <c r="I3529" t="s">
        <v>189</v>
      </c>
      <c r="K3529" t="s">
        <v>9578</v>
      </c>
      <c r="L3529" t="s">
        <v>9579</v>
      </c>
    </row>
    <row r="3530" spans="1:40" x14ac:dyDescent="0.35">
      <c r="A3530">
        <v>6944412</v>
      </c>
      <c r="B3530" t="s">
        <v>9580</v>
      </c>
      <c r="C3530" t="str">
        <f>"9783658370527"</f>
        <v>9783658370527</v>
      </c>
      <c r="D3530" t="str">
        <f>"9783658370534"</f>
        <v>9783658370534</v>
      </c>
      <c r="E3530" t="s">
        <v>3972</v>
      </c>
      <c r="F3530" t="s">
        <v>3998</v>
      </c>
      <c r="G3530" s="1">
        <v>44691</v>
      </c>
      <c r="H3530" s="1">
        <v>44669</v>
      </c>
      <c r="I3530" t="s">
        <v>189</v>
      </c>
      <c r="K3530" t="s">
        <v>9168</v>
      </c>
      <c r="L3530" t="s">
        <v>9581</v>
      </c>
      <c r="M3530" t="s">
        <v>199</v>
      </c>
      <c r="N3530" t="s">
        <v>5873</v>
      </c>
      <c r="Q3530" t="s">
        <v>408</v>
      </c>
      <c r="R3530" t="s">
        <v>261</v>
      </c>
      <c r="S3530" t="s">
        <v>261</v>
      </c>
      <c r="T3530" t="s">
        <v>261</v>
      </c>
      <c r="U3530" t="s">
        <v>261</v>
      </c>
      <c r="V3530" t="s">
        <v>262</v>
      </c>
      <c r="W3530" t="s">
        <v>261</v>
      </c>
      <c r="X3530" t="s">
        <v>261</v>
      </c>
      <c r="Y3530" t="s">
        <v>261</v>
      </c>
      <c r="Z3530" t="s">
        <v>409</v>
      </c>
      <c r="AA3530" t="s">
        <v>409</v>
      </c>
      <c r="AB3530" t="s">
        <v>409</v>
      </c>
      <c r="AC3530" t="s">
        <v>409</v>
      </c>
      <c r="AD3530" t="s">
        <v>261</v>
      </c>
      <c r="AH3530" t="s">
        <v>262</v>
      </c>
      <c r="AI3530" t="s">
        <v>262</v>
      </c>
      <c r="AJ3530" t="s">
        <v>261</v>
      </c>
      <c r="AK3530" t="s">
        <v>261</v>
      </c>
      <c r="AM3530" t="s">
        <v>262</v>
      </c>
      <c r="AN3530" t="s">
        <v>9582</v>
      </c>
    </row>
    <row r="3531" spans="1:40" x14ac:dyDescent="0.35">
      <c r="A3531">
        <v>6944580</v>
      </c>
      <c r="B3531" t="s">
        <v>9583</v>
      </c>
      <c r="C3531" t="str">
        <f>"9781783748228"</f>
        <v>9781783748228</v>
      </c>
      <c r="D3531" t="str">
        <f>"9781783748235"</f>
        <v>9781783748235</v>
      </c>
      <c r="E3531" t="s">
        <v>1807</v>
      </c>
      <c r="F3531" t="s">
        <v>1807</v>
      </c>
      <c r="G3531" s="1">
        <v>43777</v>
      </c>
      <c r="H3531" s="1">
        <v>44653</v>
      </c>
      <c r="I3531" t="s">
        <v>189</v>
      </c>
      <c r="J3531">
        <v>1</v>
      </c>
      <c r="L3531" t="s">
        <v>9584</v>
      </c>
    </row>
    <row r="3532" spans="1:40" x14ac:dyDescent="0.35">
      <c r="A3532">
        <v>6944864</v>
      </c>
      <c r="B3532" t="s">
        <v>9585</v>
      </c>
      <c r="C3532" t="str">
        <f>"9781644694145"</f>
        <v>9781644694145</v>
      </c>
      <c r="D3532" t="str">
        <f>"9781644698303"</f>
        <v>9781644698303</v>
      </c>
      <c r="E3532" t="s">
        <v>1592</v>
      </c>
      <c r="F3532" t="s">
        <v>1592</v>
      </c>
      <c r="G3532" s="1">
        <v>44642</v>
      </c>
      <c r="H3532" s="1">
        <v>44654</v>
      </c>
      <c r="I3532" t="s">
        <v>189</v>
      </c>
      <c r="J3532">
        <v>1</v>
      </c>
      <c r="L3532" t="s">
        <v>9586</v>
      </c>
      <c r="M3532" t="s">
        <v>676</v>
      </c>
      <c r="O3532" s="2">
        <v>491709</v>
      </c>
      <c r="Q3532" t="s">
        <v>260</v>
      </c>
      <c r="R3532" t="s">
        <v>261</v>
      </c>
      <c r="S3532" t="s">
        <v>261</v>
      </c>
      <c r="T3532" t="s">
        <v>261</v>
      </c>
      <c r="U3532" t="s">
        <v>261</v>
      </c>
      <c r="V3532" t="s">
        <v>262</v>
      </c>
      <c r="W3532" t="s">
        <v>261</v>
      </c>
      <c r="X3532" t="s">
        <v>261</v>
      </c>
      <c r="Y3532" t="s">
        <v>261</v>
      </c>
      <c r="Z3532" t="s">
        <v>409</v>
      </c>
      <c r="AA3532" t="s">
        <v>409</v>
      </c>
      <c r="AB3532" t="s">
        <v>409</v>
      </c>
      <c r="AC3532" t="s">
        <v>409</v>
      </c>
      <c r="AD3532" t="s">
        <v>261</v>
      </c>
      <c r="AH3532" t="s">
        <v>262</v>
      </c>
      <c r="AI3532" t="s">
        <v>262</v>
      </c>
      <c r="AJ3532" t="s">
        <v>261</v>
      </c>
      <c r="AK3532" t="s">
        <v>261</v>
      </c>
      <c r="AM3532" t="s">
        <v>262</v>
      </c>
      <c r="AN3532" t="s">
        <v>9587</v>
      </c>
    </row>
    <row r="3533" spans="1:40" x14ac:dyDescent="0.35">
      <c r="A3533">
        <v>6944886</v>
      </c>
      <c r="B3533" t="s">
        <v>9588</v>
      </c>
      <c r="C3533" t="str">
        <f>"9781846311833"</f>
        <v>9781846311833</v>
      </c>
      <c r="D3533" t="str">
        <f>"9781789624229"</f>
        <v>9781789624229</v>
      </c>
      <c r="E3533" t="s">
        <v>3696</v>
      </c>
      <c r="F3533" t="s">
        <v>3696</v>
      </c>
      <c r="G3533" s="1">
        <v>39934</v>
      </c>
      <c r="H3533" s="1">
        <v>44657</v>
      </c>
      <c r="I3533" t="s">
        <v>189</v>
      </c>
      <c r="J3533">
        <v>1</v>
      </c>
      <c r="K3533" t="s">
        <v>9051</v>
      </c>
      <c r="L3533" t="s">
        <v>9589</v>
      </c>
      <c r="M3533" t="s">
        <v>219</v>
      </c>
      <c r="Q3533" t="s">
        <v>260</v>
      </c>
      <c r="R3533" t="s">
        <v>261</v>
      </c>
      <c r="S3533" t="s">
        <v>261</v>
      </c>
      <c r="T3533" t="s">
        <v>261</v>
      </c>
      <c r="U3533" t="s">
        <v>261</v>
      </c>
      <c r="V3533" t="s">
        <v>262</v>
      </c>
      <c r="W3533" t="s">
        <v>261</v>
      </c>
      <c r="X3533" t="s">
        <v>261</v>
      </c>
      <c r="Y3533" t="s">
        <v>261</v>
      </c>
      <c r="Z3533" t="s">
        <v>409</v>
      </c>
      <c r="AA3533" t="s">
        <v>409</v>
      </c>
      <c r="AB3533" t="s">
        <v>409</v>
      </c>
      <c r="AC3533" t="s">
        <v>409</v>
      </c>
      <c r="AD3533" t="s">
        <v>261</v>
      </c>
      <c r="AH3533" t="s">
        <v>262</v>
      </c>
      <c r="AI3533" t="s">
        <v>262</v>
      </c>
      <c r="AJ3533" t="s">
        <v>261</v>
      </c>
      <c r="AK3533" t="s">
        <v>261</v>
      </c>
      <c r="AM3533" t="s">
        <v>262</v>
      </c>
      <c r="AN3533" t="s">
        <v>9590</v>
      </c>
    </row>
    <row r="3534" spans="1:40" x14ac:dyDescent="0.35">
      <c r="A3534">
        <v>6944888</v>
      </c>
      <c r="B3534" t="s">
        <v>9591</v>
      </c>
      <c r="C3534" t="str">
        <f>"9781846314780"</f>
        <v>9781846314780</v>
      </c>
      <c r="D3534" t="str">
        <f>"9781789624182"</f>
        <v>9781789624182</v>
      </c>
      <c r="E3534" t="s">
        <v>3696</v>
      </c>
      <c r="F3534" t="s">
        <v>3696</v>
      </c>
      <c r="G3534" s="1">
        <v>40436</v>
      </c>
      <c r="H3534" s="1">
        <v>44657</v>
      </c>
      <c r="I3534" t="s">
        <v>189</v>
      </c>
      <c r="J3534">
        <v>1</v>
      </c>
      <c r="K3534" t="s">
        <v>9059</v>
      </c>
      <c r="L3534" t="s">
        <v>9592</v>
      </c>
      <c r="M3534" t="s">
        <v>219</v>
      </c>
      <c r="O3534" s="2">
        <v>821914</v>
      </c>
      <c r="Q3534" t="s">
        <v>260</v>
      </c>
      <c r="R3534" t="s">
        <v>261</v>
      </c>
      <c r="S3534" t="s">
        <v>261</v>
      </c>
      <c r="T3534" t="s">
        <v>261</v>
      </c>
      <c r="U3534" t="s">
        <v>261</v>
      </c>
      <c r="V3534" t="s">
        <v>262</v>
      </c>
      <c r="W3534" t="s">
        <v>261</v>
      </c>
      <c r="X3534" t="s">
        <v>261</v>
      </c>
      <c r="Y3534" t="s">
        <v>261</v>
      </c>
      <c r="Z3534" t="s">
        <v>409</v>
      </c>
      <c r="AA3534" t="s">
        <v>409</v>
      </c>
      <c r="AB3534" t="s">
        <v>409</v>
      </c>
      <c r="AC3534" t="s">
        <v>409</v>
      </c>
      <c r="AD3534" t="s">
        <v>261</v>
      </c>
      <c r="AH3534" t="s">
        <v>262</v>
      </c>
      <c r="AI3534" t="s">
        <v>262</v>
      </c>
      <c r="AJ3534" t="s">
        <v>261</v>
      </c>
      <c r="AK3534" t="s">
        <v>261</v>
      </c>
      <c r="AM3534" t="s">
        <v>262</v>
      </c>
      <c r="AN3534" t="s">
        <v>9593</v>
      </c>
    </row>
    <row r="3535" spans="1:40" x14ac:dyDescent="0.35">
      <c r="A3535">
        <v>6944889</v>
      </c>
      <c r="B3535" t="s">
        <v>9594</v>
      </c>
      <c r="C3535" t="str">
        <f>"9781786942050"</f>
        <v>9781786942050</v>
      </c>
      <c r="D3535" t="str">
        <f>"9781786949646"</f>
        <v>9781786949646</v>
      </c>
      <c r="E3535" t="s">
        <v>3696</v>
      </c>
      <c r="F3535" t="s">
        <v>3696</v>
      </c>
      <c r="G3535" s="1">
        <v>43525</v>
      </c>
      <c r="H3535" s="1">
        <v>44657</v>
      </c>
      <c r="I3535" t="s">
        <v>189</v>
      </c>
      <c r="J3535">
        <v>1</v>
      </c>
      <c r="L3535" t="s">
        <v>9595</v>
      </c>
      <c r="M3535" t="s">
        <v>282</v>
      </c>
      <c r="O3535" s="2">
        <v>3321068</v>
      </c>
      <c r="Q3535" t="s">
        <v>260</v>
      </c>
      <c r="R3535" t="s">
        <v>261</v>
      </c>
      <c r="S3535" t="s">
        <v>261</v>
      </c>
      <c r="T3535" t="s">
        <v>261</v>
      </c>
      <c r="U3535" t="s">
        <v>261</v>
      </c>
      <c r="V3535" t="s">
        <v>262</v>
      </c>
      <c r="W3535" t="s">
        <v>261</v>
      </c>
      <c r="X3535" t="s">
        <v>261</v>
      </c>
      <c r="Y3535" t="s">
        <v>261</v>
      </c>
      <c r="Z3535" t="s">
        <v>409</v>
      </c>
      <c r="AA3535" t="s">
        <v>409</v>
      </c>
      <c r="AB3535" t="s">
        <v>409</v>
      </c>
      <c r="AC3535" t="s">
        <v>409</v>
      </c>
      <c r="AD3535" t="s">
        <v>261</v>
      </c>
      <c r="AH3535" t="s">
        <v>262</v>
      </c>
      <c r="AI3535" t="s">
        <v>262</v>
      </c>
      <c r="AJ3535" t="s">
        <v>261</v>
      </c>
      <c r="AK3535" t="s">
        <v>261</v>
      </c>
      <c r="AM3535" t="s">
        <v>262</v>
      </c>
      <c r="AN3535" t="s">
        <v>9596</v>
      </c>
    </row>
    <row r="3536" spans="1:40" x14ac:dyDescent="0.35">
      <c r="A3536">
        <v>6944890</v>
      </c>
      <c r="B3536" t="s">
        <v>9597</v>
      </c>
      <c r="C3536" t="str">
        <f>"9781846311949"</f>
        <v>9781846311949</v>
      </c>
      <c r="D3536" t="str">
        <f>"9781789624212"</f>
        <v>9781789624212</v>
      </c>
      <c r="E3536" t="s">
        <v>3696</v>
      </c>
      <c r="F3536" t="s">
        <v>3696</v>
      </c>
      <c r="G3536" s="1">
        <v>39965</v>
      </c>
      <c r="H3536" s="1">
        <v>44657</v>
      </c>
      <c r="I3536" t="s">
        <v>189</v>
      </c>
      <c r="J3536">
        <v>1</v>
      </c>
      <c r="K3536" t="s">
        <v>9059</v>
      </c>
      <c r="L3536" t="s">
        <v>9598</v>
      </c>
      <c r="M3536" t="s">
        <v>239</v>
      </c>
      <c r="O3536" s="2">
        <v>941081092</v>
      </c>
      <c r="Q3536" t="s">
        <v>260</v>
      </c>
      <c r="R3536" t="s">
        <v>261</v>
      </c>
      <c r="S3536" t="s">
        <v>261</v>
      </c>
      <c r="T3536" t="s">
        <v>261</v>
      </c>
      <c r="U3536" t="s">
        <v>261</v>
      </c>
      <c r="V3536" t="s">
        <v>262</v>
      </c>
      <c r="W3536" t="s">
        <v>261</v>
      </c>
      <c r="X3536" t="s">
        <v>261</v>
      </c>
      <c r="Y3536" t="s">
        <v>261</v>
      </c>
      <c r="Z3536" t="s">
        <v>409</v>
      </c>
      <c r="AA3536" t="s">
        <v>409</v>
      </c>
      <c r="AB3536" t="s">
        <v>409</v>
      </c>
      <c r="AC3536" t="s">
        <v>409</v>
      </c>
      <c r="AD3536" t="s">
        <v>261</v>
      </c>
      <c r="AH3536" t="s">
        <v>262</v>
      </c>
      <c r="AI3536" t="s">
        <v>262</v>
      </c>
      <c r="AJ3536" t="s">
        <v>261</v>
      </c>
      <c r="AK3536" t="s">
        <v>261</v>
      </c>
      <c r="AM3536" t="s">
        <v>262</v>
      </c>
      <c r="AN3536" t="s">
        <v>9599</v>
      </c>
    </row>
    <row r="3537" spans="1:40" x14ac:dyDescent="0.35">
      <c r="A3537">
        <v>6944931</v>
      </c>
      <c r="B3537" t="s">
        <v>9600</v>
      </c>
      <c r="C3537" t="str">
        <f>"9783030949631"</f>
        <v>9783030949631</v>
      </c>
      <c r="D3537" t="str">
        <f>"9783030949648"</f>
        <v>9783030949648</v>
      </c>
      <c r="E3537" t="s">
        <v>2289</v>
      </c>
      <c r="F3537" t="s">
        <v>2663</v>
      </c>
      <c r="G3537" s="1">
        <v>44653</v>
      </c>
      <c r="H3537" s="1">
        <v>44669</v>
      </c>
      <c r="I3537" t="s">
        <v>189</v>
      </c>
      <c r="K3537" t="s">
        <v>9601</v>
      </c>
      <c r="L3537" t="s">
        <v>9602</v>
      </c>
      <c r="M3537" t="s">
        <v>329</v>
      </c>
      <c r="N3537" t="s">
        <v>9603</v>
      </c>
      <c r="O3537" s="2">
        <v>3052350971</v>
      </c>
      <c r="Q3537" t="s">
        <v>260</v>
      </c>
      <c r="R3537" t="s">
        <v>261</v>
      </c>
      <c r="S3537" t="s">
        <v>261</v>
      </c>
      <c r="T3537" t="s">
        <v>261</v>
      </c>
      <c r="U3537" t="s">
        <v>261</v>
      </c>
      <c r="V3537" t="s">
        <v>262</v>
      </c>
      <c r="W3537" t="s">
        <v>261</v>
      </c>
      <c r="X3537" t="s">
        <v>261</v>
      </c>
      <c r="Y3537" t="s">
        <v>261</v>
      </c>
      <c r="Z3537" t="s">
        <v>409</v>
      </c>
      <c r="AA3537" t="s">
        <v>409</v>
      </c>
      <c r="AB3537" t="s">
        <v>409</v>
      </c>
      <c r="AC3537" t="s">
        <v>409</v>
      </c>
      <c r="AD3537" t="s">
        <v>261</v>
      </c>
      <c r="AH3537" t="s">
        <v>262</v>
      </c>
      <c r="AI3537" t="s">
        <v>262</v>
      </c>
      <c r="AJ3537" t="s">
        <v>261</v>
      </c>
      <c r="AK3537" t="s">
        <v>261</v>
      </c>
      <c r="AM3537" t="s">
        <v>262</v>
      </c>
      <c r="AN3537" t="s">
        <v>9604</v>
      </c>
    </row>
    <row r="3538" spans="1:40" x14ac:dyDescent="0.35">
      <c r="A3538">
        <v>6944947</v>
      </c>
      <c r="B3538" t="s">
        <v>9605</v>
      </c>
      <c r="C3538" t="str">
        <f>"9789811676208"</f>
        <v>9789811676208</v>
      </c>
      <c r="D3538" t="str">
        <f>"9789811676215"</f>
        <v>9789811676215</v>
      </c>
      <c r="E3538" t="s">
        <v>2290</v>
      </c>
      <c r="F3538" t="s">
        <v>2290</v>
      </c>
      <c r="G3538" s="1">
        <v>44653</v>
      </c>
      <c r="H3538" s="1">
        <v>44669</v>
      </c>
      <c r="I3538" t="s">
        <v>189</v>
      </c>
      <c r="K3538" t="s">
        <v>8881</v>
      </c>
      <c r="L3538" t="s">
        <v>9606</v>
      </c>
    </row>
    <row r="3539" spans="1:40" x14ac:dyDescent="0.35">
      <c r="A3539">
        <v>6944978</v>
      </c>
      <c r="B3539" t="s">
        <v>9607</v>
      </c>
      <c r="C3539" t="str">
        <f>""</f>
        <v/>
      </c>
      <c r="D3539" t="str">
        <f>"9789179292690"</f>
        <v>9789179292690</v>
      </c>
      <c r="E3539" t="s">
        <v>3642</v>
      </c>
      <c r="F3539" t="s">
        <v>3642</v>
      </c>
      <c r="G3539" s="1">
        <v>44647</v>
      </c>
      <c r="H3539" s="1">
        <v>44662</v>
      </c>
      <c r="I3539" t="s">
        <v>189</v>
      </c>
      <c r="J3539">
        <v>1</v>
      </c>
      <c r="L3539" t="s">
        <v>9608</v>
      </c>
      <c r="Q3539" t="s">
        <v>260</v>
      </c>
      <c r="R3539" t="s">
        <v>261</v>
      </c>
      <c r="S3539" t="s">
        <v>261</v>
      </c>
      <c r="T3539" t="s">
        <v>261</v>
      </c>
      <c r="U3539" t="s">
        <v>261</v>
      </c>
      <c r="V3539" t="s">
        <v>262</v>
      </c>
      <c r="W3539" t="s">
        <v>261</v>
      </c>
      <c r="X3539" t="s">
        <v>261</v>
      </c>
      <c r="Y3539" t="s">
        <v>261</v>
      </c>
      <c r="AD3539" t="s">
        <v>261</v>
      </c>
      <c r="AH3539" t="s">
        <v>262</v>
      </c>
      <c r="AI3539" t="s">
        <v>261</v>
      </c>
      <c r="AJ3539" t="s">
        <v>261</v>
      </c>
      <c r="AK3539" t="s">
        <v>261</v>
      </c>
      <c r="AM3539" t="s">
        <v>262</v>
      </c>
      <c r="AN3539" t="s">
        <v>9609</v>
      </c>
    </row>
    <row r="3540" spans="1:40" x14ac:dyDescent="0.35">
      <c r="A3540">
        <v>6944979</v>
      </c>
      <c r="B3540" t="s">
        <v>9610</v>
      </c>
      <c r="C3540" t="str">
        <f>""</f>
        <v/>
      </c>
      <c r="D3540" t="str">
        <f>"9789179291808"</f>
        <v>9789179291808</v>
      </c>
      <c r="E3540" t="s">
        <v>3642</v>
      </c>
      <c r="F3540" t="s">
        <v>3642</v>
      </c>
      <c r="G3540" s="1">
        <v>44650</v>
      </c>
      <c r="H3540" s="1">
        <v>44662</v>
      </c>
      <c r="I3540" t="s">
        <v>189</v>
      </c>
      <c r="J3540">
        <v>1</v>
      </c>
      <c r="L3540" t="s">
        <v>9611</v>
      </c>
      <c r="Q3540" t="s">
        <v>260</v>
      </c>
      <c r="R3540" t="s">
        <v>261</v>
      </c>
      <c r="S3540" t="s">
        <v>261</v>
      </c>
      <c r="T3540" t="s">
        <v>261</v>
      </c>
      <c r="U3540" t="s">
        <v>261</v>
      </c>
      <c r="V3540" t="s">
        <v>262</v>
      </c>
      <c r="W3540" t="s">
        <v>261</v>
      </c>
      <c r="X3540" t="s">
        <v>261</v>
      </c>
      <c r="Y3540" t="s">
        <v>261</v>
      </c>
      <c r="AD3540" t="s">
        <v>261</v>
      </c>
      <c r="AH3540" t="s">
        <v>262</v>
      </c>
      <c r="AI3540" t="s">
        <v>261</v>
      </c>
      <c r="AJ3540" t="s">
        <v>261</v>
      </c>
      <c r="AK3540" t="s">
        <v>261</v>
      </c>
      <c r="AM3540" t="s">
        <v>262</v>
      </c>
      <c r="AN3540" t="s">
        <v>9612</v>
      </c>
    </row>
    <row r="3541" spans="1:40" x14ac:dyDescent="0.35">
      <c r="A3541">
        <v>6946353</v>
      </c>
      <c r="B3541" t="s">
        <v>9613</v>
      </c>
      <c r="C3541" t="str">
        <f>"9783030968434"</f>
        <v>9783030968434</v>
      </c>
      <c r="D3541" t="str">
        <f>"9783030968441"</f>
        <v>9783030968441</v>
      </c>
      <c r="E3541" t="s">
        <v>2289</v>
      </c>
      <c r="F3541" t="s">
        <v>2290</v>
      </c>
      <c r="G3541" s="1">
        <v>44685</v>
      </c>
      <c r="H3541" s="1">
        <v>44669</v>
      </c>
      <c r="I3541" t="s">
        <v>189</v>
      </c>
      <c r="K3541" t="s">
        <v>7237</v>
      </c>
      <c r="L3541" t="s">
        <v>9614</v>
      </c>
    </row>
    <row r="3542" spans="1:40" x14ac:dyDescent="0.35">
      <c r="A3542">
        <v>6946374</v>
      </c>
      <c r="B3542" t="s">
        <v>9615</v>
      </c>
      <c r="C3542" t="str">
        <f>"9783662646847"</f>
        <v>9783662646847</v>
      </c>
      <c r="D3542" t="str">
        <f>"9783662646854"</f>
        <v>9783662646854</v>
      </c>
      <c r="E3542" t="s">
        <v>4047</v>
      </c>
      <c r="F3542" t="s">
        <v>2290</v>
      </c>
      <c r="G3542" s="1">
        <v>44656</v>
      </c>
      <c r="H3542" s="1">
        <v>44669</v>
      </c>
      <c r="I3542" t="s">
        <v>189</v>
      </c>
      <c r="L3542" t="s">
        <v>63</v>
      </c>
    </row>
    <row r="3543" spans="1:40" x14ac:dyDescent="0.35">
      <c r="A3543">
        <v>6947041</v>
      </c>
      <c r="B3543" t="s">
        <v>9616</v>
      </c>
      <c r="C3543" t="str">
        <f>"9783658333058"</f>
        <v>9783658333058</v>
      </c>
      <c r="D3543" t="str">
        <f>"9783658333065"</f>
        <v>9783658333065</v>
      </c>
      <c r="E3543" t="s">
        <v>3972</v>
      </c>
      <c r="F3543" t="s">
        <v>3972</v>
      </c>
      <c r="G3543" s="1">
        <v>44657</v>
      </c>
      <c r="H3543" s="1">
        <v>44669</v>
      </c>
      <c r="I3543" t="s">
        <v>189</v>
      </c>
      <c r="K3543" t="s">
        <v>9617</v>
      </c>
      <c r="L3543" t="s">
        <v>9618</v>
      </c>
    </row>
    <row r="3544" spans="1:40" x14ac:dyDescent="0.35">
      <c r="A3544">
        <v>6947060</v>
      </c>
      <c r="B3544" t="s">
        <v>9619</v>
      </c>
      <c r="C3544" t="str">
        <f>"9783030945763"</f>
        <v>9783030945763</v>
      </c>
      <c r="D3544" t="str">
        <f>"9783030945770"</f>
        <v>9783030945770</v>
      </c>
      <c r="E3544" t="s">
        <v>2289</v>
      </c>
      <c r="F3544" t="s">
        <v>2290</v>
      </c>
      <c r="G3544" s="1">
        <v>44657</v>
      </c>
      <c r="H3544" s="1">
        <v>44669</v>
      </c>
      <c r="I3544" t="s">
        <v>189</v>
      </c>
      <c r="L3544" t="s">
        <v>9620</v>
      </c>
      <c r="M3544" t="s">
        <v>339</v>
      </c>
      <c r="N3544" t="s">
        <v>9621</v>
      </c>
      <c r="Q3544" t="s">
        <v>260</v>
      </c>
      <c r="R3544" t="s">
        <v>261</v>
      </c>
      <c r="S3544" t="s">
        <v>261</v>
      </c>
      <c r="T3544" t="s">
        <v>261</v>
      </c>
      <c r="U3544" t="s">
        <v>261</v>
      </c>
      <c r="V3544" t="s">
        <v>262</v>
      </c>
      <c r="W3544" t="s">
        <v>261</v>
      </c>
      <c r="X3544" t="s">
        <v>261</v>
      </c>
      <c r="Y3544" t="s">
        <v>261</v>
      </c>
      <c r="Z3544" t="s">
        <v>409</v>
      </c>
      <c r="AA3544" t="s">
        <v>409</v>
      </c>
      <c r="AB3544" t="s">
        <v>409</v>
      </c>
      <c r="AC3544" t="s">
        <v>409</v>
      </c>
      <c r="AD3544" t="s">
        <v>261</v>
      </c>
      <c r="AH3544" t="s">
        <v>262</v>
      </c>
      <c r="AI3544" t="s">
        <v>262</v>
      </c>
      <c r="AJ3544" t="s">
        <v>261</v>
      </c>
      <c r="AK3544" t="s">
        <v>261</v>
      </c>
      <c r="AM3544" t="s">
        <v>262</v>
      </c>
      <c r="AN3544" t="s">
        <v>9622</v>
      </c>
    </row>
    <row r="3545" spans="1:40" x14ac:dyDescent="0.35">
      <c r="A3545">
        <v>6949311</v>
      </c>
      <c r="B3545" t="s">
        <v>9623</v>
      </c>
      <c r="C3545" t="str">
        <f>"9783031040351"</f>
        <v>9783031040351</v>
      </c>
      <c r="D3545" t="str">
        <f>"9783031040368"</f>
        <v>9783031040368</v>
      </c>
      <c r="E3545" t="s">
        <v>2289</v>
      </c>
      <c r="F3545" t="s">
        <v>2290</v>
      </c>
      <c r="G3545" s="1">
        <v>44689</v>
      </c>
      <c r="H3545" s="1">
        <v>44669</v>
      </c>
      <c r="I3545" t="s">
        <v>189</v>
      </c>
      <c r="K3545" t="s">
        <v>4008</v>
      </c>
      <c r="L3545" t="s">
        <v>9624</v>
      </c>
    </row>
    <row r="3546" spans="1:40" x14ac:dyDescent="0.35">
      <c r="A3546">
        <v>6949317</v>
      </c>
      <c r="B3546" t="s">
        <v>9625</v>
      </c>
      <c r="C3546" t="str">
        <f>"9783030898571"</f>
        <v>9783030898571</v>
      </c>
      <c r="D3546" t="str">
        <f>"9783030898588"</f>
        <v>9783030898588</v>
      </c>
      <c r="E3546" t="s">
        <v>2289</v>
      </c>
      <c r="F3546" t="s">
        <v>2663</v>
      </c>
      <c r="G3546" s="1">
        <v>44658</v>
      </c>
      <c r="H3546" s="1">
        <v>44669</v>
      </c>
      <c r="I3546" t="s">
        <v>189</v>
      </c>
      <c r="K3546" t="s">
        <v>9626</v>
      </c>
      <c r="L3546" t="s">
        <v>9627</v>
      </c>
    </row>
    <row r="3547" spans="1:40" x14ac:dyDescent="0.35">
      <c r="A3547">
        <v>6949332</v>
      </c>
      <c r="B3547" t="s">
        <v>9628</v>
      </c>
      <c r="C3547" t="str">
        <f>"9783030862350"</f>
        <v>9783030862350</v>
      </c>
      <c r="D3547" t="str">
        <f>"9783030862367"</f>
        <v>9783030862367</v>
      </c>
      <c r="E3547" t="s">
        <v>2289</v>
      </c>
      <c r="F3547" t="s">
        <v>2290</v>
      </c>
      <c r="G3547" s="1">
        <v>44689</v>
      </c>
      <c r="H3547" s="1">
        <v>44669</v>
      </c>
      <c r="I3547" t="s">
        <v>189</v>
      </c>
      <c r="K3547" t="s">
        <v>9629</v>
      </c>
      <c r="L3547" t="s">
        <v>9630</v>
      </c>
    </row>
    <row r="3548" spans="1:40" x14ac:dyDescent="0.35">
      <c r="A3548">
        <v>6949336</v>
      </c>
      <c r="B3548" t="s">
        <v>9631</v>
      </c>
      <c r="C3548" t="str">
        <f>"9783030920210"</f>
        <v>9783030920210</v>
      </c>
      <c r="D3548" t="str">
        <f>"9783030920227"</f>
        <v>9783030920227</v>
      </c>
      <c r="E3548" t="s">
        <v>2289</v>
      </c>
      <c r="F3548" t="s">
        <v>2290</v>
      </c>
      <c r="G3548" s="1">
        <v>44677</v>
      </c>
      <c r="H3548" s="1">
        <v>44669</v>
      </c>
      <c r="I3548" t="s">
        <v>189</v>
      </c>
      <c r="L3548" t="s">
        <v>9632</v>
      </c>
    </row>
    <row r="3549" spans="1:40" x14ac:dyDescent="0.35">
      <c r="A3549">
        <v>6949853</v>
      </c>
      <c r="B3549" t="s">
        <v>9633</v>
      </c>
      <c r="C3549" t="str">
        <f>"9783658332549"</f>
        <v>9783658332549</v>
      </c>
      <c r="D3549" t="str">
        <f>"9783658332556"</f>
        <v>9783658332556</v>
      </c>
      <c r="E3549" t="s">
        <v>3972</v>
      </c>
      <c r="F3549" t="s">
        <v>3998</v>
      </c>
      <c r="G3549" s="1">
        <v>44366</v>
      </c>
      <c r="H3549" s="1">
        <v>44698</v>
      </c>
      <c r="I3549" t="s">
        <v>189</v>
      </c>
      <c r="L3549" t="s">
        <v>9634</v>
      </c>
    </row>
    <row r="3550" spans="1:40" x14ac:dyDescent="0.35">
      <c r="A3550">
        <v>6949866</v>
      </c>
      <c r="B3550" t="s">
        <v>9635</v>
      </c>
      <c r="C3550" t="str">
        <f>"9781648250132"</f>
        <v>9781648250132</v>
      </c>
      <c r="D3550" t="str">
        <f>"9781800102224"</f>
        <v>9781800102224</v>
      </c>
      <c r="E3550" t="s">
        <v>9464</v>
      </c>
      <c r="F3550" t="s">
        <v>9464</v>
      </c>
      <c r="G3550" s="1">
        <v>44357</v>
      </c>
      <c r="H3550" s="1">
        <v>44669</v>
      </c>
      <c r="I3550" t="s">
        <v>189</v>
      </c>
      <c r="J3550">
        <v>1</v>
      </c>
      <c r="K3550" t="s">
        <v>9465</v>
      </c>
      <c r="L3550" t="s">
        <v>9636</v>
      </c>
    </row>
    <row r="3551" spans="1:40" x14ac:dyDescent="0.35">
      <c r="A3551">
        <v>6950014</v>
      </c>
      <c r="B3551" t="s">
        <v>9637</v>
      </c>
      <c r="C3551" t="str">
        <f>"9781847012661"</f>
        <v>9781847012661</v>
      </c>
      <c r="D3551" t="str">
        <f>"9781800101487"</f>
        <v>9781800101487</v>
      </c>
      <c r="E3551" t="s">
        <v>9638</v>
      </c>
      <c r="F3551" t="s">
        <v>9639</v>
      </c>
      <c r="G3551" s="1">
        <v>44355</v>
      </c>
      <c r="H3551" s="1">
        <v>44669</v>
      </c>
      <c r="I3551" t="s">
        <v>189</v>
      </c>
      <c r="J3551">
        <v>1</v>
      </c>
      <c r="L3551" t="s">
        <v>9640</v>
      </c>
    </row>
    <row r="3552" spans="1:40" x14ac:dyDescent="0.35">
      <c r="A3552">
        <v>6950015</v>
      </c>
      <c r="B3552" t="s">
        <v>9641</v>
      </c>
      <c r="C3552" t="str">
        <f>""</f>
        <v/>
      </c>
      <c r="D3552" t="str">
        <f>"9781800104532"</f>
        <v>9781800104532</v>
      </c>
      <c r="E3552" t="s">
        <v>9464</v>
      </c>
      <c r="F3552" t="s">
        <v>9464</v>
      </c>
      <c r="G3552" s="1">
        <v>44602</v>
      </c>
      <c r="H3552" s="1">
        <v>44669</v>
      </c>
      <c r="I3552" t="s">
        <v>189</v>
      </c>
      <c r="J3552">
        <v>1</v>
      </c>
      <c r="K3552" t="s">
        <v>9642</v>
      </c>
      <c r="L3552" t="s">
        <v>9643</v>
      </c>
      <c r="M3552" t="s">
        <v>578</v>
      </c>
      <c r="O3552" t="s">
        <v>2943</v>
      </c>
      <c r="Q3552" t="s">
        <v>260</v>
      </c>
      <c r="R3552" t="s">
        <v>261</v>
      </c>
      <c r="S3552" t="s">
        <v>261</v>
      </c>
      <c r="T3552" t="s">
        <v>261</v>
      </c>
      <c r="U3552" t="s">
        <v>262</v>
      </c>
      <c r="V3552" t="s">
        <v>262</v>
      </c>
      <c r="W3552" t="s">
        <v>261</v>
      </c>
      <c r="X3552" t="s">
        <v>261</v>
      </c>
      <c r="Y3552" t="s">
        <v>261</v>
      </c>
      <c r="Z3552" t="s">
        <v>409</v>
      </c>
      <c r="AA3552" t="s">
        <v>409</v>
      </c>
      <c r="AB3552" t="s">
        <v>409</v>
      </c>
      <c r="AC3552" t="s">
        <v>409</v>
      </c>
      <c r="AD3552" t="s">
        <v>261</v>
      </c>
      <c r="AH3552" t="s">
        <v>262</v>
      </c>
      <c r="AI3552" t="s">
        <v>262</v>
      </c>
      <c r="AJ3552" t="s">
        <v>261</v>
      </c>
      <c r="AK3552" t="s">
        <v>261</v>
      </c>
      <c r="AM3552" t="s">
        <v>262</v>
      </c>
      <c r="AN3552" t="s">
        <v>9644</v>
      </c>
    </row>
    <row r="3553" spans="1:40" x14ac:dyDescent="0.35">
      <c r="A3553">
        <v>6950016</v>
      </c>
      <c r="B3553" t="s">
        <v>9641</v>
      </c>
      <c r="C3553" t="str">
        <f>""</f>
        <v/>
      </c>
      <c r="D3553" t="str">
        <f>"9781800105218"</f>
        <v>9781800105218</v>
      </c>
      <c r="E3553" t="s">
        <v>9464</v>
      </c>
      <c r="F3553" t="s">
        <v>9464</v>
      </c>
      <c r="G3553" s="1">
        <v>44602</v>
      </c>
      <c r="H3553" s="1">
        <v>44669</v>
      </c>
      <c r="I3553" t="s">
        <v>189</v>
      </c>
      <c r="J3553">
        <v>1</v>
      </c>
      <c r="K3553" t="s">
        <v>9642</v>
      </c>
      <c r="L3553" t="s">
        <v>9643</v>
      </c>
      <c r="M3553" t="s">
        <v>578</v>
      </c>
      <c r="O3553" t="s">
        <v>2943</v>
      </c>
      <c r="Q3553" t="s">
        <v>260</v>
      </c>
      <c r="R3553" t="s">
        <v>261</v>
      </c>
      <c r="S3553" t="s">
        <v>261</v>
      </c>
      <c r="T3553" t="s">
        <v>261</v>
      </c>
      <c r="U3553" t="s">
        <v>262</v>
      </c>
      <c r="V3553" t="s">
        <v>262</v>
      </c>
      <c r="W3553" t="s">
        <v>261</v>
      </c>
      <c r="X3553" t="s">
        <v>261</v>
      </c>
      <c r="Y3553" t="s">
        <v>261</v>
      </c>
      <c r="Z3553" t="s">
        <v>409</v>
      </c>
      <c r="AA3553" t="s">
        <v>409</v>
      </c>
      <c r="AB3553" t="s">
        <v>409</v>
      </c>
      <c r="AC3553" t="s">
        <v>409</v>
      </c>
      <c r="AD3553" t="s">
        <v>261</v>
      </c>
      <c r="AH3553" t="s">
        <v>262</v>
      </c>
      <c r="AI3553" t="s">
        <v>262</v>
      </c>
      <c r="AJ3553" t="s">
        <v>261</v>
      </c>
      <c r="AK3553" t="s">
        <v>261</v>
      </c>
      <c r="AM3553" t="s">
        <v>262</v>
      </c>
      <c r="AN3553" t="s">
        <v>9645</v>
      </c>
    </row>
    <row r="3554" spans="1:40" x14ac:dyDescent="0.35">
      <c r="A3554">
        <v>6950017</v>
      </c>
      <c r="B3554" t="s">
        <v>9646</v>
      </c>
      <c r="C3554" t="str">
        <f>"9781580462792"</f>
        <v>9781580462792</v>
      </c>
      <c r="D3554" t="str">
        <f>"9781580467414"</f>
        <v>9781580467414</v>
      </c>
      <c r="E3554" t="s">
        <v>9464</v>
      </c>
      <c r="F3554" t="s">
        <v>9464</v>
      </c>
      <c r="G3554" s="1">
        <v>39706</v>
      </c>
      <c r="H3554" s="1">
        <v>44660</v>
      </c>
      <c r="I3554" t="s">
        <v>189</v>
      </c>
      <c r="J3554">
        <v>1</v>
      </c>
      <c r="K3554" t="s">
        <v>9647</v>
      </c>
      <c r="L3554" t="s">
        <v>9648</v>
      </c>
      <c r="M3554" t="s">
        <v>3181</v>
      </c>
    </row>
    <row r="3555" spans="1:40" x14ac:dyDescent="0.35">
      <c r="A3555">
        <v>6950018</v>
      </c>
      <c r="B3555" t="s">
        <v>9649</v>
      </c>
      <c r="C3555" t="str">
        <f>"9781847011688"</f>
        <v>9781847011688</v>
      </c>
      <c r="D3555" t="str">
        <f>"9781787440579"</f>
        <v>9781787440579</v>
      </c>
      <c r="E3555" t="s">
        <v>9638</v>
      </c>
      <c r="F3555" t="s">
        <v>9639</v>
      </c>
      <c r="G3555" s="1">
        <v>42965</v>
      </c>
      <c r="H3555" s="1">
        <v>44669</v>
      </c>
      <c r="I3555" t="s">
        <v>189</v>
      </c>
      <c r="J3555">
        <v>1</v>
      </c>
      <c r="K3555" t="s">
        <v>9650</v>
      </c>
      <c r="L3555" t="s">
        <v>9651</v>
      </c>
      <c r="M3555" t="s">
        <v>1302</v>
      </c>
    </row>
    <row r="3556" spans="1:40" x14ac:dyDescent="0.35">
      <c r="A3556">
        <v>6950019</v>
      </c>
      <c r="B3556" t="s">
        <v>9652</v>
      </c>
      <c r="C3556" t="str">
        <f>""</f>
        <v/>
      </c>
      <c r="D3556" t="str">
        <f>"9781800103030"</f>
        <v>9781800103030</v>
      </c>
      <c r="E3556" t="s">
        <v>9653</v>
      </c>
      <c r="F3556" t="s">
        <v>9654</v>
      </c>
      <c r="G3556" s="1">
        <v>44621</v>
      </c>
      <c r="H3556" s="1">
        <v>44669</v>
      </c>
      <c r="I3556" t="s">
        <v>189</v>
      </c>
      <c r="J3556">
        <v>1</v>
      </c>
      <c r="K3556" t="s">
        <v>9655</v>
      </c>
      <c r="L3556" t="s">
        <v>9656</v>
      </c>
      <c r="M3556" t="s">
        <v>578</v>
      </c>
      <c r="O3556" s="2">
        <v>7914372</v>
      </c>
      <c r="Q3556" t="s">
        <v>260</v>
      </c>
      <c r="R3556" t="s">
        <v>261</v>
      </c>
      <c r="S3556" t="s">
        <v>261</v>
      </c>
      <c r="T3556" t="s">
        <v>261</v>
      </c>
      <c r="U3556" t="s">
        <v>262</v>
      </c>
      <c r="V3556" t="s">
        <v>262</v>
      </c>
      <c r="W3556" t="s">
        <v>261</v>
      </c>
      <c r="X3556" t="s">
        <v>261</v>
      </c>
      <c r="Y3556" t="s">
        <v>261</v>
      </c>
      <c r="Z3556" t="s">
        <v>409</v>
      </c>
      <c r="AA3556" t="s">
        <v>409</v>
      </c>
      <c r="AB3556" t="s">
        <v>409</v>
      </c>
      <c r="AC3556" t="s">
        <v>409</v>
      </c>
      <c r="AD3556" t="s">
        <v>261</v>
      </c>
      <c r="AH3556" t="s">
        <v>262</v>
      </c>
      <c r="AI3556" t="s">
        <v>262</v>
      </c>
      <c r="AJ3556" t="s">
        <v>261</v>
      </c>
      <c r="AK3556" t="s">
        <v>261</v>
      </c>
      <c r="AM3556" t="s">
        <v>262</v>
      </c>
      <c r="AN3556" t="s">
        <v>9657</v>
      </c>
    </row>
    <row r="3557" spans="1:40" x14ac:dyDescent="0.35">
      <c r="A3557">
        <v>6950020</v>
      </c>
      <c r="B3557" t="s">
        <v>9658</v>
      </c>
      <c r="C3557" t="str">
        <f>"9781648250040"</f>
        <v>9781648250040</v>
      </c>
      <c r="D3557" t="str">
        <f>"9781787449428"</f>
        <v>9781787449428</v>
      </c>
      <c r="E3557" t="s">
        <v>9464</v>
      </c>
      <c r="F3557" t="s">
        <v>9464</v>
      </c>
      <c r="G3557" s="1">
        <v>44150</v>
      </c>
      <c r="H3557" s="1">
        <v>44669</v>
      </c>
      <c r="I3557" t="s">
        <v>189</v>
      </c>
      <c r="J3557">
        <v>1</v>
      </c>
      <c r="K3557" t="s">
        <v>9659</v>
      </c>
      <c r="L3557" t="s">
        <v>9660</v>
      </c>
      <c r="M3557" t="s">
        <v>389</v>
      </c>
    </row>
    <row r="3558" spans="1:40" x14ac:dyDescent="0.35">
      <c r="A3558">
        <v>6950021</v>
      </c>
      <c r="B3558" t="s">
        <v>9661</v>
      </c>
      <c r="C3558" t="str">
        <f>"9781580461221"</f>
        <v>9781580461221</v>
      </c>
      <c r="D3558" t="str">
        <f>"9781580466134"</f>
        <v>9781580466134</v>
      </c>
      <c r="E3558" t="s">
        <v>9464</v>
      </c>
      <c r="F3558" t="s">
        <v>9464</v>
      </c>
      <c r="G3558" s="1">
        <v>37570</v>
      </c>
      <c r="H3558" s="1">
        <v>44660</v>
      </c>
      <c r="I3558" t="s">
        <v>189</v>
      </c>
      <c r="J3558">
        <v>1</v>
      </c>
      <c r="K3558" t="s">
        <v>9647</v>
      </c>
      <c r="L3558" t="s">
        <v>9648</v>
      </c>
      <c r="M3558" t="s">
        <v>339</v>
      </c>
      <c r="N3558" t="s">
        <v>9662</v>
      </c>
      <c r="O3558" t="s">
        <v>9663</v>
      </c>
      <c r="Q3558" t="s">
        <v>260</v>
      </c>
      <c r="R3558" t="s">
        <v>261</v>
      </c>
      <c r="S3558" t="s">
        <v>261</v>
      </c>
      <c r="T3558" t="s">
        <v>261</v>
      </c>
      <c r="U3558" t="s">
        <v>261</v>
      </c>
      <c r="V3558" t="s">
        <v>262</v>
      </c>
      <c r="W3558" t="s">
        <v>261</v>
      </c>
      <c r="X3558" t="s">
        <v>261</v>
      </c>
      <c r="Y3558" t="s">
        <v>261</v>
      </c>
      <c r="Z3558" t="s">
        <v>409</v>
      </c>
      <c r="AA3558" t="s">
        <v>409</v>
      </c>
      <c r="AB3558" t="s">
        <v>409</v>
      </c>
      <c r="AC3558" t="s">
        <v>409</v>
      </c>
      <c r="AD3558" t="s">
        <v>261</v>
      </c>
      <c r="AH3558" t="s">
        <v>262</v>
      </c>
      <c r="AI3558" t="s">
        <v>262</v>
      </c>
      <c r="AJ3558" t="s">
        <v>261</v>
      </c>
      <c r="AK3558" t="s">
        <v>261</v>
      </c>
      <c r="AM3558" t="s">
        <v>262</v>
      </c>
      <c r="AN3558" t="s">
        <v>9664</v>
      </c>
    </row>
    <row r="3559" spans="1:40" x14ac:dyDescent="0.35">
      <c r="A3559">
        <v>6950022</v>
      </c>
      <c r="B3559" t="s">
        <v>9665</v>
      </c>
      <c r="C3559" t="str">
        <f>"9781843843924"</f>
        <v>9781843843924</v>
      </c>
      <c r="D3559" t="str">
        <f>"9781782043973"</f>
        <v>9781782043973</v>
      </c>
      <c r="E3559" t="s">
        <v>9653</v>
      </c>
      <c r="F3559" t="s">
        <v>9653</v>
      </c>
      <c r="G3559" s="1">
        <v>41837</v>
      </c>
      <c r="H3559" s="1">
        <v>44669</v>
      </c>
      <c r="I3559" t="s">
        <v>189</v>
      </c>
      <c r="J3559">
        <v>1</v>
      </c>
      <c r="K3559" t="s">
        <v>9666</v>
      </c>
      <c r="L3559" t="s">
        <v>9667</v>
      </c>
    </row>
    <row r="3560" spans="1:40" x14ac:dyDescent="0.35">
      <c r="A3560">
        <v>6950023</v>
      </c>
      <c r="B3560" t="s">
        <v>9668</v>
      </c>
      <c r="C3560" t="str">
        <f>"9781580469845"</f>
        <v>9781580469845</v>
      </c>
      <c r="D3560" t="str">
        <f>"9781787447202"</f>
        <v>9781787447202</v>
      </c>
      <c r="E3560" t="s">
        <v>9464</v>
      </c>
      <c r="F3560" t="s">
        <v>9464</v>
      </c>
      <c r="G3560" s="1">
        <v>44005</v>
      </c>
      <c r="H3560" s="1">
        <v>44669</v>
      </c>
      <c r="I3560" t="s">
        <v>189</v>
      </c>
      <c r="J3560">
        <v>1</v>
      </c>
      <c r="K3560" t="s">
        <v>9669</v>
      </c>
      <c r="L3560" t="s">
        <v>9670</v>
      </c>
      <c r="M3560" t="s">
        <v>239</v>
      </c>
    </row>
    <row r="3561" spans="1:40" x14ac:dyDescent="0.35">
      <c r="A3561">
        <v>6950304</v>
      </c>
      <c r="B3561" t="s">
        <v>9671</v>
      </c>
      <c r="C3561" t="str">
        <f>""</f>
        <v/>
      </c>
      <c r="D3561" t="str">
        <f>"9789179291600"</f>
        <v>9789179291600</v>
      </c>
      <c r="E3561" t="s">
        <v>3642</v>
      </c>
      <c r="F3561" t="s">
        <v>3642</v>
      </c>
      <c r="G3561" s="1">
        <v>44655</v>
      </c>
      <c r="H3561" s="1">
        <v>44662</v>
      </c>
      <c r="I3561" t="s">
        <v>189</v>
      </c>
      <c r="J3561">
        <v>1</v>
      </c>
      <c r="L3561" t="s">
        <v>9672</v>
      </c>
      <c r="Q3561" t="s">
        <v>260</v>
      </c>
      <c r="R3561" t="s">
        <v>261</v>
      </c>
      <c r="S3561" t="s">
        <v>261</v>
      </c>
      <c r="T3561" t="s">
        <v>261</v>
      </c>
      <c r="U3561" t="s">
        <v>261</v>
      </c>
      <c r="V3561" t="s">
        <v>262</v>
      </c>
      <c r="W3561" t="s">
        <v>261</v>
      </c>
      <c r="X3561" t="s">
        <v>261</v>
      </c>
      <c r="Y3561" t="s">
        <v>261</v>
      </c>
      <c r="AD3561" t="s">
        <v>261</v>
      </c>
      <c r="AH3561" t="s">
        <v>262</v>
      </c>
      <c r="AI3561" t="s">
        <v>261</v>
      </c>
      <c r="AJ3561" t="s">
        <v>261</v>
      </c>
      <c r="AK3561" t="s">
        <v>261</v>
      </c>
      <c r="AM3561" t="s">
        <v>262</v>
      </c>
      <c r="AN3561" t="s">
        <v>9673</v>
      </c>
    </row>
    <row r="3562" spans="1:40" x14ac:dyDescent="0.35">
      <c r="A3562">
        <v>6950306</v>
      </c>
      <c r="B3562" t="s">
        <v>9674</v>
      </c>
      <c r="C3562" t="str">
        <f>""</f>
        <v/>
      </c>
      <c r="D3562" t="str">
        <f>"9789179292577"</f>
        <v>9789179292577</v>
      </c>
      <c r="E3562" t="s">
        <v>2975</v>
      </c>
      <c r="F3562" t="s">
        <v>2975</v>
      </c>
      <c r="G3562" s="1">
        <v>44656</v>
      </c>
      <c r="H3562" s="1">
        <v>44662</v>
      </c>
      <c r="I3562" t="s">
        <v>189</v>
      </c>
      <c r="J3562">
        <v>1</v>
      </c>
      <c r="L3562" t="s">
        <v>9675</v>
      </c>
      <c r="Q3562" t="s">
        <v>260</v>
      </c>
      <c r="R3562" t="s">
        <v>261</v>
      </c>
      <c r="S3562" t="s">
        <v>261</v>
      </c>
      <c r="T3562" t="s">
        <v>261</v>
      </c>
      <c r="U3562" t="s">
        <v>261</v>
      </c>
      <c r="V3562" t="s">
        <v>262</v>
      </c>
      <c r="W3562" t="s">
        <v>261</v>
      </c>
      <c r="X3562" t="s">
        <v>261</v>
      </c>
      <c r="Y3562" t="s">
        <v>261</v>
      </c>
      <c r="AD3562" t="s">
        <v>261</v>
      </c>
      <c r="AH3562" t="s">
        <v>262</v>
      </c>
      <c r="AI3562" t="s">
        <v>261</v>
      </c>
      <c r="AJ3562" t="s">
        <v>261</v>
      </c>
      <c r="AK3562" t="s">
        <v>261</v>
      </c>
      <c r="AM3562" t="s">
        <v>262</v>
      </c>
      <c r="AN3562" t="s">
        <v>9676</v>
      </c>
    </row>
    <row r="3563" spans="1:40" x14ac:dyDescent="0.35">
      <c r="A3563">
        <v>6950307</v>
      </c>
      <c r="B3563" t="s">
        <v>9677</v>
      </c>
      <c r="C3563" t="str">
        <f>""</f>
        <v/>
      </c>
      <c r="D3563" t="str">
        <f>"9789179291785"</f>
        <v>9789179291785</v>
      </c>
      <c r="E3563" t="s">
        <v>3642</v>
      </c>
      <c r="F3563" t="s">
        <v>3642</v>
      </c>
      <c r="G3563" s="1">
        <v>44655</v>
      </c>
      <c r="H3563" s="1">
        <v>44662</v>
      </c>
      <c r="I3563" t="s">
        <v>189</v>
      </c>
      <c r="J3563">
        <v>1</v>
      </c>
      <c r="L3563" t="s">
        <v>9678</v>
      </c>
      <c r="Q3563" t="s">
        <v>260</v>
      </c>
      <c r="R3563" t="s">
        <v>261</v>
      </c>
      <c r="S3563" t="s">
        <v>261</v>
      </c>
      <c r="T3563" t="s">
        <v>261</v>
      </c>
      <c r="U3563" t="s">
        <v>261</v>
      </c>
      <c r="V3563" t="s">
        <v>262</v>
      </c>
      <c r="W3563" t="s">
        <v>261</v>
      </c>
      <c r="X3563" t="s">
        <v>261</v>
      </c>
      <c r="Y3563" t="s">
        <v>261</v>
      </c>
      <c r="AD3563" t="s">
        <v>261</v>
      </c>
      <c r="AH3563" t="s">
        <v>262</v>
      </c>
      <c r="AI3563" t="s">
        <v>261</v>
      </c>
      <c r="AJ3563" t="s">
        <v>261</v>
      </c>
      <c r="AK3563" t="s">
        <v>261</v>
      </c>
      <c r="AM3563" t="s">
        <v>262</v>
      </c>
      <c r="AN3563" t="s">
        <v>9679</v>
      </c>
    </row>
    <row r="3564" spans="1:40" x14ac:dyDescent="0.35">
      <c r="A3564">
        <v>6950331</v>
      </c>
      <c r="B3564" t="s">
        <v>9680</v>
      </c>
      <c r="C3564" t="str">
        <f>"9789811673849"</f>
        <v>9789811673849</v>
      </c>
      <c r="D3564" t="str">
        <f>"9789811673856"</f>
        <v>9789811673856</v>
      </c>
      <c r="E3564" t="s">
        <v>3404</v>
      </c>
      <c r="F3564" t="s">
        <v>2290</v>
      </c>
      <c r="G3564" s="1">
        <v>44695</v>
      </c>
      <c r="H3564" s="1">
        <v>44669</v>
      </c>
      <c r="I3564" t="s">
        <v>189</v>
      </c>
      <c r="L3564" t="s">
        <v>7260</v>
      </c>
    </row>
    <row r="3565" spans="1:40" x14ac:dyDescent="0.35">
      <c r="A3565">
        <v>6950332</v>
      </c>
      <c r="B3565" t="s">
        <v>9681</v>
      </c>
      <c r="C3565" t="str">
        <f>"9783031013393"</f>
        <v>9783031013393</v>
      </c>
      <c r="D3565" t="str">
        <f>"9783031013409"</f>
        <v>9783031013409</v>
      </c>
      <c r="E3565" t="s">
        <v>2289</v>
      </c>
      <c r="F3565" t="s">
        <v>2290</v>
      </c>
      <c r="G3565" s="1">
        <v>44661</v>
      </c>
      <c r="H3565" s="1">
        <v>44669</v>
      </c>
      <c r="I3565" t="s">
        <v>189</v>
      </c>
      <c r="K3565" t="s">
        <v>5087</v>
      </c>
      <c r="L3565" t="s">
        <v>9682</v>
      </c>
    </row>
    <row r="3566" spans="1:40" x14ac:dyDescent="0.35">
      <c r="A3566">
        <v>6951413</v>
      </c>
      <c r="B3566" t="s">
        <v>9683</v>
      </c>
      <c r="C3566" t="str">
        <f>"9783030848866"</f>
        <v>9783030848866</v>
      </c>
      <c r="D3566" t="str">
        <f>"9783030848873"</f>
        <v>9783030848873</v>
      </c>
      <c r="E3566" t="s">
        <v>2289</v>
      </c>
      <c r="F3566" t="s">
        <v>2290</v>
      </c>
      <c r="G3566" s="1">
        <v>44700</v>
      </c>
      <c r="H3566" s="1">
        <v>44669</v>
      </c>
      <c r="I3566" t="s">
        <v>189</v>
      </c>
      <c r="K3566" t="s">
        <v>6404</v>
      </c>
      <c r="L3566" t="s">
        <v>6405</v>
      </c>
    </row>
    <row r="3567" spans="1:40" x14ac:dyDescent="0.35">
      <c r="A3567">
        <v>6951933</v>
      </c>
      <c r="B3567" t="s">
        <v>9684</v>
      </c>
      <c r="C3567" t="str">
        <f>"9783030914431"</f>
        <v>9783030914431</v>
      </c>
      <c r="D3567" t="str">
        <f>"9783030920807"</f>
        <v>9783030920807</v>
      </c>
      <c r="E3567" t="s">
        <v>2289</v>
      </c>
      <c r="F3567" t="s">
        <v>2290</v>
      </c>
      <c r="G3567" s="1">
        <v>44664</v>
      </c>
      <c r="H3567" s="1">
        <v>44669</v>
      </c>
      <c r="I3567" t="s">
        <v>189</v>
      </c>
      <c r="K3567" t="s">
        <v>4435</v>
      </c>
      <c r="L3567" t="s">
        <v>9685</v>
      </c>
    </row>
    <row r="3568" spans="1:40" x14ac:dyDescent="0.35">
      <c r="A3568">
        <v>6951944</v>
      </c>
      <c r="B3568" t="s">
        <v>9686</v>
      </c>
      <c r="C3568" t="str">
        <f>"9783030852573"</f>
        <v>9783030852573</v>
      </c>
      <c r="D3568" t="str">
        <f>"9783030852580"</f>
        <v>9783030852580</v>
      </c>
      <c r="E3568" t="s">
        <v>2289</v>
      </c>
      <c r="F3568" t="s">
        <v>2290</v>
      </c>
      <c r="G3568" s="1">
        <v>44664</v>
      </c>
      <c r="H3568" s="1">
        <v>44669</v>
      </c>
      <c r="I3568" t="s">
        <v>189</v>
      </c>
      <c r="K3568" t="s">
        <v>9687</v>
      </c>
      <c r="L3568" t="s">
        <v>9688</v>
      </c>
      <c r="M3568" t="s">
        <v>199</v>
      </c>
      <c r="N3568" t="s">
        <v>9689</v>
      </c>
      <c r="Q3568" t="s">
        <v>260</v>
      </c>
      <c r="R3568" t="s">
        <v>261</v>
      </c>
      <c r="S3568" t="s">
        <v>261</v>
      </c>
      <c r="T3568" t="s">
        <v>261</v>
      </c>
      <c r="U3568" t="s">
        <v>261</v>
      </c>
      <c r="V3568" t="s">
        <v>262</v>
      </c>
      <c r="W3568" t="s">
        <v>261</v>
      </c>
      <c r="X3568" t="s">
        <v>261</v>
      </c>
      <c r="Y3568" t="s">
        <v>261</v>
      </c>
      <c r="Z3568" t="s">
        <v>409</v>
      </c>
      <c r="AA3568" t="s">
        <v>409</v>
      </c>
      <c r="AB3568" t="s">
        <v>409</v>
      </c>
      <c r="AC3568" t="s">
        <v>409</v>
      </c>
      <c r="AD3568" t="s">
        <v>261</v>
      </c>
      <c r="AH3568" t="s">
        <v>262</v>
      </c>
      <c r="AI3568" t="s">
        <v>262</v>
      </c>
      <c r="AJ3568" t="s">
        <v>261</v>
      </c>
      <c r="AK3568" t="s">
        <v>261</v>
      </c>
      <c r="AM3568" t="s">
        <v>262</v>
      </c>
      <c r="AN3568" t="s">
        <v>9690</v>
      </c>
    </row>
    <row r="3569" spans="1:40" x14ac:dyDescent="0.35">
      <c r="A3569">
        <v>6951957</v>
      </c>
      <c r="B3569" t="s">
        <v>9691</v>
      </c>
      <c r="C3569" t="str">
        <f>"9789811912597"</f>
        <v>9789811912597</v>
      </c>
      <c r="D3569" t="str">
        <f>"9789811912603"</f>
        <v>9789811912603</v>
      </c>
      <c r="E3569" t="s">
        <v>3404</v>
      </c>
      <c r="F3569" t="s">
        <v>2290</v>
      </c>
      <c r="G3569" s="1">
        <v>44664</v>
      </c>
      <c r="H3569" s="1">
        <v>44669</v>
      </c>
      <c r="I3569" t="s">
        <v>189</v>
      </c>
      <c r="K3569" t="s">
        <v>9692</v>
      </c>
      <c r="L3569" t="s">
        <v>9693</v>
      </c>
      <c r="M3569" t="s">
        <v>847</v>
      </c>
    </row>
    <row r="3570" spans="1:40" x14ac:dyDescent="0.35">
      <c r="A3570">
        <v>6953178</v>
      </c>
      <c r="B3570" t="s">
        <v>9694</v>
      </c>
      <c r="C3570" t="str">
        <f>"9783658368074"</f>
        <v>9783658368074</v>
      </c>
      <c r="D3570" t="str">
        <f>"9783658368081"</f>
        <v>9783658368081</v>
      </c>
      <c r="E3570" t="s">
        <v>3972</v>
      </c>
      <c r="F3570" t="s">
        <v>3998</v>
      </c>
      <c r="G3570" s="1">
        <v>44696</v>
      </c>
      <c r="H3570" s="1">
        <v>44669</v>
      </c>
      <c r="I3570" t="s">
        <v>189</v>
      </c>
      <c r="K3570" t="s">
        <v>4874</v>
      </c>
      <c r="L3570" t="s">
        <v>9695</v>
      </c>
    </row>
    <row r="3571" spans="1:40" x14ac:dyDescent="0.35">
      <c r="A3571">
        <v>6953198</v>
      </c>
      <c r="B3571" t="s">
        <v>9696</v>
      </c>
      <c r="C3571" t="str">
        <f>"9783030942113"</f>
        <v>9783030942113</v>
      </c>
      <c r="D3571" t="str">
        <f>"9783030942120"</f>
        <v>9783030942120</v>
      </c>
      <c r="E3571" t="s">
        <v>2289</v>
      </c>
      <c r="F3571" t="s">
        <v>2290</v>
      </c>
      <c r="G3571" s="1">
        <v>44696</v>
      </c>
      <c r="H3571" s="1">
        <v>44669</v>
      </c>
      <c r="I3571" t="s">
        <v>189</v>
      </c>
      <c r="K3571" t="s">
        <v>5282</v>
      </c>
      <c r="L3571" t="s">
        <v>9697</v>
      </c>
    </row>
    <row r="3572" spans="1:40" x14ac:dyDescent="0.35">
      <c r="A3572">
        <v>6953650</v>
      </c>
      <c r="B3572" t="s">
        <v>9698</v>
      </c>
      <c r="C3572" t="str">
        <f>"9780472132966"</f>
        <v>9780472132966</v>
      </c>
      <c r="D3572" t="str">
        <f>"9780472902712"</f>
        <v>9780472902712</v>
      </c>
      <c r="E3572" t="s">
        <v>2090</v>
      </c>
      <c r="F3572" t="s">
        <v>2090</v>
      </c>
      <c r="G3572" s="1">
        <v>44645</v>
      </c>
      <c r="H3572" s="1">
        <v>44672</v>
      </c>
      <c r="I3572" t="s">
        <v>189</v>
      </c>
      <c r="K3572" t="s">
        <v>9699</v>
      </c>
      <c r="L3572" t="s">
        <v>9700</v>
      </c>
      <c r="M3572" t="s">
        <v>329</v>
      </c>
      <c r="O3572" t="s">
        <v>9701</v>
      </c>
      <c r="Q3572" t="s">
        <v>260</v>
      </c>
      <c r="R3572" t="s">
        <v>261</v>
      </c>
      <c r="S3572" t="s">
        <v>261</v>
      </c>
      <c r="T3572" t="s">
        <v>261</v>
      </c>
      <c r="U3572" t="s">
        <v>261</v>
      </c>
      <c r="V3572" t="s">
        <v>262</v>
      </c>
      <c r="W3572" t="s">
        <v>261</v>
      </c>
      <c r="X3572" t="s">
        <v>261</v>
      </c>
      <c r="Y3572" t="s">
        <v>261</v>
      </c>
      <c r="AB3572" t="s">
        <v>409</v>
      </c>
      <c r="AD3572" t="s">
        <v>261</v>
      </c>
      <c r="AH3572" t="s">
        <v>262</v>
      </c>
      <c r="AI3572" t="s">
        <v>262</v>
      </c>
      <c r="AJ3572" t="s">
        <v>261</v>
      </c>
      <c r="AK3572" t="s">
        <v>261</v>
      </c>
      <c r="AM3572" t="s">
        <v>262</v>
      </c>
      <c r="AN3572" t="s">
        <v>9702</v>
      </c>
    </row>
    <row r="3573" spans="1:40" x14ac:dyDescent="0.35">
      <c r="A3573">
        <v>6954108</v>
      </c>
      <c r="B3573" t="s">
        <v>9703</v>
      </c>
      <c r="C3573" t="str">
        <f>""</f>
        <v/>
      </c>
      <c r="D3573" t="str">
        <f>"9789179292126"</f>
        <v>9789179292126</v>
      </c>
      <c r="E3573" t="s">
        <v>2975</v>
      </c>
      <c r="F3573" t="s">
        <v>2975</v>
      </c>
      <c r="G3573" s="1">
        <v>44664</v>
      </c>
      <c r="H3573" s="1">
        <v>44669</v>
      </c>
      <c r="I3573" t="s">
        <v>189</v>
      </c>
      <c r="J3573">
        <v>1</v>
      </c>
      <c r="L3573" t="s">
        <v>9704</v>
      </c>
      <c r="Q3573" t="s">
        <v>260</v>
      </c>
      <c r="R3573" t="s">
        <v>261</v>
      </c>
      <c r="S3573" t="s">
        <v>261</v>
      </c>
      <c r="T3573" t="s">
        <v>261</v>
      </c>
      <c r="U3573" t="s">
        <v>261</v>
      </c>
      <c r="V3573" t="s">
        <v>262</v>
      </c>
      <c r="W3573" t="s">
        <v>261</v>
      </c>
      <c r="X3573" t="s">
        <v>261</v>
      </c>
      <c r="Y3573" t="s">
        <v>261</v>
      </c>
      <c r="AD3573" t="s">
        <v>261</v>
      </c>
      <c r="AH3573" t="s">
        <v>262</v>
      </c>
      <c r="AI3573" t="s">
        <v>261</v>
      </c>
      <c r="AJ3573" t="s">
        <v>261</v>
      </c>
      <c r="AK3573" t="s">
        <v>261</v>
      </c>
      <c r="AM3573" t="s">
        <v>262</v>
      </c>
      <c r="AN3573" t="s">
        <v>9705</v>
      </c>
    </row>
    <row r="3574" spans="1:40" x14ac:dyDescent="0.35">
      <c r="A3574">
        <v>6954109</v>
      </c>
      <c r="B3574" t="s">
        <v>9706</v>
      </c>
      <c r="C3574" t="str">
        <f>""</f>
        <v/>
      </c>
      <c r="D3574" t="str">
        <f>"9789179292676"</f>
        <v>9789179292676</v>
      </c>
      <c r="E3574" t="s">
        <v>2975</v>
      </c>
      <c r="F3574" t="s">
        <v>2975</v>
      </c>
      <c r="G3574" s="1">
        <v>44664</v>
      </c>
      <c r="H3574" s="1">
        <v>44669</v>
      </c>
      <c r="I3574" t="s">
        <v>189</v>
      </c>
      <c r="J3574">
        <v>1</v>
      </c>
      <c r="L3574" t="s">
        <v>9707</v>
      </c>
      <c r="Q3574" t="s">
        <v>260</v>
      </c>
      <c r="R3574" t="s">
        <v>261</v>
      </c>
      <c r="S3574" t="s">
        <v>261</v>
      </c>
      <c r="T3574" t="s">
        <v>261</v>
      </c>
      <c r="U3574" t="s">
        <v>261</v>
      </c>
      <c r="V3574" t="s">
        <v>262</v>
      </c>
      <c r="W3574" t="s">
        <v>261</v>
      </c>
      <c r="X3574" t="s">
        <v>261</v>
      </c>
      <c r="Y3574" t="s">
        <v>261</v>
      </c>
      <c r="AD3574" t="s">
        <v>261</v>
      </c>
      <c r="AH3574" t="s">
        <v>262</v>
      </c>
      <c r="AI3574" t="s">
        <v>261</v>
      </c>
      <c r="AJ3574" t="s">
        <v>261</v>
      </c>
      <c r="AK3574" t="s">
        <v>261</v>
      </c>
      <c r="AM3574" t="s">
        <v>262</v>
      </c>
      <c r="AN3574" t="s">
        <v>9708</v>
      </c>
    </row>
    <row r="3575" spans="1:40" x14ac:dyDescent="0.35">
      <c r="A3575">
        <v>6954110</v>
      </c>
      <c r="B3575" t="s">
        <v>9709</v>
      </c>
      <c r="C3575" t="str">
        <f>""</f>
        <v/>
      </c>
      <c r="D3575" t="str">
        <f>"9789179292553"</f>
        <v>9789179292553</v>
      </c>
      <c r="E3575" t="s">
        <v>2975</v>
      </c>
      <c r="F3575" t="s">
        <v>2975</v>
      </c>
      <c r="G3575" s="1">
        <v>44662</v>
      </c>
      <c r="H3575" s="1">
        <v>44676</v>
      </c>
      <c r="I3575" t="s">
        <v>189</v>
      </c>
      <c r="J3575">
        <v>1</v>
      </c>
      <c r="L3575" t="s">
        <v>9710</v>
      </c>
      <c r="Q3575" t="s">
        <v>260</v>
      </c>
      <c r="R3575" t="s">
        <v>261</v>
      </c>
      <c r="S3575" t="s">
        <v>261</v>
      </c>
      <c r="T3575" t="s">
        <v>261</v>
      </c>
      <c r="U3575" t="s">
        <v>261</v>
      </c>
      <c r="V3575" t="s">
        <v>262</v>
      </c>
      <c r="W3575" t="s">
        <v>261</v>
      </c>
      <c r="X3575" t="s">
        <v>261</v>
      </c>
      <c r="Y3575" t="s">
        <v>261</v>
      </c>
      <c r="AD3575" t="s">
        <v>261</v>
      </c>
      <c r="AH3575" t="s">
        <v>262</v>
      </c>
      <c r="AI3575" t="s">
        <v>261</v>
      </c>
      <c r="AJ3575" t="s">
        <v>261</v>
      </c>
      <c r="AK3575" t="s">
        <v>261</v>
      </c>
      <c r="AM3575" t="s">
        <v>262</v>
      </c>
      <c r="AN3575" t="s">
        <v>9711</v>
      </c>
    </row>
    <row r="3576" spans="1:40" x14ac:dyDescent="0.35">
      <c r="A3576">
        <v>6954111</v>
      </c>
      <c r="B3576" t="s">
        <v>9712</v>
      </c>
      <c r="C3576" t="str">
        <f>""</f>
        <v/>
      </c>
      <c r="D3576" t="str">
        <f>"9789179292652"</f>
        <v>9789179292652</v>
      </c>
      <c r="E3576" t="s">
        <v>2975</v>
      </c>
      <c r="F3576" t="s">
        <v>2975</v>
      </c>
      <c r="G3576" s="1">
        <v>44663</v>
      </c>
      <c r="H3576" s="1">
        <v>44669</v>
      </c>
      <c r="I3576" t="s">
        <v>189</v>
      </c>
      <c r="J3576">
        <v>1</v>
      </c>
      <c r="L3576" t="s">
        <v>9713</v>
      </c>
      <c r="Q3576" t="s">
        <v>260</v>
      </c>
      <c r="R3576" t="s">
        <v>261</v>
      </c>
      <c r="S3576" t="s">
        <v>261</v>
      </c>
      <c r="T3576" t="s">
        <v>261</v>
      </c>
      <c r="U3576" t="s">
        <v>261</v>
      </c>
      <c r="V3576" t="s">
        <v>262</v>
      </c>
      <c r="W3576" t="s">
        <v>261</v>
      </c>
      <c r="X3576" t="s">
        <v>261</v>
      </c>
      <c r="Y3576" t="s">
        <v>261</v>
      </c>
      <c r="AD3576" t="s">
        <v>261</v>
      </c>
      <c r="AH3576" t="s">
        <v>262</v>
      </c>
      <c r="AI3576" t="s">
        <v>261</v>
      </c>
      <c r="AJ3576" t="s">
        <v>261</v>
      </c>
      <c r="AK3576" t="s">
        <v>261</v>
      </c>
      <c r="AM3576" t="s">
        <v>262</v>
      </c>
      <c r="AN3576" t="s">
        <v>9714</v>
      </c>
    </row>
    <row r="3577" spans="1:40" x14ac:dyDescent="0.35">
      <c r="A3577">
        <v>6954138</v>
      </c>
      <c r="B3577" t="s">
        <v>9715</v>
      </c>
      <c r="C3577" t="str">
        <f>"9781802070095"</f>
        <v>9781802070095</v>
      </c>
      <c r="D3577" t="str">
        <f>"9781802070651"</f>
        <v>9781802070651</v>
      </c>
      <c r="E3577" t="s">
        <v>3696</v>
      </c>
      <c r="F3577" t="s">
        <v>3696</v>
      </c>
      <c r="G3577" s="1">
        <v>44682</v>
      </c>
      <c r="H3577" s="1">
        <v>44669</v>
      </c>
      <c r="I3577" t="s">
        <v>189</v>
      </c>
      <c r="J3577">
        <v>1</v>
      </c>
      <c r="K3577" t="s">
        <v>9085</v>
      </c>
      <c r="L3577" t="s">
        <v>9716</v>
      </c>
      <c r="M3577" t="s">
        <v>219</v>
      </c>
      <c r="O3577" s="2">
        <v>80993358</v>
      </c>
      <c r="Q3577" t="s">
        <v>260</v>
      </c>
      <c r="R3577" t="s">
        <v>261</v>
      </c>
      <c r="S3577" t="s">
        <v>261</v>
      </c>
      <c r="T3577" t="s">
        <v>261</v>
      </c>
      <c r="U3577" t="s">
        <v>261</v>
      </c>
      <c r="V3577" t="s">
        <v>262</v>
      </c>
      <c r="W3577" t="s">
        <v>261</v>
      </c>
      <c r="X3577" t="s">
        <v>261</v>
      </c>
      <c r="Y3577" t="s">
        <v>261</v>
      </c>
      <c r="Z3577" t="s">
        <v>409</v>
      </c>
      <c r="AA3577" t="s">
        <v>409</v>
      </c>
      <c r="AB3577" t="s">
        <v>409</v>
      </c>
      <c r="AC3577" t="s">
        <v>409</v>
      </c>
      <c r="AD3577" t="s">
        <v>261</v>
      </c>
      <c r="AH3577" t="s">
        <v>262</v>
      </c>
      <c r="AI3577" t="s">
        <v>262</v>
      </c>
      <c r="AJ3577" t="s">
        <v>261</v>
      </c>
      <c r="AK3577" t="s">
        <v>261</v>
      </c>
      <c r="AM3577" t="s">
        <v>262</v>
      </c>
      <c r="AN3577" t="s">
        <v>9717</v>
      </c>
    </row>
    <row r="3578" spans="1:40" x14ac:dyDescent="0.35">
      <c r="A3578">
        <v>6954145</v>
      </c>
      <c r="B3578" t="s">
        <v>9718</v>
      </c>
      <c r="C3578" t="str">
        <f>"9789811909191"</f>
        <v>9789811909191</v>
      </c>
      <c r="D3578" t="str">
        <f>"9789811909207"</f>
        <v>9789811909207</v>
      </c>
      <c r="E3578" t="s">
        <v>2290</v>
      </c>
      <c r="F3578" t="s">
        <v>2290</v>
      </c>
      <c r="G3578" s="1">
        <v>44703</v>
      </c>
      <c r="H3578" s="1">
        <v>44669</v>
      </c>
      <c r="I3578" t="s">
        <v>189</v>
      </c>
      <c r="K3578" t="s">
        <v>9719</v>
      </c>
      <c r="L3578" t="s">
        <v>9720</v>
      </c>
      <c r="M3578" t="s">
        <v>249</v>
      </c>
      <c r="N3578" t="s">
        <v>9721</v>
      </c>
      <c r="Q3578" t="s">
        <v>260</v>
      </c>
      <c r="R3578" t="s">
        <v>261</v>
      </c>
      <c r="S3578" t="s">
        <v>261</v>
      </c>
      <c r="T3578" t="s">
        <v>261</v>
      </c>
      <c r="U3578" t="s">
        <v>261</v>
      </c>
      <c r="V3578" t="s">
        <v>262</v>
      </c>
      <c r="W3578" t="s">
        <v>261</v>
      </c>
      <c r="X3578" t="s">
        <v>261</v>
      </c>
      <c r="Y3578" t="s">
        <v>261</v>
      </c>
      <c r="Z3578" t="s">
        <v>409</v>
      </c>
      <c r="AA3578" t="s">
        <v>409</v>
      </c>
      <c r="AB3578" t="s">
        <v>409</v>
      </c>
      <c r="AC3578" t="s">
        <v>409</v>
      </c>
      <c r="AD3578" t="s">
        <v>261</v>
      </c>
      <c r="AH3578" t="s">
        <v>262</v>
      </c>
      <c r="AI3578" t="s">
        <v>262</v>
      </c>
      <c r="AJ3578" t="s">
        <v>261</v>
      </c>
      <c r="AK3578" t="s">
        <v>261</v>
      </c>
      <c r="AM3578" t="s">
        <v>262</v>
      </c>
      <c r="AN3578" t="s">
        <v>9722</v>
      </c>
    </row>
    <row r="3579" spans="1:40" x14ac:dyDescent="0.35">
      <c r="A3579">
        <v>6954215</v>
      </c>
      <c r="B3579" t="s">
        <v>9723</v>
      </c>
      <c r="C3579" t="str">
        <f>"9789814338837"</f>
        <v>9789814338837</v>
      </c>
      <c r="D3579" t="str">
        <f>"9789814338851"</f>
        <v>9789814338851</v>
      </c>
      <c r="E3579" t="s">
        <v>3954</v>
      </c>
      <c r="F3579" t="s">
        <v>3955</v>
      </c>
      <c r="G3579" s="1">
        <v>40802</v>
      </c>
      <c r="H3579" s="1">
        <v>44678</v>
      </c>
      <c r="I3579" t="s">
        <v>189</v>
      </c>
      <c r="L3579" t="s">
        <v>9724</v>
      </c>
    </row>
    <row r="3580" spans="1:40" x14ac:dyDescent="0.35">
      <c r="A3580">
        <v>6954332</v>
      </c>
      <c r="B3580" t="s">
        <v>9725</v>
      </c>
      <c r="C3580" t="str">
        <f>"9783031040825"</f>
        <v>9783031040825</v>
      </c>
      <c r="D3580" t="str">
        <f>"9783031040832"</f>
        <v>9783031040832</v>
      </c>
      <c r="E3580" t="s">
        <v>2289</v>
      </c>
      <c r="F3580" t="s">
        <v>2290</v>
      </c>
      <c r="G3580" s="1">
        <v>44706</v>
      </c>
      <c r="H3580" s="1">
        <v>44672</v>
      </c>
      <c r="I3580" t="s">
        <v>189</v>
      </c>
      <c r="K3580" t="s">
        <v>4008</v>
      </c>
      <c r="L3580" t="s">
        <v>9726</v>
      </c>
    </row>
    <row r="3581" spans="1:40" x14ac:dyDescent="0.35">
      <c r="A3581">
        <v>6954915</v>
      </c>
      <c r="B3581" t="s">
        <v>9727</v>
      </c>
      <c r="C3581" t="str">
        <f>"9783658371791"</f>
        <v>9783658371791</v>
      </c>
      <c r="D3581" t="str">
        <f>"9783658371807"</f>
        <v>9783658371807</v>
      </c>
      <c r="E3581" t="s">
        <v>3972</v>
      </c>
      <c r="F3581" t="s">
        <v>4048</v>
      </c>
      <c r="G3581" s="1">
        <v>44670</v>
      </c>
      <c r="H3581" s="1">
        <v>44672</v>
      </c>
      <c r="I3581" t="s">
        <v>189</v>
      </c>
      <c r="K3581" t="s">
        <v>6089</v>
      </c>
      <c r="L3581" t="s">
        <v>9728</v>
      </c>
      <c r="M3581" t="s">
        <v>1318</v>
      </c>
      <c r="N3581" t="s">
        <v>6091</v>
      </c>
      <c r="Q3581" t="s">
        <v>408</v>
      </c>
      <c r="R3581" t="s">
        <v>261</v>
      </c>
      <c r="S3581" t="s">
        <v>261</v>
      </c>
      <c r="T3581" t="s">
        <v>261</v>
      </c>
      <c r="U3581" t="s">
        <v>261</v>
      </c>
      <c r="V3581" t="s">
        <v>262</v>
      </c>
      <c r="W3581" t="s">
        <v>261</v>
      </c>
      <c r="X3581" t="s">
        <v>261</v>
      </c>
      <c r="Y3581" t="s">
        <v>261</v>
      </c>
      <c r="Z3581" t="s">
        <v>409</v>
      </c>
      <c r="AA3581" t="s">
        <v>409</v>
      </c>
      <c r="AB3581" t="s">
        <v>409</v>
      </c>
      <c r="AC3581" t="s">
        <v>409</v>
      </c>
      <c r="AD3581" t="s">
        <v>261</v>
      </c>
      <c r="AH3581" t="s">
        <v>262</v>
      </c>
      <c r="AI3581" t="s">
        <v>262</v>
      </c>
      <c r="AJ3581" t="s">
        <v>261</v>
      </c>
      <c r="AK3581" t="s">
        <v>261</v>
      </c>
      <c r="AM3581" t="s">
        <v>262</v>
      </c>
      <c r="AN3581" t="s">
        <v>9729</v>
      </c>
    </row>
    <row r="3582" spans="1:40" x14ac:dyDescent="0.35">
      <c r="A3582">
        <v>6954926</v>
      </c>
      <c r="B3582" t="s">
        <v>9730</v>
      </c>
      <c r="C3582" t="str">
        <f>"9783662649336"</f>
        <v>9783662649336</v>
      </c>
      <c r="D3582" t="str">
        <f>"9783662649343"</f>
        <v>9783662649343</v>
      </c>
      <c r="E3582" t="s">
        <v>4047</v>
      </c>
      <c r="F3582" t="s">
        <v>4048</v>
      </c>
      <c r="G3582" s="1">
        <v>44670</v>
      </c>
      <c r="H3582" s="1">
        <v>44672</v>
      </c>
      <c r="I3582" t="s">
        <v>189</v>
      </c>
      <c r="K3582" t="s">
        <v>4874</v>
      </c>
      <c r="L3582" t="s">
        <v>117</v>
      </c>
    </row>
    <row r="3583" spans="1:40" x14ac:dyDescent="0.35">
      <c r="A3583">
        <v>6955499</v>
      </c>
      <c r="B3583" t="s">
        <v>9731</v>
      </c>
      <c r="C3583" t="str">
        <f>"9780472038787"</f>
        <v>9780472038787</v>
      </c>
      <c r="D3583" t="str">
        <f>"9780472902507"</f>
        <v>9780472902507</v>
      </c>
      <c r="E3583" t="s">
        <v>2090</v>
      </c>
      <c r="F3583" t="s">
        <v>2090</v>
      </c>
      <c r="G3583" s="1">
        <v>44529</v>
      </c>
      <c r="H3583" s="1">
        <v>44676</v>
      </c>
      <c r="I3583" t="s">
        <v>189</v>
      </c>
      <c r="L3583" t="s">
        <v>9732</v>
      </c>
      <c r="M3583" t="s">
        <v>329</v>
      </c>
    </row>
    <row r="3584" spans="1:40" x14ac:dyDescent="0.35">
      <c r="A3584">
        <v>6957420</v>
      </c>
      <c r="B3584" t="s">
        <v>9733</v>
      </c>
      <c r="C3584" t="str">
        <f>"9783030937973"</f>
        <v>9783030937973</v>
      </c>
      <c r="D3584" t="str">
        <f>"9783030937980"</f>
        <v>9783030937980</v>
      </c>
      <c r="E3584" t="s">
        <v>2289</v>
      </c>
      <c r="F3584" t="s">
        <v>2663</v>
      </c>
      <c r="G3584" s="1">
        <v>44673</v>
      </c>
      <c r="H3584" s="1">
        <v>44676</v>
      </c>
      <c r="I3584" t="s">
        <v>189</v>
      </c>
      <c r="L3584" t="s">
        <v>9734</v>
      </c>
      <c r="M3584" t="s">
        <v>389</v>
      </c>
      <c r="N3584" t="s">
        <v>9735</v>
      </c>
      <c r="O3584" t="s">
        <v>9736</v>
      </c>
      <c r="Q3584" t="s">
        <v>260</v>
      </c>
      <c r="R3584" t="s">
        <v>261</v>
      </c>
      <c r="S3584" t="s">
        <v>261</v>
      </c>
      <c r="T3584" t="s">
        <v>261</v>
      </c>
      <c r="U3584" t="s">
        <v>261</v>
      </c>
      <c r="V3584" t="s">
        <v>262</v>
      </c>
      <c r="W3584" t="s">
        <v>261</v>
      </c>
      <c r="X3584" t="s">
        <v>261</v>
      </c>
      <c r="Y3584" t="s">
        <v>261</v>
      </c>
      <c r="Z3584" t="s">
        <v>409</v>
      </c>
      <c r="AA3584" t="s">
        <v>409</v>
      </c>
      <c r="AB3584" t="s">
        <v>409</v>
      </c>
      <c r="AC3584" t="s">
        <v>409</v>
      </c>
      <c r="AD3584" t="s">
        <v>261</v>
      </c>
      <c r="AH3584" t="s">
        <v>262</v>
      </c>
      <c r="AI3584" t="s">
        <v>262</v>
      </c>
      <c r="AJ3584" t="s">
        <v>261</v>
      </c>
      <c r="AK3584" t="s">
        <v>261</v>
      </c>
      <c r="AM3584" t="s">
        <v>262</v>
      </c>
      <c r="AN3584" t="s">
        <v>9737</v>
      </c>
    </row>
    <row r="3585" spans="1:40" x14ac:dyDescent="0.35">
      <c r="A3585">
        <v>6961053</v>
      </c>
      <c r="B3585" t="s">
        <v>9738</v>
      </c>
      <c r="C3585" t="str">
        <f>"9783030888015"</f>
        <v>9783030888015</v>
      </c>
      <c r="D3585" t="str">
        <f>"9783030888022"</f>
        <v>9783030888022</v>
      </c>
      <c r="E3585" t="s">
        <v>2289</v>
      </c>
      <c r="F3585" t="s">
        <v>2663</v>
      </c>
      <c r="G3585" s="1">
        <v>44674</v>
      </c>
      <c r="H3585" s="1">
        <v>44676</v>
      </c>
      <c r="I3585" t="s">
        <v>189</v>
      </c>
      <c r="K3585" t="s">
        <v>8685</v>
      </c>
      <c r="L3585" t="s">
        <v>9739</v>
      </c>
    </row>
    <row r="3586" spans="1:40" x14ac:dyDescent="0.35">
      <c r="A3586">
        <v>6961341</v>
      </c>
      <c r="B3586" t="s">
        <v>9740</v>
      </c>
      <c r="C3586" t="str">
        <f>"9783030967086"</f>
        <v>9783030967086</v>
      </c>
      <c r="D3586" t="str">
        <f>"9783030967093"</f>
        <v>9783030967093</v>
      </c>
      <c r="E3586" t="s">
        <v>2289</v>
      </c>
      <c r="F3586" t="s">
        <v>2290</v>
      </c>
      <c r="G3586" s="1">
        <v>44716</v>
      </c>
      <c r="H3586" s="1">
        <v>44676</v>
      </c>
      <c r="I3586" t="s">
        <v>189</v>
      </c>
      <c r="K3586" t="s">
        <v>9741</v>
      </c>
      <c r="L3586" t="s">
        <v>9742</v>
      </c>
    </row>
    <row r="3587" spans="1:40" x14ac:dyDescent="0.35">
      <c r="A3587">
        <v>6961413</v>
      </c>
      <c r="B3587" t="s">
        <v>9743</v>
      </c>
      <c r="C3587" t="str">
        <f>"9783030929008"</f>
        <v>9783030929008</v>
      </c>
      <c r="D3587" t="str">
        <f>"9783030929015"</f>
        <v>9783030929015</v>
      </c>
      <c r="E3587" t="s">
        <v>2289</v>
      </c>
      <c r="F3587" t="s">
        <v>2290</v>
      </c>
      <c r="G3587" s="1">
        <v>44727</v>
      </c>
      <c r="H3587" s="1">
        <v>44676</v>
      </c>
      <c r="I3587" t="s">
        <v>189</v>
      </c>
      <c r="K3587" t="s">
        <v>9744</v>
      </c>
      <c r="L3587" t="s">
        <v>9745</v>
      </c>
      <c r="M3587" t="s">
        <v>316</v>
      </c>
      <c r="N3587" t="s">
        <v>5076</v>
      </c>
      <c r="Q3587" t="s">
        <v>260</v>
      </c>
      <c r="R3587" t="s">
        <v>261</v>
      </c>
      <c r="S3587" t="s">
        <v>261</v>
      </c>
      <c r="T3587" t="s">
        <v>261</v>
      </c>
      <c r="U3587" t="s">
        <v>261</v>
      </c>
      <c r="V3587" t="s">
        <v>262</v>
      </c>
      <c r="W3587" t="s">
        <v>261</v>
      </c>
      <c r="X3587" t="s">
        <v>261</v>
      </c>
      <c r="Y3587" t="s">
        <v>261</v>
      </c>
      <c r="Z3587" t="s">
        <v>409</v>
      </c>
      <c r="AA3587" t="s">
        <v>409</v>
      </c>
      <c r="AB3587" t="s">
        <v>409</v>
      </c>
      <c r="AC3587" t="s">
        <v>409</v>
      </c>
      <c r="AD3587" t="s">
        <v>261</v>
      </c>
      <c r="AH3587" t="s">
        <v>262</v>
      </c>
      <c r="AI3587" t="s">
        <v>262</v>
      </c>
      <c r="AJ3587" t="s">
        <v>261</v>
      </c>
      <c r="AK3587" t="s">
        <v>261</v>
      </c>
      <c r="AM3587" t="s">
        <v>262</v>
      </c>
      <c r="AN3587" t="s">
        <v>9746</v>
      </c>
    </row>
    <row r="3588" spans="1:40" x14ac:dyDescent="0.35">
      <c r="A3588">
        <v>6961414</v>
      </c>
      <c r="B3588" t="s">
        <v>9747</v>
      </c>
      <c r="C3588" t="str">
        <f>"9783030974046"</f>
        <v>9783030974046</v>
      </c>
      <c r="D3588" t="str">
        <f>"9783030974053"</f>
        <v>9783030974053</v>
      </c>
      <c r="E3588" t="s">
        <v>2289</v>
      </c>
      <c r="F3588" t="s">
        <v>2663</v>
      </c>
      <c r="G3588" s="1">
        <v>44705</v>
      </c>
      <c r="H3588" s="1">
        <v>44676</v>
      </c>
      <c r="I3588" t="s">
        <v>189</v>
      </c>
      <c r="L3588" t="s">
        <v>9748</v>
      </c>
    </row>
    <row r="3589" spans="1:40" x14ac:dyDescent="0.35">
      <c r="A3589">
        <v>6961497</v>
      </c>
      <c r="B3589" t="s">
        <v>9749</v>
      </c>
      <c r="C3589" t="str">
        <f>""</f>
        <v/>
      </c>
      <c r="D3589" t="str">
        <f>"9789179292980"</f>
        <v>9789179292980</v>
      </c>
      <c r="E3589" t="s">
        <v>2975</v>
      </c>
      <c r="F3589" t="s">
        <v>2975</v>
      </c>
      <c r="G3589" s="1">
        <v>44671</v>
      </c>
      <c r="H3589" s="1">
        <v>44676</v>
      </c>
      <c r="I3589" t="s">
        <v>189</v>
      </c>
      <c r="J3589">
        <v>1</v>
      </c>
      <c r="L3589" t="s">
        <v>9750</v>
      </c>
      <c r="Q3589" t="s">
        <v>260</v>
      </c>
      <c r="R3589" t="s">
        <v>261</v>
      </c>
      <c r="S3589" t="s">
        <v>261</v>
      </c>
      <c r="T3589" t="s">
        <v>261</v>
      </c>
      <c r="U3589" t="s">
        <v>261</v>
      </c>
      <c r="V3589" t="s">
        <v>262</v>
      </c>
      <c r="W3589" t="s">
        <v>261</v>
      </c>
      <c r="X3589" t="s">
        <v>261</v>
      </c>
      <c r="Y3589" t="s">
        <v>261</v>
      </c>
      <c r="AD3589" t="s">
        <v>261</v>
      </c>
      <c r="AH3589" t="s">
        <v>262</v>
      </c>
      <c r="AI3589" t="s">
        <v>261</v>
      </c>
      <c r="AJ3589" t="s">
        <v>261</v>
      </c>
      <c r="AK3589" t="s">
        <v>261</v>
      </c>
      <c r="AM3589" t="s">
        <v>262</v>
      </c>
      <c r="AN3589" t="s">
        <v>9751</v>
      </c>
    </row>
    <row r="3590" spans="1:40" x14ac:dyDescent="0.35">
      <c r="A3590">
        <v>6961501</v>
      </c>
      <c r="B3590" t="s">
        <v>9752</v>
      </c>
      <c r="C3590" t="str">
        <f>""</f>
        <v/>
      </c>
      <c r="D3590" t="str">
        <f>"9789179290184"</f>
        <v>9789179290184</v>
      </c>
      <c r="E3590" t="s">
        <v>2975</v>
      </c>
      <c r="F3590" t="s">
        <v>2975</v>
      </c>
      <c r="G3590" s="1">
        <v>44671</v>
      </c>
      <c r="H3590" s="1">
        <v>44676</v>
      </c>
      <c r="I3590" t="s">
        <v>189</v>
      </c>
      <c r="J3590">
        <v>1</v>
      </c>
      <c r="L3590" t="s">
        <v>9753</v>
      </c>
      <c r="Q3590" t="s">
        <v>260</v>
      </c>
      <c r="R3590" t="s">
        <v>261</v>
      </c>
      <c r="S3590" t="s">
        <v>261</v>
      </c>
      <c r="T3590" t="s">
        <v>261</v>
      </c>
      <c r="U3590" t="s">
        <v>261</v>
      </c>
      <c r="V3590" t="s">
        <v>262</v>
      </c>
      <c r="W3590" t="s">
        <v>261</v>
      </c>
      <c r="X3590" t="s">
        <v>261</v>
      </c>
      <c r="Y3590" t="s">
        <v>261</v>
      </c>
      <c r="AD3590" t="s">
        <v>261</v>
      </c>
      <c r="AH3590" t="s">
        <v>262</v>
      </c>
      <c r="AI3590" t="s">
        <v>261</v>
      </c>
      <c r="AJ3590" t="s">
        <v>261</v>
      </c>
      <c r="AK3590" t="s">
        <v>261</v>
      </c>
      <c r="AM3590" t="s">
        <v>262</v>
      </c>
      <c r="AN3590" t="s">
        <v>9754</v>
      </c>
    </row>
    <row r="3591" spans="1:40" x14ac:dyDescent="0.35">
      <c r="A3591">
        <v>6961667</v>
      </c>
      <c r="B3591" t="s">
        <v>9755</v>
      </c>
      <c r="C3591" t="str">
        <f>"9783030930141"</f>
        <v>9783030930141</v>
      </c>
      <c r="D3591" t="str">
        <f>"9783030930158"</f>
        <v>9783030930158</v>
      </c>
      <c r="E3591" t="s">
        <v>2289</v>
      </c>
      <c r="F3591" t="s">
        <v>3635</v>
      </c>
      <c r="G3591" s="1">
        <v>44714</v>
      </c>
      <c r="H3591" s="1">
        <v>44683</v>
      </c>
      <c r="I3591" t="s">
        <v>189</v>
      </c>
      <c r="K3591" t="s">
        <v>9756</v>
      </c>
      <c r="L3591" t="s">
        <v>9757</v>
      </c>
    </row>
    <row r="3592" spans="1:40" x14ac:dyDescent="0.35">
      <c r="A3592">
        <v>6961691</v>
      </c>
      <c r="B3592" t="s">
        <v>9758</v>
      </c>
      <c r="C3592" t="str">
        <f>"9783030942724"</f>
        <v>9783030942724</v>
      </c>
      <c r="D3592" t="str">
        <f>"9783030942731"</f>
        <v>9783030942731</v>
      </c>
      <c r="E3592" t="s">
        <v>2289</v>
      </c>
      <c r="F3592" t="s">
        <v>2290</v>
      </c>
      <c r="G3592" s="1">
        <v>44675</v>
      </c>
      <c r="H3592" s="1">
        <v>44683</v>
      </c>
      <c r="I3592" t="s">
        <v>189</v>
      </c>
      <c r="K3592" t="s">
        <v>9759</v>
      </c>
      <c r="L3592" t="s">
        <v>9760</v>
      </c>
    </row>
    <row r="3593" spans="1:40" x14ac:dyDescent="0.35">
      <c r="A3593">
        <v>6962836</v>
      </c>
      <c r="B3593" t="s">
        <v>9761</v>
      </c>
      <c r="C3593" t="str">
        <f>"9783030865993"</f>
        <v>9783030865993</v>
      </c>
      <c r="D3593" t="str">
        <f>"9783030866006"</f>
        <v>9783030866006</v>
      </c>
      <c r="E3593" t="s">
        <v>2289</v>
      </c>
      <c r="F3593" t="s">
        <v>2290</v>
      </c>
      <c r="G3593" s="1">
        <v>44700</v>
      </c>
      <c r="H3593" s="1">
        <v>44698</v>
      </c>
      <c r="I3593" t="s">
        <v>189</v>
      </c>
      <c r="L3593" t="s">
        <v>9762</v>
      </c>
    </row>
    <row r="3594" spans="1:40" x14ac:dyDescent="0.35">
      <c r="A3594">
        <v>6962848</v>
      </c>
      <c r="B3594" t="s">
        <v>9763</v>
      </c>
      <c r="C3594" t="str">
        <f>"9789811647161"</f>
        <v>9789811647161</v>
      </c>
      <c r="D3594" t="str">
        <f>"9789811647178"</f>
        <v>9789811647178</v>
      </c>
      <c r="E3594" t="s">
        <v>3404</v>
      </c>
      <c r="F3594" t="s">
        <v>2290</v>
      </c>
      <c r="G3594" s="1">
        <v>44597</v>
      </c>
      <c r="H3594" s="1">
        <v>44698</v>
      </c>
      <c r="I3594" t="s">
        <v>189</v>
      </c>
      <c r="K3594" t="s">
        <v>9764</v>
      </c>
      <c r="L3594" t="s">
        <v>9765</v>
      </c>
      <c r="M3594" t="s">
        <v>210</v>
      </c>
      <c r="N3594" t="s">
        <v>6990</v>
      </c>
      <c r="Q3594" t="s">
        <v>260</v>
      </c>
      <c r="R3594" t="s">
        <v>261</v>
      </c>
      <c r="S3594" t="s">
        <v>261</v>
      </c>
      <c r="T3594" t="s">
        <v>261</v>
      </c>
      <c r="U3594" t="s">
        <v>261</v>
      </c>
      <c r="V3594" t="s">
        <v>262</v>
      </c>
      <c r="W3594" t="s">
        <v>261</v>
      </c>
      <c r="X3594" t="s">
        <v>261</v>
      </c>
      <c r="Y3594" t="s">
        <v>261</v>
      </c>
      <c r="Z3594" t="s">
        <v>409</v>
      </c>
      <c r="AA3594" t="s">
        <v>409</v>
      </c>
      <c r="AB3594" t="s">
        <v>409</v>
      </c>
      <c r="AC3594" t="s">
        <v>409</v>
      </c>
      <c r="AD3594" t="s">
        <v>261</v>
      </c>
      <c r="AH3594" t="s">
        <v>262</v>
      </c>
      <c r="AI3594" t="s">
        <v>262</v>
      </c>
      <c r="AJ3594" t="s">
        <v>261</v>
      </c>
      <c r="AK3594" t="s">
        <v>261</v>
      </c>
      <c r="AM3594" t="s">
        <v>262</v>
      </c>
      <c r="AN3594" t="s">
        <v>9766</v>
      </c>
    </row>
    <row r="3595" spans="1:40" x14ac:dyDescent="0.35">
      <c r="A3595">
        <v>6962853</v>
      </c>
      <c r="B3595" t="s">
        <v>9767</v>
      </c>
      <c r="C3595" t="str">
        <f>"9783030886813"</f>
        <v>9783030886813</v>
      </c>
      <c r="D3595" t="str">
        <f>"9783030886820"</f>
        <v>9783030886820</v>
      </c>
      <c r="E3595" t="s">
        <v>2289</v>
      </c>
      <c r="F3595" t="s">
        <v>2290</v>
      </c>
      <c r="G3595" s="1">
        <v>44716</v>
      </c>
      <c r="H3595" s="1">
        <v>44698</v>
      </c>
      <c r="I3595" t="s">
        <v>189</v>
      </c>
      <c r="K3595" t="s">
        <v>9768</v>
      </c>
      <c r="L3595" t="s">
        <v>9769</v>
      </c>
    </row>
    <row r="3596" spans="1:40" x14ac:dyDescent="0.35">
      <c r="A3596">
        <v>6963471</v>
      </c>
      <c r="B3596" t="s">
        <v>9770</v>
      </c>
      <c r="C3596" t="str">
        <f>"9783030978365"</f>
        <v>9783030978365</v>
      </c>
      <c r="D3596" t="str">
        <f>"9783030978372"</f>
        <v>9783030978372</v>
      </c>
      <c r="E3596" t="s">
        <v>2289</v>
      </c>
      <c r="F3596" t="s">
        <v>2663</v>
      </c>
      <c r="G3596" s="1">
        <v>44678</v>
      </c>
      <c r="H3596" s="1">
        <v>44683</v>
      </c>
      <c r="I3596" t="s">
        <v>189</v>
      </c>
      <c r="L3596" t="s">
        <v>9771</v>
      </c>
    </row>
    <row r="3597" spans="1:40" x14ac:dyDescent="0.35">
      <c r="A3597">
        <v>6963491</v>
      </c>
      <c r="B3597" t="s">
        <v>9772</v>
      </c>
      <c r="C3597" t="str">
        <f>"9783030975555"</f>
        <v>9783030975555</v>
      </c>
      <c r="D3597" t="str">
        <f>"9783030975562"</f>
        <v>9783030975562</v>
      </c>
      <c r="E3597" t="s">
        <v>2289</v>
      </c>
      <c r="F3597" t="s">
        <v>2290</v>
      </c>
      <c r="G3597" s="1">
        <v>44678</v>
      </c>
      <c r="H3597" s="1">
        <v>44683</v>
      </c>
      <c r="I3597" t="s">
        <v>189</v>
      </c>
      <c r="K3597" t="s">
        <v>6517</v>
      </c>
      <c r="L3597" t="s">
        <v>9773</v>
      </c>
    </row>
    <row r="3598" spans="1:40" x14ac:dyDescent="0.35">
      <c r="A3598">
        <v>6965025</v>
      </c>
      <c r="B3598" t="s">
        <v>9774</v>
      </c>
      <c r="C3598" t="str">
        <f>"9783658373917"</f>
        <v>9783658373917</v>
      </c>
      <c r="D3598" t="str">
        <f>"9783658373924"</f>
        <v>9783658373924</v>
      </c>
      <c r="E3598" t="s">
        <v>3972</v>
      </c>
      <c r="F3598" t="s">
        <v>3998</v>
      </c>
      <c r="G3598" s="1">
        <v>44710</v>
      </c>
      <c r="H3598" s="1">
        <v>44683</v>
      </c>
      <c r="I3598" t="s">
        <v>189</v>
      </c>
      <c r="K3598" t="s">
        <v>9775</v>
      </c>
      <c r="L3598" t="s">
        <v>9776</v>
      </c>
      <c r="M3598" t="s">
        <v>329</v>
      </c>
      <c r="N3598" t="s">
        <v>9777</v>
      </c>
      <c r="Q3598" t="s">
        <v>408</v>
      </c>
      <c r="R3598" t="s">
        <v>261</v>
      </c>
      <c r="S3598" t="s">
        <v>261</v>
      </c>
      <c r="T3598" t="s">
        <v>261</v>
      </c>
      <c r="U3598" t="s">
        <v>261</v>
      </c>
      <c r="V3598" t="s">
        <v>262</v>
      </c>
      <c r="W3598" t="s">
        <v>261</v>
      </c>
      <c r="X3598" t="s">
        <v>261</v>
      </c>
      <c r="Y3598" t="s">
        <v>261</v>
      </c>
      <c r="Z3598" t="s">
        <v>409</v>
      </c>
      <c r="AA3598" t="s">
        <v>409</v>
      </c>
      <c r="AB3598" t="s">
        <v>409</v>
      </c>
      <c r="AC3598" t="s">
        <v>409</v>
      </c>
      <c r="AD3598" t="s">
        <v>261</v>
      </c>
      <c r="AH3598" t="s">
        <v>262</v>
      </c>
      <c r="AI3598" t="s">
        <v>262</v>
      </c>
      <c r="AJ3598" t="s">
        <v>261</v>
      </c>
      <c r="AK3598" t="s">
        <v>261</v>
      </c>
      <c r="AM3598" t="s">
        <v>262</v>
      </c>
      <c r="AN3598" t="s">
        <v>9778</v>
      </c>
    </row>
    <row r="3599" spans="1:40" x14ac:dyDescent="0.35">
      <c r="A3599">
        <v>6965072</v>
      </c>
      <c r="B3599" t="s">
        <v>9779</v>
      </c>
      <c r="C3599" t="str">
        <f>"9783658365653"</f>
        <v>9783658365653</v>
      </c>
      <c r="D3599" t="str">
        <f>"9783658365660"</f>
        <v>9783658365660</v>
      </c>
      <c r="E3599" t="s">
        <v>3972</v>
      </c>
      <c r="F3599" t="s">
        <v>3998</v>
      </c>
      <c r="G3599" s="1">
        <v>44716</v>
      </c>
      <c r="H3599" s="1">
        <v>44683</v>
      </c>
      <c r="I3599" t="s">
        <v>189</v>
      </c>
      <c r="L3599" t="s">
        <v>9780</v>
      </c>
    </row>
    <row r="3600" spans="1:40" x14ac:dyDescent="0.35">
      <c r="A3600">
        <v>6965093</v>
      </c>
      <c r="B3600" t="s">
        <v>9781</v>
      </c>
      <c r="C3600" t="str">
        <f>"9783030992552"</f>
        <v>9783030992552</v>
      </c>
      <c r="D3600" t="str">
        <f>"9783030992569"</f>
        <v>9783030992569</v>
      </c>
      <c r="E3600" t="s">
        <v>2289</v>
      </c>
      <c r="F3600" t="s">
        <v>2663</v>
      </c>
      <c r="G3600" s="1">
        <v>44679</v>
      </c>
      <c r="H3600" s="1">
        <v>44683</v>
      </c>
      <c r="I3600" t="s">
        <v>189</v>
      </c>
      <c r="K3600" t="s">
        <v>9782</v>
      </c>
      <c r="L3600" t="s">
        <v>9783</v>
      </c>
    </row>
    <row r="3601" spans="1:40" x14ac:dyDescent="0.35">
      <c r="A3601">
        <v>6965112</v>
      </c>
      <c r="B3601" t="s">
        <v>9784</v>
      </c>
      <c r="C3601" t="str">
        <f>"9783030783068"</f>
        <v>9783030783068</v>
      </c>
      <c r="D3601" t="str">
        <f>"9783030783075"</f>
        <v>9783030783075</v>
      </c>
      <c r="E3601" t="s">
        <v>2289</v>
      </c>
      <c r="F3601" t="s">
        <v>2290</v>
      </c>
      <c r="G3601" s="1">
        <v>44716</v>
      </c>
      <c r="H3601" s="1">
        <v>44683</v>
      </c>
      <c r="I3601" t="s">
        <v>189</v>
      </c>
      <c r="L3601" t="s">
        <v>65</v>
      </c>
    </row>
    <row r="3602" spans="1:40" x14ac:dyDescent="0.35">
      <c r="A3602">
        <v>6966380</v>
      </c>
      <c r="B3602" t="s">
        <v>9785</v>
      </c>
      <c r="C3602" t="str">
        <f>""</f>
        <v/>
      </c>
      <c r="D3602" t="str">
        <f>"9789179292904"</f>
        <v>9789179292904</v>
      </c>
      <c r="E3602" t="s">
        <v>2975</v>
      </c>
      <c r="F3602" t="s">
        <v>2975</v>
      </c>
      <c r="G3602" s="1">
        <v>44680</v>
      </c>
      <c r="H3602" s="1">
        <v>44683</v>
      </c>
      <c r="I3602" t="s">
        <v>189</v>
      </c>
      <c r="J3602">
        <v>1</v>
      </c>
      <c r="L3602" t="s">
        <v>9786</v>
      </c>
      <c r="Q3602" t="s">
        <v>260</v>
      </c>
      <c r="R3602" t="s">
        <v>261</v>
      </c>
      <c r="S3602" t="s">
        <v>261</v>
      </c>
      <c r="T3602" t="s">
        <v>261</v>
      </c>
      <c r="U3602" t="s">
        <v>261</v>
      </c>
      <c r="V3602" t="s">
        <v>262</v>
      </c>
      <c r="W3602" t="s">
        <v>261</v>
      </c>
      <c r="X3602" t="s">
        <v>261</v>
      </c>
      <c r="Y3602" t="s">
        <v>261</v>
      </c>
      <c r="AD3602" t="s">
        <v>261</v>
      </c>
      <c r="AH3602" t="s">
        <v>262</v>
      </c>
      <c r="AI3602" t="s">
        <v>261</v>
      </c>
      <c r="AJ3602" t="s">
        <v>261</v>
      </c>
      <c r="AK3602" t="s">
        <v>261</v>
      </c>
      <c r="AM3602" t="s">
        <v>262</v>
      </c>
      <c r="AN3602" t="s">
        <v>9787</v>
      </c>
    </row>
    <row r="3603" spans="1:40" x14ac:dyDescent="0.35">
      <c r="A3603">
        <v>6966381</v>
      </c>
      <c r="B3603" t="s">
        <v>9788</v>
      </c>
      <c r="C3603" t="str">
        <f>""</f>
        <v/>
      </c>
      <c r="D3603" t="str">
        <f>"9789179292867"</f>
        <v>9789179292867</v>
      </c>
      <c r="E3603" t="s">
        <v>2975</v>
      </c>
      <c r="F3603" t="s">
        <v>2975</v>
      </c>
      <c r="G3603" s="1">
        <v>44680</v>
      </c>
      <c r="H3603" s="1">
        <v>44683</v>
      </c>
      <c r="I3603" t="s">
        <v>189</v>
      </c>
      <c r="J3603">
        <v>1</v>
      </c>
      <c r="L3603" t="s">
        <v>9789</v>
      </c>
      <c r="Q3603" t="s">
        <v>260</v>
      </c>
      <c r="R3603" t="s">
        <v>261</v>
      </c>
      <c r="S3603" t="s">
        <v>261</v>
      </c>
      <c r="T3603" t="s">
        <v>261</v>
      </c>
      <c r="U3603" t="s">
        <v>261</v>
      </c>
      <c r="V3603" t="s">
        <v>262</v>
      </c>
      <c r="W3603" t="s">
        <v>261</v>
      </c>
      <c r="X3603" t="s">
        <v>261</v>
      </c>
      <c r="Y3603" t="s">
        <v>261</v>
      </c>
      <c r="AD3603" t="s">
        <v>261</v>
      </c>
      <c r="AH3603" t="s">
        <v>262</v>
      </c>
      <c r="AI3603" t="s">
        <v>261</v>
      </c>
      <c r="AJ3603" t="s">
        <v>261</v>
      </c>
      <c r="AK3603" t="s">
        <v>261</v>
      </c>
      <c r="AM3603" t="s">
        <v>262</v>
      </c>
      <c r="AN3603" t="s">
        <v>9790</v>
      </c>
    </row>
    <row r="3604" spans="1:40" x14ac:dyDescent="0.35">
      <c r="A3604">
        <v>6966382</v>
      </c>
      <c r="B3604" t="s">
        <v>9791</v>
      </c>
      <c r="C3604" t="str">
        <f>""</f>
        <v/>
      </c>
      <c r="D3604" t="str">
        <f>"9789179293369"</f>
        <v>9789179293369</v>
      </c>
      <c r="E3604" t="s">
        <v>2975</v>
      </c>
      <c r="F3604" t="s">
        <v>2975</v>
      </c>
      <c r="G3604" s="1">
        <v>44678</v>
      </c>
      <c r="H3604" s="1">
        <v>44683</v>
      </c>
      <c r="I3604" t="s">
        <v>189</v>
      </c>
      <c r="J3604">
        <v>1</v>
      </c>
      <c r="L3604" t="s">
        <v>9792</v>
      </c>
      <c r="Q3604" t="s">
        <v>260</v>
      </c>
      <c r="R3604" t="s">
        <v>261</v>
      </c>
      <c r="S3604" t="s">
        <v>261</v>
      </c>
      <c r="T3604" t="s">
        <v>261</v>
      </c>
      <c r="U3604" t="s">
        <v>261</v>
      </c>
      <c r="V3604" t="s">
        <v>262</v>
      </c>
      <c r="W3604" t="s">
        <v>261</v>
      </c>
      <c r="X3604" t="s">
        <v>261</v>
      </c>
      <c r="Y3604" t="s">
        <v>261</v>
      </c>
      <c r="AD3604" t="s">
        <v>261</v>
      </c>
      <c r="AH3604" t="s">
        <v>262</v>
      </c>
      <c r="AI3604" t="s">
        <v>261</v>
      </c>
      <c r="AJ3604" t="s">
        <v>261</v>
      </c>
      <c r="AK3604" t="s">
        <v>261</v>
      </c>
      <c r="AM3604" t="s">
        <v>262</v>
      </c>
      <c r="AN3604" t="s">
        <v>9793</v>
      </c>
    </row>
    <row r="3605" spans="1:40" x14ac:dyDescent="0.35">
      <c r="A3605">
        <v>6966385</v>
      </c>
      <c r="B3605" t="s">
        <v>9794</v>
      </c>
      <c r="C3605" t="str">
        <f>""</f>
        <v/>
      </c>
      <c r="D3605" t="str">
        <f>"9789179292829"</f>
        <v>9789179292829</v>
      </c>
      <c r="E3605" t="s">
        <v>2975</v>
      </c>
      <c r="F3605" t="s">
        <v>2975</v>
      </c>
      <c r="G3605" s="1">
        <v>44676</v>
      </c>
      <c r="H3605" s="1">
        <v>44683</v>
      </c>
      <c r="I3605" t="s">
        <v>189</v>
      </c>
      <c r="J3605">
        <v>1</v>
      </c>
      <c r="L3605" t="s">
        <v>9795</v>
      </c>
      <c r="Q3605" t="s">
        <v>260</v>
      </c>
      <c r="R3605" t="s">
        <v>261</v>
      </c>
      <c r="S3605" t="s">
        <v>261</v>
      </c>
      <c r="T3605" t="s">
        <v>261</v>
      </c>
      <c r="U3605" t="s">
        <v>261</v>
      </c>
      <c r="V3605" t="s">
        <v>262</v>
      </c>
      <c r="W3605" t="s">
        <v>261</v>
      </c>
      <c r="X3605" t="s">
        <v>261</v>
      </c>
      <c r="Y3605" t="s">
        <v>261</v>
      </c>
      <c r="AD3605" t="s">
        <v>261</v>
      </c>
      <c r="AH3605" t="s">
        <v>262</v>
      </c>
      <c r="AI3605" t="s">
        <v>261</v>
      </c>
      <c r="AJ3605" t="s">
        <v>261</v>
      </c>
      <c r="AK3605" t="s">
        <v>261</v>
      </c>
      <c r="AM3605" t="s">
        <v>262</v>
      </c>
      <c r="AN3605" t="s">
        <v>9796</v>
      </c>
    </row>
    <row r="3606" spans="1:40" x14ac:dyDescent="0.35">
      <c r="A3606">
        <v>6966386</v>
      </c>
      <c r="B3606" t="s">
        <v>9797</v>
      </c>
      <c r="C3606" t="str">
        <f>""</f>
        <v/>
      </c>
      <c r="D3606" t="str">
        <f>"9789179293451"</f>
        <v>9789179293451</v>
      </c>
      <c r="E3606" t="s">
        <v>2975</v>
      </c>
      <c r="F3606" t="s">
        <v>2975</v>
      </c>
      <c r="G3606" s="1">
        <v>44677</v>
      </c>
      <c r="H3606" s="1">
        <v>44683</v>
      </c>
      <c r="I3606" t="s">
        <v>189</v>
      </c>
      <c r="J3606">
        <v>1</v>
      </c>
      <c r="L3606" t="s">
        <v>9798</v>
      </c>
      <c r="Q3606" t="s">
        <v>260</v>
      </c>
      <c r="R3606" t="s">
        <v>261</v>
      </c>
      <c r="S3606" t="s">
        <v>261</v>
      </c>
      <c r="T3606" t="s">
        <v>261</v>
      </c>
      <c r="U3606" t="s">
        <v>261</v>
      </c>
      <c r="V3606" t="s">
        <v>262</v>
      </c>
      <c r="W3606" t="s">
        <v>261</v>
      </c>
      <c r="X3606" t="s">
        <v>261</v>
      </c>
      <c r="Y3606" t="s">
        <v>261</v>
      </c>
      <c r="AD3606" t="s">
        <v>261</v>
      </c>
      <c r="AH3606" t="s">
        <v>262</v>
      </c>
      <c r="AI3606" t="s">
        <v>261</v>
      </c>
      <c r="AJ3606" t="s">
        <v>261</v>
      </c>
      <c r="AK3606" t="s">
        <v>261</v>
      </c>
      <c r="AM3606" t="s">
        <v>262</v>
      </c>
      <c r="AN3606" t="s">
        <v>9799</v>
      </c>
    </row>
    <row r="3607" spans="1:40" x14ac:dyDescent="0.35">
      <c r="A3607">
        <v>6966394</v>
      </c>
      <c r="B3607" t="s">
        <v>9800</v>
      </c>
      <c r="C3607" t="str">
        <f>"9783030945893"</f>
        <v>9783030945893</v>
      </c>
      <c r="D3607" t="str">
        <f>"9783030945909"</f>
        <v>9783030945909</v>
      </c>
      <c r="E3607" t="s">
        <v>2289</v>
      </c>
      <c r="F3607" t="s">
        <v>2290</v>
      </c>
      <c r="G3607" s="1">
        <v>44721</v>
      </c>
      <c r="H3607" s="1">
        <v>44684</v>
      </c>
      <c r="I3607" t="s">
        <v>189</v>
      </c>
      <c r="L3607" t="s">
        <v>9801</v>
      </c>
    </row>
    <row r="3608" spans="1:40" x14ac:dyDescent="0.35">
      <c r="A3608">
        <v>6970020</v>
      </c>
      <c r="B3608" t="s">
        <v>9802</v>
      </c>
      <c r="C3608" t="str">
        <f>"9789633864517"</f>
        <v>9789633864517</v>
      </c>
      <c r="D3608" t="str">
        <f>"9789633864524"</f>
        <v>9789633864524</v>
      </c>
      <c r="E3608" t="s">
        <v>1797</v>
      </c>
      <c r="F3608" t="s">
        <v>1797</v>
      </c>
      <c r="G3608" s="1">
        <v>44722</v>
      </c>
      <c r="H3608" s="1">
        <v>44684</v>
      </c>
      <c r="I3608" t="s">
        <v>189</v>
      </c>
      <c r="J3608">
        <v>1</v>
      </c>
      <c r="K3608" t="s">
        <v>8613</v>
      </c>
      <c r="L3608" t="s">
        <v>9803</v>
      </c>
      <c r="M3608" t="s">
        <v>239</v>
      </c>
    </row>
    <row r="3609" spans="1:40" x14ac:dyDescent="0.35">
      <c r="A3609">
        <v>6970721</v>
      </c>
      <c r="B3609" t="s">
        <v>9804</v>
      </c>
      <c r="C3609" t="str">
        <f>"9783030944025"</f>
        <v>9783030944025</v>
      </c>
      <c r="D3609" t="str">
        <f>"9783030944032"</f>
        <v>9783030944032</v>
      </c>
      <c r="E3609" t="s">
        <v>2289</v>
      </c>
      <c r="F3609" t="s">
        <v>2663</v>
      </c>
      <c r="G3609" s="1">
        <v>44685</v>
      </c>
      <c r="H3609" s="1">
        <v>44685</v>
      </c>
      <c r="I3609" t="s">
        <v>189</v>
      </c>
      <c r="K3609" t="s">
        <v>9805</v>
      </c>
      <c r="L3609" t="s">
        <v>9806</v>
      </c>
      <c r="M3609" t="s">
        <v>389</v>
      </c>
      <c r="N3609" t="s">
        <v>9807</v>
      </c>
      <c r="O3609" t="s">
        <v>9808</v>
      </c>
      <c r="Q3609" t="s">
        <v>260</v>
      </c>
      <c r="R3609" t="s">
        <v>261</v>
      </c>
      <c r="S3609" t="s">
        <v>261</v>
      </c>
      <c r="T3609" t="s">
        <v>261</v>
      </c>
      <c r="U3609" t="s">
        <v>261</v>
      </c>
      <c r="V3609" t="s">
        <v>262</v>
      </c>
      <c r="W3609" t="s">
        <v>261</v>
      </c>
      <c r="X3609" t="s">
        <v>261</v>
      </c>
      <c r="Y3609" t="s">
        <v>261</v>
      </c>
      <c r="Z3609" t="s">
        <v>409</v>
      </c>
      <c r="AA3609" t="s">
        <v>409</v>
      </c>
      <c r="AB3609" t="s">
        <v>409</v>
      </c>
      <c r="AC3609" t="s">
        <v>409</v>
      </c>
      <c r="AD3609" t="s">
        <v>261</v>
      </c>
      <c r="AH3609" t="s">
        <v>262</v>
      </c>
      <c r="AI3609" t="s">
        <v>262</v>
      </c>
      <c r="AJ3609" t="s">
        <v>261</v>
      </c>
      <c r="AK3609" t="s">
        <v>261</v>
      </c>
      <c r="AM3609" t="s">
        <v>262</v>
      </c>
      <c r="AN3609" t="s">
        <v>9809</v>
      </c>
    </row>
    <row r="3610" spans="1:40" x14ac:dyDescent="0.35">
      <c r="A3610">
        <v>6975979</v>
      </c>
      <c r="B3610" t="s">
        <v>9810</v>
      </c>
      <c r="C3610" t="str">
        <f>"9783658375119"</f>
        <v>9783658375119</v>
      </c>
      <c r="D3610" t="str">
        <f>"9783658375126"</f>
        <v>9783658375126</v>
      </c>
      <c r="E3610" t="s">
        <v>3972</v>
      </c>
      <c r="F3610" t="s">
        <v>3972</v>
      </c>
      <c r="G3610" s="1">
        <v>44685</v>
      </c>
      <c r="H3610" s="1">
        <v>44690</v>
      </c>
      <c r="I3610" t="s">
        <v>189</v>
      </c>
      <c r="L3610" t="s">
        <v>9811</v>
      </c>
      <c r="M3610" t="s">
        <v>582</v>
      </c>
      <c r="N3610" t="s">
        <v>6110</v>
      </c>
      <c r="Q3610" t="s">
        <v>408</v>
      </c>
      <c r="R3610" t="s">
        <v>261</v>
      </c>
      <c r="S3610" t="s">
        <v>261</v>
      </c>
      <c r="T3610" t="s">
        <v>261</v>
      </c>
      <c r="U3610" t="s">
        <v>261</v>
      </c>
      <c r="V3610" t="s">
        <v>262</v>
      </c>
      <c r="W3610" t="s">
        <v>261</v>
      </c>
      <c r="X3610" t="s">
        <v>261</v>
      </c>
      <c r="Y3610" t="s">
        <v>261</v>
      </c>
      <c r="Z3610" t="s">
        <v>409</v>
      </c>
      <c r="AA3610" t="s">
        <v>409</v>
      </c>
      <c r="AB3610" t="s">
        <v>409</v>
      </c>
      <c r="AC3610" t="s">
        <v>409</v>
      </c>
      <c r="AD3610" t="s">
        <v>261</v>
      </c>
      <c r="AH3610" t="s">
        <v>262</v>
      </c>
      <c r="AI3610" t="s">
        <v>262</v>
      </c>
      <c r="AJ3610" t="s">
        <v>261</v>
      </c>
      <c r="AK3610" t="s">
        <v>261</v>
      </c>
      <c r="AM3610" t="s">
        <v>262</v>
      </c>
      <c r="AN3610" t="s">
        <v>9812</v>
      </c>
    </row>
    <row r="3611" spans="1:40" x14ac:dyDescent="0.35">
      <c r="A3611">
        <v>6975987</v>
      </c>
      <c r="B3611" t="s">
        <v>9813</v>
      </c>
      <c r="C3611" t="str">
        <f>"9783030952655"</f>
        <v>9783030952655</v>
      </c>
      <c r="D3611" t="str">
        <f>"9783030952662"</f>
        <v>9783030952662</v>
      </c>
      <c r="E3611" t="s">
        <v>2289</v>
      </c>
      <c r="F3611" t="s">
        <v>2290</v>
      </c>
      <c r="G3611" s="1">
        <v>44685</v>
      </c>
      <c r="H3611" s="1">
        <v>44690</v>
      </c>
      <c r="I3611" t="s">
        <v>189</v>
      </c>
      <c r="K3611" t="s">
        <v>9814</v>
      </c>
      <c r="L3611" t="s">
        <v>9815</v>
      </c>
    </row>
    <row r="3612" spans="1:40" x14ac:dyDescent="0.35">
      <c r="A3612">
        <v>6976014</v>
      </c>
      <c r="B3612" t="s">
        <v>9816</v>
      </c>
      <c r="C3612" t="str">
        <f>"9783658374372"</f>
        <v>9783658374372</v>
      </c>
      <c r="D3612" t="str">
        <f>"9783658374389"</f>
        <v>9783658374389</v>
      </c>
      <c r="E3612" t="s">
        <v>3972</v>
      </c>
      <c r="F3612" t="s">
        <v>3972</v>
      </c>
      <c r="G3612" s="1">
        <v>44685</v>
      </c>
      <c r="H3612" s="1">
        <v>44690</v>
      </c>
      <c r="I3612" t="s">
        <v>189</v>
      </c>
      <c r="L3612" t="s">
        <v>9817</v>
      </c>
      <c r="M3612" t="s">
        <v>249</v>
      </c>
      <c r="N3612" t="s">
        <v>8646</v>
      </c>
      <c r="Q3612" t="s">
        <v>408</v>
      </c>
      <c r="R3612" t="s">
        <v>261</v>
      </c>
      <c r="S3612" t="s">
        <v>261</v>
      </c>
      <c r="T3612" t="s">
        <v>261</v>
      </c>
      <c r="U3612" t="s">
        <v>261</v>
      </c>
      <c r="V3612" t="s">
        <v>262</v>
      </c>
      <c r="W3612" t="s">
        <v>261</v>
      </c>
      <c r="X3612" t="s">
        <v>261</v>
      </c>
      <c r="Y3612" t="s">
        <v>261</v>
      </c>
      <c r="Z3612" t="s">
        <v>409</v>
      </c>
      <c r="AA3612" t="s">
        <v>409</v>
      </c>
      <c r="AB3612" t="s">
        <v>409</v>
      </c>
      <c r="AC3612" t="s">
        <v>409</v>
      </c>
      <c r="AD3612" t="s">
        <v>261</v>
      </c>
      <c r="AH3612" t="s">
        <v>262</v>
      </c>
      <c r="AI3612" t="s">
        <v>262</v>
      </c>
      <c r="AJ3612" t="s">
        <v>261</v>
      </c>
      <c r="AK3612" t="s">
        <v>261</v>
      </c>
      <c r="AM3612" t="s">
        <v>262</v>
      </c>
      <c r="AN3612" t="s">
        <v>9818</v>
      </c>
    </row>
    <row r="3613" spans="1:40" x14ac:dyDescent="0.35">
      <c r="A3613">
        <v>6976052</v>
      </c>
      <c r="B3613" t="s">
        <v>9819</v>
      </c>
      <c r="C3613" t="str">
        <f>"9783030817350"</f>
        <v>9783030817350</v>
      </c>
      <c r="D3613" t="str">
        <f>"9783030817367"</f>
        <v>9783030817367</v>
      </c>
      <c r="E3613" t="s">
        <v>2289</v>
      </c>
      <c r="F3613" t="s">
        <v>2290</v>
      </c>
      <c r="G3613" s="1">
        <v>44685</v>
      </c>
      <c r="H3613" s="1">
        <v>44690</v>
      </c>
      <c r="I3613" t="s">
        <v>189</v>
      </c>
      <c r="L3613" t="s">
        <v>9820</v>
      </c>
    </row>
    <row r="3614" spans="1:40" x14ac:dyDescent="0.35">
      <c r="A3614">
        <v>6976056</v>
      </c>
      <c r="B3614" t="s">
        <v>9821</v>
      </c>
      <c r="C3614" t="str">
        <f>"9783030984663"</f>
        <v>9783030984663</v>
      </c>
      <c r="D3614" t="str">
        <f>"9783030984670"</f>
        <v>9783030984670</v>
      </c>
      <c r="E3614" t="s">
        <v>2289</v>
      </c>
      <c r="F3614" t="s">
        <v>2290</v>
      </c>
      <c r="G3614" s="1">
        <v>44712</v>
      </c>
      <c r="H3614" s="1">
        <v>44698</v>
      </c>
      <c r="I3614" t="s">
        <v>189</v>
      </c>
      <c r="L3614" t="s">
        <v>9822</v>
      </c>
    </row>
    <row r="3615" spans="1:40" x14ac:dyDescent="0.35">
      <c r="A3615">
        <v>6976068</v>
      </c>
      <c r="B3615" t="s">
        <v>9823</v>
      </c>
      <c r="C3615" t="str">
        <f>"9783030972424"</f>
        <v>9783030972424</v>
      </c>
      <c r="D3615" t="str">
        <f>"9783030972431"</f>
        <v>9783030972431</v>
      </c>
      <c r="E3615" t="s">
        <v>2289</v>
      </c>
      <c r="F3615" t="s">
        <v>2663</v>
      </c>
      <c r="G3615" s="1">
        <v>44685</v>
      </c>
      <c r="H3615" s="1">
        <v>44690</v>
      </c>
      <c r="I3615" t="s">
        <v>189</v>
      </c>
      <c r="K3615" t="s">
        <v>8685</v>
      </c>
      <c r="L3615" t="s">
        <v>9824</v>
      </c>
      <c r="M3615" t="s">
        <v>329</v>
      </c>
      <c r="N3615" t="s">
        <v>9825</v>
      </c>
      <c r="O3615" t="s">
        <v>9826</v>
      </c>
      <c r="Q3615" t="s">
        <v>260</v>
      </c>
      <c r="R3615" t="s">
        <v>261</v>
      </c>
      <c r="S3615" t="s">
        <v>261</v>
      </c>
      <c r="T3615" t="s">
        <v>261</v>
      </c>
      <c r="U3615" t="s">
        <v>261</v>
      </c>
      <c r="V3615" t="s">
        <v>262</v>
      </c>
      <c r="W3615" t="s">
        <v>261</v>
      </c>
      <c r="X3615" t="s">
        <v>261</v>
      </c>
      <c r="Y3615" t="s">
        <v>261</v>
      </c>
      <c r="Z3615" t="s">
        <v>409</v>
      </c>
      <c r="AA3615" t="s">
        <v>409</v>
      </c>
      <c r="AB3615" t="s">
        <v>409</v>
      </c>
      <c r="AC3615" t="s">
        <v>409</v>
      </c>
      <c r="AD3615" t="s">
        <v>261</v>
      </c>
      <c r="AH3615" t="s">
        <v>262</v>
      </c>
      <c r="AI3615" t="s">
        <v>262</v>
      </c>
      <c r="AJ3615" t="s">
        <v>261</v>
      </c>
      <c r="AK3615" t="s">
        <v>261</v>
      </c>
      <c r="AM3615" t="s">
        <v>262</v>
      </c>
      <c r="AN3615" t="s">
        <v>9827</v>
      </c>
    </row>
    <row r="3616" spans="1:40" x14ac:dyDescent="0.35">
      <c r="A3616">
        <v>6976072</v>
      </c>
      <c r="B3616" t="s">
        <v>9828</v>
      </c>
      <c r="C3616" t="str">
        <f>"9783658372552"</f>
        <v>9783658372552</v>
      </c>
      <c r="D3616" t="str">
        <f>"9783658372569"</f>
        <v>9783658372569</v>
      </c>
      <c r="E3616" t="s">
        <v>3972</v>
      </c>
      <c r="F3616" t="s">
        <v>3998</v>
      </c>
      <c r="G3616" s="1">
        <v>44685</v>
      </c>
      <c r="H3616" s="1">
        <v>44690</v>
      </c>
      <c r="I3616" t="s">
        <v>189</v>
      </c>
      <c r="L3616" t="s">
        <v>9829</v>
      </c>
      <c r="M3616" t="s">
        <v>329</v>
      </c>
      <c r="N3616" t="s">
        <v>6191</v>
      </c>
      <c r="Q3616" t="s">
        <v>408</v>
      </c>
      <c r="R3616" t="s">
        <v>261</v>
      </c>
      <c r="S3616" t="s">
        <v>261</v>
      </c>
      <c r="T3616" t="s">
        <v>261</v>
      </c>
      <c r="U3616" t="s">
        <v>261</v>
      </c>
      <c r="V3616" t="s">
        <v>262</v>
      </c>
      <c r="W3616" t="s">
        <v>261</v>
      </c>
      <c r="X3616" t="s">
        <v>261</v>
      </c>
      <c r="Y3616" t="s">
        <v>261</v>
      </c>
      <c r="Z3616" t="s">
        <v>409</v>
      </c>
      <c r="AA3616" t="s">
        <v>409</v>
      </c>
      <c r="AB3616" t="s">
        <v>409</v>
      </c>
      <c r="AC3616" t="s">
        <v>409</v>
      </c>
      <c r="AD3616" t="s">
        <v>261</v>
      </c>
      <c r="AH3616" t="s">
        <v>262</v>
      </c>
      <c r="AI3616" t="s">
        <v>262</v>
      </c>
      <c r="AJ3616" t="s">
        <v>261</v>
      </c>
      <c r="AK3616" t="s">
        <v>261</v>
      </c>
      <c r="AM3616" t="s">
        <v>262</v>
      </c>
      <c r="AN3616" t="s">
        <v>9830</v>
      </c>
    </row>
    <row r="3617" spans="1:40" x14ac:dyDescent="0.35">
      <c r="A3617">
        <v>6976081</v>
      </c>
      <c r="B3617" t="s">
        <v>9831</v>
      </c>
      <c r="C3617" t="str">
        <f>"9783658342920"</f>
        <v>9783658342920</v>
      </c>
      <c r="D3617" t="str">
        <f>"9783658342937"</f>
        <v>9783658342937</v>
      </c>
      <c r="E3617" t="s">
        <v>3972</v>
      </c>
      <c r="F3617" t="s">
        <v>3972</v>
      </c>
      <c r="G3617" s="1">
        <v>44685</v>
      </c>
      <c r="H3617" s="1">
        <v>44690</v>
      </c>
      <c r="I3617" t="s">
        <v>189</v>
      </c>
      <c r="L3617" t="s">
        <v>9832</v>
      </c>
      <c r="M3617" t="s">
        <v>847</v>
      </c>
    </row>
    <row r="3618" spans="1:40" x14ac:dyDescent="0.35">
      <c r="A3618">
        <v>6976277</v>
      </c>
      <c r="B3618" t="s">
        <v>9833</v>
      </c>
      <c r="C3618" t="str">
        <f>"9783030928797"</f>
        <v>9783030928797</v>
      </c>
      <c r="D3618" t="str">
        <f>"9783030928803"</f>
        <v>9783030928803</v>
      </c>
      <c r="E3618" t="s">
        <v>2289</v>
      </c>
      <c r="F3618" t="s">
        <v>2290</v>
      </c>
      <c r="G3618" s="1">
        <v>44687</v>
      </c>
      <c r="H3618" s="1">
        <v>44690</v>
      </c>
      <c r="I3618" t="s">
        <v>189</v>
      </c>
      <c r="L3618" t="s">
        <v>9834</v>
      </c>
      <c r="M3618" t="s">
        <v>339</v>
      </c>
      <c r="N3618" t="s">
        <v>9621</v>
      </c>
      <c r="Q3618" t="s">
        <v>260</v>
      </c>
      <c r="R3618" t="s">
        <v>261</v>
      </c>
      <c r="S3618" t="s">
        <v>261</v>
      </c>
      <c r="T3618" t="s">
        <v>261</v>
      </c>
      <c r="U3618" t="s">
        <v>261</v>
      </c>
      <c r="V3618" t="s">
        <v>262</v>
      </c>
      <c r="W3618" t="s">
        <v>261</v>
      </c>
      <c r="X3618" t="s">
        <v>261</v>
      </c>
      <c r="Y3618" t="s">
        <v>261</v>
      </c>
      <c r="Z3618" t="s">
        <v>409</v>
      </c>
      <c r="AA3618" t="s">
        <v>409</v>
      </c>
      <c r="AB3618" t="s">
        <v>409</v>
      </c>
      <c r="AC3618" t="s">
        <v>409</v>
      </c>
      <c r="AD3618" t="s">
        <v>261</v>
      </c>
      <c r="AH3618" t="s">
        <v>262</v>
      </c>
      <c r="AI3618" t="s">
        <v>262</v>
      </c>
      <c r="AJ3618" t="s">
        <v>261</v>
      </c>
      <c r="AK3618" t="s">
        <v>261</v>
      </c>
      <c r="AM3618" t="s">
        <v>262</v>
      </c>
      <c r="AN3618" t="s">
        <v>9835</v>
      </c>
    </row>
    <row r="3619" spans="1:40" x14ac:dyDescent="0.35">
      <c r="A3619">
        <v>6977210</v>
      </c>
      <c r="B3619" t="s">
        <v>9836</v>
      </c>
      <c r="C3619" t="str">
        <f>"9781800348493"</f>
        <v>9781800348493</v>
      </c>
      <c r="D3619" t="str">
        <f>"9781800345560"</f>
        <v>9781800345560</v>
      </c>
      <c r="E3619" t="s">
        <v>3696</v>
      </c>
      <c r="F3619" t="s">
        <v>3696</v>
      </c>
      <c r="G3619" s="1">
        <v>44713</v>
      </c>
      <c r="H3619" s="1">
        <v>44690</v>
      </c>
      <c r="I3619" t="s">
        <v>189</v>
      </c>
      <c r="J3619">
        <v>1</v>
      </c>
      <c r="K3619" t="s">
        <v>9837</v>
      </c>
      <c r="L3619" t="s">
        <v>9838</v>
      </c>
    </row>
    <row r="3620" spans="1:40" x14ac:dyDescent="0.35">
      <c r="A3620">
        <v>6977218</v>
      </c>
      <c r="B3620" t="s">
        <v>9839</v>
      </c>
      <c r="C3620" t="str">
        <f>"9781846311147"</f>
        <v>9781846311147</v>
      </c>
      <c r="D3620" t="str">
        <f>"9781846313875"</f>
        <v>9781846313875</v>
      </c>
      <c r="E3620" t="s">
        <v>3696</v>
      </c>
      <c r="F3620" t="s">
        <v>3696</v>
      </c>
      <c r="G3620" s="1">
        <v>39417</v>
      </c>
      <c r="H3620" s="1">
        <v>44690</v>
      </c>
      <c r="I3620" t="s">
        <v>189</v>
      </c>
      <c r="J3620">
        <v>1</v>
      </c>
      <c r="L3620" t="s">
        <v>9840</v>
      </c>
      <c r="M3620" t="s">
        <v>219</v>
      </c>
      <c r="N3620" t="s">
        <v>9841</v>
      </c>
      <c r="O3620" s="2">
        <v>843912</v>
      </c>
      <c r="Q3620" t="s">
        <v>260</v>
      </c>
      <c r="R3620" t="s">
        <v>261</v>
      </c>
      <c r="S3620" t="s">
        <v>261</v>
      </c>
      <c r="T3620" t="s">
        <v>261</v>
      </c>
      <c r="U3620" t="s">
        <v>261</v>
      </c>
      <c r="V3620" t="s">
        <v>262</v>
      </c>
      <c r="W3620" t="s">
        <v>261</v>
      </c>
      <c r="X3620" t="s">
        <v>261</v>
      </c>
      <c r="Y3620" t="s">
        <v>261</v>
      </c>
      <c r="Z3620" t="s">
        <v>409</v>
      </c>
      <c r="AA3620" t="s">
        <v>409</v>
      </c>
      <c r="AB3620" t="s">
        <v>409</v>
      </c>
      <c r="AC3620" t="s">
        <v>409</v>
      </c>
      <c r="AD3620" t="s">
        <v>261</v>
      </c>
      <c r="AH3620" t="s">
        <v>262</v>
      </c>
      <c r="AI3620" t="s">
        <v>262</v>
      </c>
      <c r="AJ3620" t="s">
        <v>261</v>
      </c>
      <c r="AK3620" t="s">
        <v>261</v>
      </c>
      <c r="AM3620" t="s">
        <v>262</v>
      </c>
      <c r="AN3620" t="s">
        <v>9842</v>
      </c>
    </row>
    <row r="3621" spans="1:40" x14ac:dyDescent="0.35">
      <c r="A3621">
        <v>6977223</v>
      </c>
      <c r="B3621" t="s">
        <v>9843</v>
      </c>
      <c r="C3621" t="str">
        <f>"9781789621839"</f>
        <v>9781789621839</v>
      </c>
      <c r="D3621" t="str">
        <f>"9781789627633"</f>
        <v>9781789627633</v>
      </c>
      <c r="E3621" t="s">
        <v>3696</v>
      </c>
      <c r="F3621" t="s">
        <v>3696</v>
      </c>
      <c r="G3621" s="1">
        <v>44013</v>
      </c>
      <c r="H3621" s="1">
        <v>44690</v>
      </c>
      <c r="I3621" t="s">
        <v>189</v>
      </c>
      <c r="J3621">
        <v>1</v>
      </c>
      <c r="K3621" t="s">
        <v>9059</v>
      </c>
      <c r="L3621" t="s">
        <v>9844</v>
      </c>
    </row>
    <row r="3622" spans="1:40" x14ac:dyDescent="0.35">
      <c r="A3622">
        <v>6977289</v>
      </c>
      <c r="B3622" t="s">
        <v>9845</v>
      </c>
      <c r="C3622" t="str">
        <f>"9783658369606"</f>
        <v>9783658369606</v>
      </c>
      <c r="D3622" t="str">
        <f>"9783658369613"</f>
        <v>9783658369613</v>
      </c>
      <c r="E3622" t="s">
        <v>3972</v>
      </c>
      <c r="F3622" t="s">
        <v>3972</v>
      </c>
      <c r="G3622" s="1">
        <v>44723</v>
      </c>
      <c r="H3622" s="1">
        <v>44690</v>
      </c>
      <c r="I3622" t="s">
        <v>189</v>
      </c>
      <c r="L3622" t="s">
        <v>9846</v>
      </c>
      <c r="M3622" t="s">
        <v>3871</v>
      </c>
    </row>
    <row r="3623" spans="1:40" x14ac:dyDescent="0.35">
      <c r="A3623">
        <v>6977335</v>
      </c>
      <c r="B3623" t="s">
        <v>9847</v>
      </c>
      <c r="C3623" t="str">
        <f>"9783030965877"</f>
        <v>9783030965877</v>
      </c>
      <c r="D3623" t="str">
        <f>"9783030965884"</f>
        <v>9783030965884</v>
      </c>
      <c r="E3623" t="s">
        <v>2289</v>
      </c>
      <c r="F3623" t="s">
        <v>2663</v>
      </c>
      <c r="G3623" s="1">
        <v>44735</v>
      </c>
      <c r="H3623" s="1">
        <v>44690</v>
      </c>
      <c r="I3623" t="s">
        <v>189</v>
      </c>
      <c r="K3623" t="s">
        <v>8757</v>
      </c>
      <c r="L3623" t="s">
        <v>9848</v>
      </c>
      <c r="M3623" t="s">
        <v>239</v>
      </c>
    </row>
    <row r="3624" spans="1:40" x14ac:dyDescent="0.35">
      <c r="A3624">
        <v>6977337</v>
      </c>
      <c r="B3624" t="s">
        <v>9849</v>
      </c>
      <c r="C3624" t="str">
        <f>"9783030684099"</f>
        <v>9783030684099</v>
      </c>
      <c r="D3624" t="str">
        <f>"9783030684105"</f>
        <v>9783030684105</v>
      </c>
      <c r="E3624" t="s">
        <v>2289</v>
      </c>
      <c r="F3624" t="s">
        <v>2290</v>
      </c>
      <c r="G3624" s="1">
        <v>44717</v>
      </c>
      <c r="H3624" s="1">
        <v>44690</v>
      </c>
      <c r="I3624" t="s">
        <v>189</v>
      </c>
      <c r="L3624" t="s">
        <v>9850</v>
      </c>
    </row>
    <row r="3625" spans="1:40" x14ac:dyDescent="0.35">
      <c r="A3625">
        <v>6977378</v>
      </c>
      <c r="B3625" t="s">
        <v>9851</v>
      </c>
      <c r="C3625" t="str">
        <f>"9783030948818"</f>
        <v>9783030948818</v>
      </c>
      <c r="D3625" t="str">
        <f>"9783030948825"</f>
        <v>9783030948825</v>
      </c>
      <c r="E3625" t="s">
        <v>2289</v>
      </c>
      <c r="F3625" t="s">
        <v>2663</v>
      </c>
      <c r="G3625" s="1">
        <v>44685</v>
      </c>
      <c r="H3625" s="1">
        <v>44690</v>
      </c>
      <c r="I3625" t="s">
        <v>189</v>
      </c>
      <c r="L3625" t="s">
        <v>9852</v>
      </c>
    </row>
    <row r="3626" spans="1:40" x14ac:dyDescent="0.35">
      <c r="A3626">
        <v>6977385</v>
      </c>
      <c r="B3626" t="s">
        <v>9853</v>
      </c>
      <c r="C3626" t="str">
        <f>"9783030973629"</f>
        <v>9783030973629</v>
      </c>
      <c r="D3626" t="str">
        <f>"9783030973636"</f>
        <v>9783030973636</v>
      </c>
      <c r="E3626" t="s">
        <v>2289</v>
      </c>
      <c r="F3626" t="s">
        <v>2663</v>
      </c>
      <c r="G3626" s="1">
        <v>44717</v>
      </c>
      <c r="H3626" s="1">
        <v>44690</v>
      </c>
      <c r="I3626" t="s">
        <v>189</v>
      </c>
      <c r="L3626" t="s">
        <v>9734</v>
      </c>
      <c r="M3626" t="s">
        <v>389</v>
      </c>
      <c r="N3626" t="s">
        <v>9735</v>
      </c>
      <c r="Q3626" t="s">
        <v>260</v>
      </c>
      <c r="R3626" t="s">
        <v>261</v>
      </c>
      <c r="S3626" t="s">
        <v>261</v>
      </c>
      <c r="T3626" t="s">
        <v>261</v>
      </c>
      <c r="U3626" t="s">
        <v>261</v>
      </c>
      <c r="V3626" t="s">
        <v>262</v>
      </c>
      <c r="W3626" t="s">
        <v>261</v>
      </c>
      <c r="X3626" t="s">
        <v>261</v>
      </c>
      <c r="Y3626" t="s">
        <v>261</v>
      </c>
      <c r="Z3626" t="s">
        <v>409</v>
      </c>
      <c r="AA3626" t="s">
        <v>409</v>
      </c>
      <c r="AB3626" t="s">
        <v>409</v>
      </c>
      <c r="AC3626" t="s">
        <v>409</v>
      </c>
      <c r="AD3626" t="s">
        <v>261</v>
      </c>
      <c r="AH3626" t="s">
        <v>262</v>
      </c>
      <c r="AI3626" t="s">
        <v>262</v>
      </c>
      <c r="AJ3626" t="s">
        <v>261</v>
      </c>
      <c r="AK3626" t="s">
        <v>261</v>
      </c>
      <c r="AM3626" t="s">
        <v>262</v>
      </c>
      <c r="AN3626" t="s">
        <v>9854</v>
      </c>
    </row>
    <row r="3627" spans="1:40" x14ac:dyDescent="0.35">
      <c r="A3627">
        <v>6977401</v>
      </c>
      <c r="B3627" t="s">
        <v>9855</v>
      </c>
      <c r="C3627" t="str">
        <f>"9783030856786"</f>
        <v>9783030856786</v>
      </c>
      <c r="D3627" t="str">
        <f>"9783030856793"</f>
        <v>9783030856793</v>
      </c>
      <c r="E3627" t="s">
        <v>2289</v>
      </c>
      <c r="F3627" t="s">
        <v>2290</v>
      </c>
      <c r="G3627" s="1">
        <v>44688</v>
      </c>
      <c r="H3627" s="1">
        <v>44690</v>
      </c>
      <c r="I3627" t="s">
        <v>189</v>
      </c>
      <c r="L3627" t="s">
        <v>9856</v>
      </c>
      <c r="M3627" t="s">
        <v>249</v>
      </c>
    </row>
    <row r="3628" spans="1:40" x14ac:dyDescent="0.35">
      <c r="A3628">
        <v>6977534</v>
      </c>
      <c r="B3628" t="s">
        <v>9857</v>
      </c>
      <c r="C3628" t="str">
        <f>""</f>
        <v/>
      </c>
      <c r="D3628" t="str">
        <f>"9789179293147"</f>
        <v>9789179293147</v>
      </c>
      <c r="E3628" t="s">
        <v>2975</v>
      </c>
      <c r="F3628" t="s">
        <v>2975</v>
      </c>
      <c r="G3628" s="1">
        <v>44687</v>
      </c>
      <c r="H3628" s="1">
        <v>44690</v>
      </c>
      <c r="I3628" t="s">
        <v>189</v>
      </c>
      <c r="J3628">
        <v>1</v>
      </c>
      <c r="L3628" t="s">
        <v>9858</v>
      </c>
      <c r="Q3628" t="s">
        <v>260</v>
      </c>
      <c r="R3628" t="s">
        <v>261</v>
      </c>
      <c r="S3628" t="s">
        <v>261</v>
      </c>
      <c r="T3628" t="s">
        <v>261</v>
      </c>
      <c r="U3628" t="s">
        <v>261</v>
      </c>
      <c r="V3628" t="s">
        <v>262</v>
      </c>
      <c r="W3628" t="s">
        <v>261</v>
      </c>
      <c r="X3628" t="s">
        <v>261</v>
      </c>
      <c r="Y3628" t="s">
        <v>261</v>
      </c>
      <c r="AD3628" t="s">
        <v>261</v>
      </c>
      <c r="AH3628" t="s">
        <v>262</v>
      </c>
      <c r="AI3628" t="s">
        <v>261</v>
      </c>
      <c r="AJ3628" t="s">
        <v>261</v>
      </c>
      <c r="AK3628" t="s">
        <v>261</v>
      </c>
      <c r="AM3628" t="s">
        <v>262</v>
      </c>
      <c r="AN3628" t="s">
        <v>9859</v>
      </c>
    </row>
    <row r="3629" spans="1:40" x14ac:dyDescent="0.35">
      <c r="A3629">
        <v>6977535</v>
      </c>
      <c r="B3629" t="s">
        <v>9860</v>
      </c>
      <c r="C3629" t="str">
        <f>""</f>
        <v/>
      </c>
      <c r="D3629" t="str">
        <f>"9789179292966"</f>
        <v>9789179292966</v>
      </c>
      <c r="E3629" t="s">
        <v>2975</v>
      </c>
      <c r="F3629" t="s">
        <v>2975</v>
      </c>
      <c r="G3629" s="1">
        <v>44684</v>
      </c>
      <c r="H3629" s="1">
        <v>44690</v>
      </c>
      <c r="I3629" t="s">
        <v>189</v>
      </c>
      <c r="J3629">
        <v>1</v>
      </c>
      <c r="L3629" t="s">
        <v>9861</v>
      </c>
      <c r="Q3629" t="s">
        <v>260</v>
      </c>
      <c r="R3629" t="s">
        <v>261</v>
      </c>
      <c r="S3629" t="s">
        <v>261</v>
      </c>
      <c r="T3629" t="s">
        <v>261</v>
      </c>
      <c r="U3629" t="s">
        <v>261</v>
      </c>
      <c r="V3629" t="s">
        <v>262</v>
      </c>
      <c r="W3629" t="s">
        <v>261</v>
      </c>
      <c r="X3629" t="s">
        <v>261</v>
      </c>
      <c r="Y3629" t="s">
        <v>261</v>
      </c>
      <c r="AD3629" t="s">
        <v>261</v>
      </c>
      <c r="AH3629" t="s">
        <v>262</v>
      </c>
      <c r="AI3629" t="s">
        <v>261</v>
      </c>
      <c r="AJ3629" t="s">
        <v>261</v>
      </c>
      <c r="AK3629" t="s">
        <v>261</v>
      </c>
      <c r="AM3629" t="s">
        <v>262</v>
      </c>
      <c r="AN3629" t="s">
        <v>9862</v>
      </c>
    </row>
    <row r="3630" spans="1:40" x14ac:dyDescent="0.35">
      <c r="A3630">
        <v>6977539</v>
      </c>
      <c r="B3630" t="s">
        <v>9863</v>
      </c>
      <c r="C3630" t="str">
        <f>""</f>
        <v/>
      </c>
      <c r="D3630" t="str">
        <f>"9789179293536"</f>
        <v>9789179293536</v>
      </c>
      <c r="E3630" t="s">
        <v>2975</v>
      </c>
      <c r="F3630" t="s">
        <v>2975</v>
      </c>
      <c r="G3630" s="1">
        <v>44686</v>
      </c>
      <c r="H3630" s="1">
        <v>44690</v>
      </c>
      <c r="I3630" t="s">
        <v>189</v>
      </c>
      <c r="J3630">
        <v>1</v>
      </c>
      <c r="L3630" t="s">
        <v>9864</v>
      </c>
      <c r="Q3630" t="s">
        <v>260</v>
      </c>
      <c r="R3630" t="s">
        <v>261</v>
      </c>
      <c r="S3630" t="s">
        <v>261</v>
      </c>
      <c r="T3630" t="s">
        <v>261</v>
      </c>
      <c r="U3630" t="s">
        <v>261</v>
      </c>
      <c r="V3630" t="s">
        <v>262</v>
      </c>
      <c r="W3630" t="s">
        <v>261</v>
      </c>
      <c r="X3630" t="s">
        <v>261</v>
      </c>
      <c r="Y3630" t="s">
        <v>261</v>
      </c>
      <c r="AD3630" t="s">
        <v>261</v>
      </c>
      <c r="AH3630" t="s">
        <v>262</v>
      </c>
      <c r="AI3630" t="s">
        <v>261</v>
      </c>
      <c r="AJ3630" t="s">
        <v>261</v>
      </c>
      <c r="AK3630" t="s">
        <v>261</v>
      </c>
      <c r="AM3630" t="s">
        <v>262</v>
      </c>
      <c r="AN3630" t="s">
        <v>9865</v>
      </c>
    </row>
    <row r="3631" spans="1:40" x14ac:dyDescent="0.35">
      <c r="A3631">
        <v>6977609</v>
      </c>
      <c r="B3631" t="s">
        <v>9866</v>
      </c>
      <c r="C3631" t="str">
        <f>"9781644698228"</f>
        <v>9781644698228</v>
      </c>
      <c r="D3631" t="str">
        <f>"9781644698266"</f>
        <v>9781644698266</v>
      </c>
      <c r="E3631" t="s">
        <v>1592</v>
      </c>
      <c r="F3631" t="s">
        <v>1592</v>
      </c>
      <c r="G3631" s="1">
        <v>44698</v>
      </c>
      <c r="H3631" s="1">
        <v>44756</v>
      </c>
      <c r="I3631" t="s">
        <v>189</v>
      </c>
      <c r="J3631">
        <v>1</v>
      </c>
      <c r="L3631" t="s">
        <v>9867</v>
      </c>
      <c r="M3631" t="s">
        <v>1302</v>
      </c>
    </row>
    <row r="3632" spans="1:40" x14ac:dyDescent="0.35">
      <c r="A3632">
        <v>6977610</v>
      </c>
      <c r="B3632" t="s">
        <v>9868</v>
      </c>
      <c r="C3632" t="str">
        <f>"9781644698211"</f>
        <v>9781644698211</v>
      </c>
      <c r="D3632" t="str">
        <f>"9781644698259"</f>
        <v>9781644698259</v>
      </c>
      <c r="E3632" t="s">
        <v>1592</v>
      </c>
      <c r="F3632" t="s">
        <v>1592</v>
      </c>
      <c r="G3632" s="1">
        <v>44635</v>
      </c>
      <c r="H3632" s="1">
        <v>44756</v>
      </c>
      <c r="I3632" t="s">
        <v>189</v>
      </c>
      <c r="J3632">
        <v>1</v>
      </c>
      <c r="L3632" t="s">
        <v>9867</v>
      </c>
      <c r="M3632" t="s">
        <v>1302</v>
      </c>
    </row>
    <row r="3633" spans="1:40" x14ac:dyDescent="0.35">
      <c r="A3633">
        <v>6977947</v>
      </c>
      <c r="B3633" t="s">
        <v>9869</v>
      </c>
      <c r="C3633" t="str">
        <f>"9783658363529"</f>
        <v>9783658363529</v>
      </c>
      <c r="D3633" t="str">
        <f>"9783658363536"</f>
        <v>9783658363536</v>
      </c>
      <c r="E3633" t="s">
        <v>3972</v>
      </c>
      <c r="F3633" t="s">
        <v>3998</v>
      </c>
      <c r="G3633" s="1">
        <v>44728</v>
      </c>
      <c r="H3633" s="1">
        <v>44698</v>
      </c>
      <c r="I3633" t="s">
        <v>189</v>
      </c>
      <c r="K3633" t="s">
        <v>9517</v>
      </c>
      <c r="L3633" t="s">
        <v>9870</v>
      </c>
      <c r="M3633" t="s">
        <v>323</v>
      </c>
      <c r="N3633" t="s">
        <v>9519</v>
      </c>
      <c r="Q3633" t="s">
        <v>408</v>
      </c>
      <c r="R3633" t="s">
        <v>261</v>
      </c>
      <c r="S3633" t="s">
        <v>261</v>
      </c>
      <c r="T3633" t="s">
        <v>261</v>
      </c>
      <c r="U3633" t="s">
        <v>261</v>
      </c>
      <c r="V3633" t="s">
        <v>262</v>
      </c>
      <c r="W3633" t="s">
        <v>261</v>
      </c>
      <c r="X3633" t="s">
        <v>261</v>
      </c>
      <c r="Y3633" t="s">
        <v>261</v>
      </c>
      <c r="Z3633" t="s">
        <v>409</v>
      </c>
      <c r="AA3633" t="s">
        <v>409</v>
      </c>
      <c r="AB3633" t="s">
        <v>409</v>
      </c>
      <c r="AC3633" t="s">
        <v>409</v>
      </c>
      <c r="AD3633" t="s">
        <v>261</v>
      </c>
      <c r="AH3633" t="s">
        <v>262</v>
      </c>
      <c r="AI3633" t="s">
        <v>262</v>
      </c>
      <c r="AJ3633" t="s">
        <v>261</v>
      </c>
      <c r="AK3633" t="s">
        <v>261</v>
      </c>
      <c r="AM3633" t="s">
        <v>262</v>
      </c>
      <c r="AN3633" t="s">
        <v>9871</v>
      </c>
    </row>
    <row r="3634" spans="1:40" x14ac:dyDescent="0.35">
      <c r="A3634">
        <v>6977965</v>
      </c>
      <c r="B3634" t="s">
        <v>9872</v>
      </c>
      <c r="C3634" t="str">
        <f>"9781800349261"</f>
        <v>9781800349261</v>
      </c>
      <c r="D3634" t="str">
        <f>"9781800344808"</f>
        <v>9781800344808</v>
      </c>
      <c r="E3634" t="s">
        <v>3696</v>
      </c>
      <c r="F3634" t="s">
        <v>3696</v>
      </c>
      <c r="G3634" s="1">
        <v>44531</v>
      </c>
      <c r="H3634" s="1">
        <v>44698</v>
      </c>
      <c r="I3634" t="s">
        <v>189</v>
      </c>
      <c r="J3634">
        <v>1</v>
      </c>
      <c r="L3634" t="s">
        <v>9873</v>
      </c>
      <c r="M3634" t="s">
        <v>210</v>
      </c>
      <c r="O3634" t="s">
        <v>9874</v>
      </c>
      <c r="Q3634" t="s">
        <v>260</v>
      </c>
      <c r="R3634" t="s">
        <v>261</v>
      </c>
      <c r="S3634" t="s">
        <v>261</v>
      </c>
      <c r="T3634" t="s">
        <v>261</v>
      </c>
      <c r="U3634" t="s">
        <v>261</v>
      </c>
      <c r="V3634" t="s">
        <v>262</v>
      </c>
      <c r="W3634" t="s">
        <v>261</v>
      </c>
      <c r="X3634" t="s">
        <v>261</v>
      </c>
      <c r="Y3634" t="s">
        <v>261</v>
      </c>
      <c r="Z3634" t="s">
        <v>409</v>
      </c>
      <c r="AA3634" t="s">
        <v>409</v>
      </c>
      <c r="AB3634" t="s">
        <v>409</v>
      </c>
      <c r="AC3634" t="s">
        <v>409</v>
      </c>
      <c r="AD3634" t="s">
        <v>261</v>
      </c>
      <c r="AH3634" t="s">
        <v>262</v>
      </c>
      <c r="AI3634" t="s">
        <v>262</v>
      </c>
      <c r="AJ3634" t="s">
        <v>261</v>
      </c>
      <c r="AK3634" t="s">
        <v>261</v>
      </c>
      <c r="AM3634" t="s">
        <v>262</v>
      </c>
      <c r="AN3634" t="s">
        <v>9875</v>
      </c>
    </row>
    <row r="3635" spans="1:40" x14ac:dyDescent="0.35">
      <c r="A3635">
        <v>6977971</v>
      </c>
      <c r="B3635" t="s">
        <v>9876</v>
      </c>
      <c r="C3635" t="str">
        <f>"9781786941619"</f>
        <v>9781786941619</v>
      </c>
      <c r="D3635" t="str">
        <f>"9781786949547"</f>
        <v>9781786949547</v>
      </c>
      <c r="E3635" t="s">
        <v>3696</v>
      </c>
      <c r="F3635" t="s">
        <v>3696</v>
      </c>
      <c r="G3635" s="1">
        <v>43500</v>
      </c>
      <c r="H3635" s="1">
        <v>44698</v>
      </c>
      <c r="I3635" t="s">
        <v>189</v>
      </c>
      <c r="J3635">
        <v>1</v>
      </c>
      <c r="K3635" t="s">
        <v>7427</v>
      </c>
      <c r="L3635" t="s">
        <v>9877</v>
      </c>
      <c r="M3635" t="s">
        <v>210</v>
      </c>
      <c r="O3635" s="2">
        <v>3201509729409030</v>
      </c>
      <c r="Q3635" t="s">
        <v>260</v>
      </c>
      <c r="R3635" t="s">
        <v>261</v>
      </c>
      <c r="S3635" t="s">
        <v>261</v>
      </c>
      <c r="T3635" t="s">
        <v>261</v>
      </c>
      <c r="U3635" t="s">
        <v>261</v>
      </c>
      <c r="V3635" t="s">
        <v>262</v>
      </c>
      <c r="W3635" t="s">
        <v>261</v>
      </c>
      <c r="X3635" t="s">
        <v>261</v>
      </c>
      <c r="Y3635" t="s">
        <v>261</v>
      </c>
      <c r="Z3635" t="s">
        <v>409</v>
      </c>
      <c r="AA3635" t="s">
        <v>409</v>
      </c>
      <c r="AB3635" t="s">
        <v>409</v>
      </c>
      <c r="AC3635" t="s">
        <v>409</v>
      </c>
      <c r="AD3635" t="s">
        <v>261</v>
      </c>
      <c r="AH3635" t="s">
        <v>262</v>
      </c>
      <c r="AI3635" t="s">
        <v>262</v>
      </c>
      <c r="AJ3635" t="s">
        <v>261</v>
      </c>
      <c r="AK3635" t="s">
        <v>261</v>
      </c>
      <c r="AM3635" t="s">
        <v>262</v>
      </c>
      <c r="AN3635" t="s">
        <v>9878</v>
      </c>
    </row>
    <row r="3636" spans="1:40" x14ac:dyDescent="0.35">
      <c r="A3636">
        <v>6978014</v>
      </c>
      <c r="B3636" t="s">
        <v>9879</v>
      </c>
      <c r="C3636" t="str">
        <f>"9783031051630"</f>
        <v>9783031051630</v>
      </c>
      <c r="D3636" t="str">
        <f>"9783031051647"</f>
        <v>9783031051647</v>
      </c>
      <c r="E3636" t="s">
        <v>2289</v>
      </c>
      <c r="F3636" t="s">
        <v>2290</v>
      </c>
      <c r="G3636" s="1">
        <v>44721</v>
      </c>
      <c r="H3636" s="1">
        <v>44698</v>
      </c>
      <c r="I3636" t="s">
        <v>189</v>
      </c>
      <c r="K3636" t="s">
        <v>4447</v>
      </c>
      <c r="L3636" t="s">
        <v>9880</v>
      </c>
      <c r="M3636" t="s">
        <v>1318</v>
      </c>
      <c r="N3636" t="s">
        <v>9881</v>
      </c>
      <c r="Q3636" t="s">
        <v>260</v>
      </c>
      <c r="R3636" t="s">
        <v>261</v>
      </c>
      <c r="S3636" t="s">
        <v>261</v>
      </c>
      <c r="T3636" t="s">
        <v>261</v>
      </c>
      <c r="U3636" t="s">
        <v>261</v>
      </c>
      <c r="V3636" t="s">
        <v>262</v>
      </c>
      <c r="W3636" t="s">
        <v>261</v>
      </c>
      <c r="X3636" t="s">
        <v>261</v>
      </c>
      <c r="Y3636" t="s">
        <v>261</v>
      </c>
      <c r="Z3636" t="s">
        <v>409</v>
      </c>
      <c r="AA3636" t="s">
        <v>409</v>
      </c>
      <c r="AB3636" t="s">
        <v>409</v>
      </c>
      <c r="AC3636" t="s">
        <v>409</v>
      </c>
      <c r="AD3636" t="s">
        <v>261</v>
      </c>
      <c r="AH3636" t="s">
        <v>262</v>
      </c>
      <c r="AI3636" t="s">
        <v>262</v>
      </c>
      <c r="AJ3636" t="s">
        <v>261</v>
      </c>
      <c r="AK3636" t="s">
        <v>261</v>
      </c>
      <c r="AM3636" t="s">
        <v>262</v>
      </c>
      <c r="AN3636" t="s">
        <v>9882</v>
      </c>
    </row>
    <row r="3637" spans="1:40" x14ac:dyDescent="0.35">
      <c r="A3637">
        <v>6978112</v>
      </c>
      <c r="B3637" t="s">
        <v>9883</v>
      </c>
      <c r="C3637" t="str">
        <f>""</f>
        <v/>
      </c>
      <c r="D3637" t="str">
        <f>"9781478092339"</f>
        <v>9781478092339</v>
      </c>
      <c r="E3637" t="s">
        <v>687</v>
      </c>
      <c r="F3637" t="s">
        <v>687</v>
      </c>
      <c r="G3637" s="1">
        <v>44512</v>
      </c>
      <c r="H3637" s="1">
        <v>44716</v>
      </c>
      <c r="I3637" t="s">
        <v>189</v>
      </c>
      <c r="J3637">
        <v>1</v>
      </c>
      <c r="L3637" t="s">
        <v>9884</v>
      </c>
    </row>
    <row r="3638" spans="1:40" x14ac:dyDescent="0.35">
      <c r="A3638">
        <v>6978119</v>
      </c>
      <c r="B3638" t="s">
        <v>9885</v>
      </c>
      <c r="C3638" t="str">
        <f>"9781780409115"</f>
        <v>9781780409115</v>
      </c>
      <c r="D3638" t="str">
        <f>"9781780409122"</f>
        <v>9781780409122</v>
      </c>
      <c r="E3638" t="s">
        <v>1784</v>
      </c>
      <c r="F3638" t="s">
        <v>1784</v>
      </c>
      <c r="G3638" s="1">
        <v>44331</v>
      </c>
      <c r="H3638" s="1">
        <v>44833</v>
      </c>
      <c r="I3638" t="s">
        <v>189</v>
      </c>
      <c r="J3638">
        <v>1</v>
      </c>
      <c r="L3638" t="s">
        <v>9886</v>
      </c>
    </row>
    <row r="3639" spans="1:40" x14ac:dyDescent="0.35">
      <c r="A3639">
        <v>6978121</v>
      </c>
      <c r="B3639" t="s">
        <v>9887</v>
      </c>
      <c r="C3639" t="str">
        <f>"9781780409269"</f>
        <v>9781780409269</v>
      </c>
      <c r="D3639" t="str">
        <f>"9781780409252"</f>
        <v>9781780409252</v>
      </c>
      <c r="E3639" t="s">
        <v>1784</v>
      </c>
      <c r="F3639" t="s">
        <v>1784</v>
      </c>
      <c r="G3639" s="1">
        <v>43784</v>
      </c>
      <c r="H3639" s="1">
        <v>44852</v>
      </c>
      <c r="I3639" t="s">
        <v>189</v>
      </c>
      <c r="J3639">
        <v>1</v>
      </c>
      <c r="L3639" t="s">
        <v>9888</v>
      </c>
    </row>
    <row r="3640" spans="1:40" x14ac:dyDescent="0.35">
      <c r="A3640">
        <v>6978139</v>
      </c>
      <c r="B3640" t="s">
        <v>9889</v>
      </c>
      <c r="C3640" t="str">
        <f>"9781789060959"</f>
        <v>9781789060959</v>
      </c>
      <c r="D3640" t="str">
        <f>"9781789060966"</f>
        <v>9781789060966</v>
      </c>
      <c r="E3640" t="s">
        <v>1784</v>
      </c>
      <c r="F3640" t="s">
        <v>1784</v>
      </c>
      <c r="G3640" s="1">
        <v>44119</v>
      </c>
      <c r="H3640" s="1">
        <v>44838</v>
      </c>
      <c r="I3640" t="s">
        <v>189</v>
      </c>
      <c r="J3640">
        <v>1</v>
      </c>
      <c r="K3640" t="s">
        <v>1787</v>
      </c>
      <c r="L3640" t="s">
        <v>1788</v>
      </c>
      <c r="M3640" t="s">
        <v>964</v>
      </c>
      <c r="O3640" t="s">
        <v>9890</v>
      </c>
      <c r="Q3640" t="s">
        <v>260</v>
      </c>
      <c r="R3640" t="s">
        <v>261</v>
      </c>
      <c r="S3640" t="s">
        <v>261</v>
      </c>
      <c r="T3640" t="s">
        <v>261</v>
      </c>
      <c r="U3640" t="s">
        <v>261</v>
      </c>
      <c r="V3640" t="s">
        <v>261</v>
      </c>
      <c r="W3640" t="s">
        <v>261</v>
      </c>
      <c r="X3640" t="s">
        <v>261</v>
      </c>
      <c r="Y3640" t="s">
        <v>261</v>
      </c>
      <c r="Z3640" t="s">
        <v>409</v>
      </c>
      <c r="AA3640" t="s">
        <v>409</v>
      </c>
      <c r="AB3640" t="s">
        <v>409</v>
      </c>
      <c r="AD3640" t="s">
        <v>261</v>
      </c>
      <c r="AH3640" t="s">
        <v>262</v>
      </c>
      <c r="AI3640" t="s">
        <v>262</v>
      </c>
      <c r="AJ3640" t="s">
        <v>261</v>
      </c>
      <c r="AK3640" t="s">
        <v>261</v>
      </c>
      <c r="AM3640" t="s">
        <v>262</v>
      </c>
      <c r="AN3640" t="s">
        <v>9891</v>
      </c>
    </row>
    <row r="3641" spans="1:40" x14ac:dyDescent="0.35">
      <c r="A3641">
        <v>6978141</v>
      </c>
      <c r="B3641" t="s">
        <v>9892</v>
      </c>
      <c r="C3641" t="str">
        <f>"9781789061048"</f>
        <v>9781789061048</v>
      </c>
      <c r="D3641" t="str">
        <f>"9781789061055"</f>
        <v>9781789061055</v>
      </c>
      <c r="E3641" t="s">
        <v>1784</v>
      </c>
      <c r="F3641" t="s">
        <v>1784</v>
      </c>
      <c r="G3641" s="1">
        <v>44423</v>
      </c>
      <c r="H3641" s="1">
        <v>44838</v>
      </c>
      <c r="I3641" t="s">
        <v>189</v>
      </c>
      <c r="J3641">
        <v>1</v>
      </c>
      <c r="K3641" t="s">
        <v>1787</v>
      </c>
      <c r="L3641" t="s">
        <v>1788</v>
      </c>
    </row>
    <row r="3642" spans="1:40" x14ac:dyDescent="0.35">
      <c r="A3642">
        <v>6978149</v>
      </c>
      <c r="B3642" t="s">
        <v>9893</v>
      </c>
      <c r="C3642" t="str">
        <f>"9781789062113"</f>
        <v>9781789062113</v>
      </c>
      <c r="D3642" t="str">
        <f>"9781789062120"</f>
        <v>9781789062120</v>
      </c>
      <c r="E3642" t="s">
        <v>1784</v>
      </c>
      <c r="F3642" t="s">
        <v>1784</v>
      </c>
      <c r="G3642" s="1">
        <v>44331</v>
      </c>
      <c r="H3642" s="1">
        <v>44720</v>
      </c>
      <c r="I3642" t="s">
        <v>189</v>
      </c>
      <c r="J3642">
        <v>1</v>
      </c>
      <c r="L3642" t="s">
        <v>9894</v>
      </c>
    </row>
    <row r="3643" spans="1:40" x14ac:dyDescent="0.35">
      <c r="A3643">
        <v>6978159</v>
      </c>
      <c r="B3643" t="s">
        <v>9895</v>
      </c>
      <c r="C3643" t="str">
        <f>"9781789062588"</f>
        <v>9781789062588</v>
      </c>
      <c r="D3643" t="str">
        <f>"9781789062595"</f>
        <v>9781789062595</v>
      </c>
      <c r="E3643" t="s">
        <v>1784</v>
      </c>
      <c r="F3643" t="s">
        <v>1784</v>
      </c>
      <c r="G3643" s="1">
        <v>44484</v>
      </c>
      <c r="H3643" s="1">
        <v>44698</v>
      </c>
      <c r="I3643" t="s">
        <v>189</v>
      </c>
      <c r="J3643">
        <v>1</v>
      </c>
      <c r="L3643" t="s">
        <v>9896</v>
      </c>
    </row>
    <row r="3644" spans="1:40" x14ac:dyDescent="0.35">
      <c r="A3644">
        <v>6978160</v>
      </c>
      <c r="B3644" t="s">
        <v>9897</v>
      </c>
      <c r="C3644" t="str">
        <f>""</f>
        <v/>
      </c>
      <c r="D3644" t="str">
        <f>"9788490489857"</f>
        <v>9788490489857</v>
      </c>
      <c r="E3644" t="s">
        <v>1784</v>
      </c>
      <c r="F3644" t="s">
        <v>1784</v>
      </c>
      <c r="G3644" s="1">
        <v>44301</v>
      </c>
      <c r="H3644" s="1">
        <v>44712</v>
      </c>
      <c r="I3644" t="s">
        <v>189</v>
      </c>
      <c r="J3644">
        <v>1</v>
      </c>
      <c r="L3644" t="s">
        <v>9898</v>
      </c>
    </row>
    <row r="3645" spans="1:40" x14ac:dyDescent="0.35">
      <c r="A3645">
        <v>6978161</v>
      </c>
      <c r="B3645" t="s">
        <v>9899</v>
      </c>
      <c r="C3645" t="str">
        <f>"9780975747506"</f>
        <v>9780975747506</v>
      </c>
      <c r="D3645" t="str">
        <f>"9780975747513"</f>
        <v>9780975747513</v>
      </c>
      <c r="E3645" t="s">
        <v>1803</v>
      </c>
      <c r="F3645" t="s">
        <v>1804</v>
      </c>
      <c r="G3645" s="1">
        <v>38412</v>
      </c>
      <c r="H3645" s="1">
        <v>44720</v>
      </c>
      <c r="I3645" t="s">
        <v>189</v>
      </c>
      <c r="J3645">
        <v>1</v>
      </c>
      <c r="L3645" t="s">
        <v>9900</v>
      </c>
    </row>
    <row r="3646" spans="1:40" x14ac:dyDescent="0.35">
      <c r="A3646">
        <v>6978162</v>
      </c>
      <c r="B3646" t="s">
        <v>9901</v>
      </c>
      <c r="C3646" t="str">
        <f>"9780975747544"</f>
        <v>9780975747544</v>
      </c>
      <c r="D3646" t="str">
        <f>"9780975747551"</f>
        <v>9780975747551</v>
      </c>
      <c r="E3646" t="s">
        <v>1803</v>
      </c>
      <c r="F3646" t="s">
        <v>1804</v>
      </c>
      <c r="G3646" s="1">
        <v>38657</v>
      </c>
      <c r="H3646" s="1">
        <v>44720</v>
      </c>
      <c r="I3646" t="s">
        <v>189</v>
      </c>
      <c r="J3646">
        <v>1</v>
      </c>
      <c r="L3646" t="s">
        <v>9902</v>
      </c>
    </row>
    <row r="3647" spans="1:40" x14ac:dyDescent="0.35">
      <c r="A3647">
        <v>6978163</v>
      </c>
      <c r="B3647" t="s">
        <v>9903</v>
      </c>
      <c r="C3647" t="str">
        <f>"9780980361667"</f>
        <v>9780980361667</v>
      </c>
      <c r="D3647" t="str">
        <f>"9780980361674"</f>
        <v>9780980361674</v>
      </c>
      <c r="E3647" t="s">
        <v>1803</v>
      </c>
      <c r="F3647" t="s">
        <v>1804</v>
      </c>
      <c r="G3647" s="1">
        <v>39630</v>
      </c>
      <c r="H3647" s="1">
        <v>44720</v>
      </c>
      <c r="I3647" t="s">
        <v>189</v>
      </c>
      <c r="J3647">
        <v>1</v>
      </c>
      <c r="L3647" t="s">
        <v>9904</v>
      </c>
      <c r="M3647" t="s">
        <v>239</v>
      </c>
      <c r="N3647" t="s">
        <v>9905</v>
      </c>
      <c r="O3647" s="2">
        <v>9410072</v>
      </c>
      <c r="Q3647" t="s">
        <v>260</v>
      </c>
      <c r="R3647" t="s">
        <v>261</v>
      </c>
      <c r="S3647" t="s">
        <v>261</v>
      </c>
      <c r="T3647" t="s">
        <v>261</v>
      </c>
      <c r="U3647" t="s">
        <v>261</v>
      </c>
      <c r="V3647" t="s">
        <v>262</v>
      </c>
      <c r="W3647" t="s">
        <v>261</v>
      </c>
      <c r="X3647" t="s">
        <v>261</v>
      </c>
      <c r="Y3647" t="s">
        <v>261</v>
      </c>
      <c r="AC3647" t="s">
        <v>409</v>
      </c>
      <c r="AD3647" t="s">
        <v>261</v>
      </c>
      <c r="AH3647" t="s">
        <v>262</v>
      </c>
      <c r="AI3647" t="s">
        <v>262</v>
      </c>
      <c r="AJ3647" t="s">
        <v>261</v>
      </c>
      <c r="AK3647" t="s">
        <v>261</v>
      </c>
      <c r="AM3647" t="s">
        <v>262</v>
      </c>
      <c r="AN3647" t="s">
        <v>9906</v>
      </c>
    </row>
    <row r="3648" spans="1:40" x14ac:dyDescent="0.35">
      <c r="A3648">
        <v>6978164</v>
      </c>
      <c r="B3648" t="s">
        <v>9907</v>
      </c>
      <c r="C3648" t="str">
        <f>"9780980361681"</f>
        <v>9780980361681</v>
      </c>
      <c r="D3648" t="str">
        <f>"9780980361698"</f>
        <v>9780980361698</v>
      </c>
      <c r="E3648" t="s">
        <v>1803</v>
      </c>
      <c r="F3648" t="s">
        <v>1803</v>
      </c>
      <c r="G3648" s="1">
        <v>40391</v>
      </c>
      <c r="H3648" s="1">
        <v>44720</v>
      </c>
      <c r="I3648" t="s">
        <v>189</v>
      </c>
      <c r="J3648">
        <v>1</v>
      </c>
      <c r="K3648" t="s">
        <v>9908</v>
      </c>
      <c r="L3648" t="s">
        <v>9909</v>
      </c>
    </row>
    <row r="3649" spans="1:40" x14ac:dyDescent="0.35">
      <c r="A3649">
        <v>6978165</v>
      </c>
      <c r="B3649" t="s">
        <v>9910</v>
      </c>
      <c r="C3649" t="str">
        <f>"9780980464801"</f>
        <v>9780980464801</v>
      </c>
      <c r="D3649" t="str">
        <f>"9780980464818"</f>
        <v>9780980464818</v>
      </c>
      <c r="E3649" t="s">
        <v>1803</v>
      </c>
      <c r="F3649" t="s">
        <v>1804</v>
      </c>
      <c r="G3649" s="1">
        <v>39692</v>
      </c>
      <c r="H3649" s="1">
        <v>44720</v>
      </c>
      <c r="I3649" t="s">
        <v>189</v>
      </c>
      <c r="J3649">
        <v>1</v>
      </c>
      <c r="L3649" t="s">
        <v>9911</v>
      </c>
    </row>
    <row r="3650" spans="1:40" x14ac:dyDescent="0.35">
      <c r="A3650">
        <v>6978166</v>
      </c>
      <c r="B3650" t="s">
        <v>9912</v>
      </c>
      <c r="C3650" t="str">
        <f>"9780980464825"</f>
        <v>9780980464825</v>
      </c>
      <c r="D3650" t="str">
        <f>"9780980464832"</f>
        <v>9780980464832</v>
      </c>
      <c r="E3650" t="s">
        <v>1803</v>
      </c>
      <c r="F3650" t="s">
        <v>1804</v>
      </c>
      <c r="G3650" s="1">
        <v>39995</v>
      </c>
      <c r="H3650" s="1">
        <v>44720</v>
      </c>
      <c r="I3650" t="s">
        <v>189</v>
      </c>
      <c r="J3650">
        <v>1</v>
      </c>
      <c r="L3650" t="s">
        <v>9913</v>
      </c>
    </row>
    <row r="3651" spans="1:40" x14ac:dyDescent="0.35">
      <c r="A3651">
        <v>6978167</v>
      </c>
      <c r="B3651" t="s">
        <v>9914</v>
      </c>
      <c r="C3651" t="str">
        <f>"9780980464849"</f>
        <v>9780980464849</v>
      </c>
      <c r="D3651" t="str">
        <f>"9780980464856"</f>
        <v>9780980464856</v>
      </c>
      <c r="E3651" t="s">
        <v>1803</v>
      </c>
      <c r="F3651" t="s">
        <v>1804</v>
      </c>
      <c r="G3651" s="1">
        <v>39965</v>
      </c>
      <c r="H3651" s="1">
        <v>44720</v>
      </c>
      <c r="I3651" t="s">
        <v>189</v>
      </c>
      <c r="J3651">
        <v>1</v>
      </c>
      <c r="L3651" t="s">
        <v>115</v>
      </c>
    </row>
    <row r="3652" spans="1:40" x14ac:dyDescent="0.35">
      <c r="A3652">
        <v>6978168</v>
      </c>
      <c r="B3652" t="s">
        <v>9915</v>
      </c>
      <c r="C3652" t="str">
        <f>"9780980464863"</f>
        <v>9780980464863</v>
      </c>
      <c r="D3652" t="str">
        <f>"9780980464870"</f>
        <v>9780980464870</v>
      </c>
      <c r="E3652" t="s">
        <v>1803</v>
      </c>
      <c r="F3652" t="s">
        <v>1804</v>
      </c>
      <c r="G3652" s="1">
        <v>40026</v>
      </c>
      <c r="H3652" s="1">
        <v>44720</v>
      </c>
      <c r="I3652" t="s">
        <v>189</v>
      </c>
      <c r="J3652">
        <v>1</v>
      </c>
      <c r="L3652" t="s">
        <v>9916</v>
      </c>
    </row>
    <row r="3653" spans="1:40" x14ac:dyDescent="0.35">
      <c r="A3653">
        <v>6978169</v>
      </c>
      <c r="B3653" t="s">
        <v>9917</v>
      </c>
      <c r="C3653" t="str">
        <f>"9780980464887"</f>
        <v>9780980464887</v>
      </c>
      <c r="D3653" t="str">
        <f>"9780980464894"</f>
        <v>9780980464894</v>
      </c>
      <c r="E3653" t="s">
        <v>1803</v>
      </c>
      <c r="F3653" t="s">
        <v>1804</v>
      </c>
      <c r="G3653" s="1">
        <v>40299</v>
      </c>
      <c r="H3653" s="1">
        <v>44720</v>
      </c>
      <c r="I3653" t="s">
        <v>189</v>
      </c>
      <c r="J3653">
        <v>1</v>
      </c>
      <c r="L3653" t="s">
        <v>9918</v>
      </c>
    </row>
    <row r="3654" spans="1:40" x14ac:dyDescent="0.35">
      <c r="A3654">
        <v>6978170</v>
      </c>
      <c r="B3654" t="s">
        <v>9919</v>
      </c>
      <c r="C3654" t="str">
        <f>"9780980510805"</f>
        <v>9780980510805</v>
      </c>
      <c r="D3654" t="str">
        <f>"9780980510812"</f>
        <v>9780980510812</v>
      </c>
      <c r="E3654" t="s">
        <v>1803</v>
      </c>
      <c r="F3654" t="s">
        <v>9920</v>
      </c>
      <c r="G3654" s="1">
        <v>39661</v>
      </c>
      <c r="H3654" s="1">
        <v>44720</v>
      </c>
      <c r="I3654" t="s">
        <v>189</v>
      </c>
      <c r="J3654">
        <v>1</v>
      </c>
      <c r="L3654" t="s">
        <v>9921</v>
      </c>
      <c r="M3654" t="s">
        <v>582</v>
      </c>
    </row>
    <row r="3655" spans="1:40" x14ac:dyDescent="0.35">
      <c r="A3655">
        <v>6978171</v>
      </c>
      <c r="B3655" t="s">
        <v>9922</v>
      </c>
      <c r="C3655" t="str">
        <f>"9780980510829"</f>
        <v>9780980510829</v>
      </c>
      <c r="D3655" t="str">
        <f>"9780980510836"</f>
        <v>9780980510836</v>
      </c>
      <c r="E3655" t="s">
        <v>1803</v>
      </c>
      <c r="F3655" t="s">
        <v>9920</v>
      </c>
      <c r="G3655" s="1">
        <v>39661</v>
      </c>
      <c r="H3655" s="1">
        <v>44720</v>
      </c>
      <c r="I3655" t="s">
        <v>189</v>
      </c>
      <c r="J3655">
        <v>1</v>
      </c>
      <c r="L3655" t="s">
        <v>9923</v>
      </c>
      <c r="M3655" t="s">
        <v>323</v>
      </c>
    </row>
    <row r="3656" spans="1:40" x14ac:dyDescent="0.35">
      <c r="A3656">
        <v>6978172</v>
      </c>
      <c r="B3656" t="s">
        <v>9924</v>
      </c>
      <c r="C3656" t="str">
        <f>"9780980510843"</f>
        <v>9780980510843</v>
      </c>
      <c r="D3656" t="str">
        <f>"9780980510850"</f>
        <v>9780980510850</v>
      </c>
      <c r="E3656" t="s">
        <v>1803</v>
      </c>
      <c r="F3656" t="s">
        <v>9920</v>
      </c>
      <c r="G3656" s="1">
        <v>40238</v>
      </c>
      <c r="H3656" s="1">
        <v>44720</v>
      </c>
      <c r="I3656" t="s">
        <v>189</v>
      </c>
      <c r="J3656">
        <v>1</v>
      </c>
      <c r="L3656" t="s">
        <v>9925</v>
      </c>
      <c r="M3656" t="s">
        <v>323</v>
      </c>
    </row>
    <row r="3657" spans="1:40" x14ac:dyDescent="0.35">
      <c r="A3657">
        <v>6978173</v>
      </c>
      <c r="B3657" t="s">
        <v>9926</v>
      </c>
      <c r="C3657" t="str">
        <f>"9780980651249"</f>
        <v>9780980651249</v>
      </c>
      <c r="D3657" t="str">
        <f>"9780980651256"</f>
        <v>9780980651256</v>
      </c>
      <c r="E3657" t="s">
        <v>1803</v>
      </c>
      <c r="F3657" t="s">
        <v>1803</v>
      </c>
      <c r="G3657" s="1">
        <v>40588</v>
      </c>
      <c r="H3657" s="1">
        <v>44720</v>
      </c>
      <c r="I3657" t="s">
        <v>189</v>
      </c>
      <c r="J3657">
        <v>1</v>
      </c>
      <c r="K3657" t="s">
        <v>9927</v>
      </c>
      <c r="L3657" t="s">
        <v>9928</v>
      </c>
    </row>
    <row r="3658" spans="1:40" x14ac:dyDescent="0.35">
      <c r="A3658">
        <v>6978174</v>
      </c>
      <c r="B3658" t="s">
        <v>9929</v>
      </c>
      <c r="C3658" t="str">
        <f>"9781876924171"</f>
        <v>9781876924171</v>
      </c>
      <c r="D3658" t="str">
        <f>"9781876924560"</f>
        <v>9781876924560</v>
      </c>
      <c r="E3658" t="s">
        <v>1803</v>
      </c>
      <c r="F3658" t="s">
        <v>1803</v>
      </c>
      <c r="G3658" s="1">
        <v>42597</v>
      </c>
      <c r="H3658" s="1">
        <v>44720</v>
      </c>
      <c r="I3658" t="s">
        <v>189</v>
      </c>
      <c r="J3658">
        <v>1</v>
      </c>
      <c r="K3658" t="s">
        <v>9908</v>
      </c>
      <c r="L3658" t="s">
        <v>9930</v>
      </c>
    </row>
    <row r="3659" spans="1:40" x14ac:dyDescent="0.35">
      <c r="A3659">
        <v>6978175</v>
      </c>
      <c r="B3659" t="s">
        <v>9931</v>
      </c>
      <c r="C3659" t="str">
        <f>"9781925377040"</f>
        <v>9781925377040</v>
      </c>
      <c r="D3659" t="str">
        <f>"9781876924829"</f>
        <v>9781876924829</v>
      </c>
      <c r="E3659" t="s">
        <v>1803</v>
      </c>
      <c r="F3659" t="s">
        <v>1803</v>
      </c>
      <c r="G3659" s="1">
        <v>42487</v>
      </c>
      <c r="H3659" s="1">
        <v>44720</v>
      </c>
      <c r="I3659" t="s">
        <v>189</v>
      </c>
      <c r="J3659">
        <v>1</v>
      </c>
      <c r="K3659" t="s">
        <v>9932</v>
      </c>
      <c r="L3659" t="s">
        <v>9933</v>
      </c>
      <c r="M3659" t="s">
        <v>535</v>
      </c>
    </row>
    <row r="3660" spans="1:40" x14ac:dyDescent="0.35">
      <c r="A3660">
        <v>6978176</v>
      </c>
      <c r="B3660" t="s">
        <v>9934</v>
      </c>
      <c r="C3660" t="str">
        <f>"9781921867040"</f>
        <v>9781921867040</v>
      </c>
      <c r="D3660" t="str">
        <f>"9781921867057"</f>
        <v>9781921867057</v>
      </c>
      <c r="E3660" t="s">
        <v>1803</v>
      </c>
      <c r="F3660" t="s">
        <v>1803</v>
      </c>
      <c r="G3660" s="1">
        <v>40994</v>
      </c>
      <c r="H3660" s="1">
        <v>44720</v>
      </c>
      <c r="I3660" t="s">
        <v>189</v>
      </c>
      <c r="J3660">
        <v>1</v>
      </c>
      <c r="K3660" t="s">
        <v>9935</v>
      </c>
      <c r="L3660" t="s">
        <v>9936</v>
      </c>
    </row>
    <row r="3661" spans="1:40" x14ac:dyDescent="0.35">
      <c r="A3661">
        <v>6978178</v>
      </c>
      <c r="B3661" t="s">
        <v>9937</v>
      </c>
      <c r="C3661" t="str">
        <f>"9781921867200"</f>
        <v>9781921867200</v>
      </c>
      <c r="D3661" t="str">
        <f>"9781921867217"</f>
        <v>9781921867217</v>
      </c>
      <c r="E3661" t="s">
        <v>1803</v>
      </c>
      <c r="F3661" t="s">
        <v>1803</v>
      </c>
      <c r="G3661" s="1">
        <v>40790</v>
      </c>
      <c r="H3661" s="1">
        <v>44720</v>
      </c>
      <c r="I3661" t="s">
        <v>189</v>
      </c>
      <c r="J3661">
        <v>1</v>
      </c>
      <c r="K3661" t="s">
        <v>9938</v>
      </c>
      <c r="L3661" t="s">
        <v>9939</v>
      </c>
    </row>
    <row r="3662" spans="1:40" x14ac:dyDescent="0.35">
      <c r="A3662">
        <v>6978179</v>
      </c>
      <c r="B3662" t="s">
        <v>9940</v>
      </c>
      <c r="C3662" t="str">
        <f>"9781921867224"</f>
        <v>9781921867224</v>
      </c>
      <c r="D3662" t="str">
        <f>"9781921867231"</f>
        <v>9781921867231</v>
      </c>
      <c r="E3662" t="s">
        <v>1803</v>
      </c>
      <c r="F3662" t="s">
        <v>1803</v>
      </c>
      <c r="G3662" s="1">
        <v>40872</v>
      </c>
      <c r="H3662" s="1">
        <v>44720</v>
      </c>
      <c r="I3662" t="s">
        <v>189</v>
      </c>
      <c r="J3662">
        <v>1</v>
      </c>
      <c r="K3662" t="s">
        <v>9927</v>
      </c>
      <c r="L3662" t="s">
        <v>9941</v>
      </c>
    </row>
    <row r="3663" spans="1:40" x14ac:dyDescent="0.35">
      <c r="A3663">
        <v>6978180</v>
      </c>
      <c r="B3663" t="s">
        <v>9942</v>
      </c>
      <c r="C3663" t="str">
        <f>"9781921867286"</f>
        <v>9781921867286</v>
      </c>
      <c r="D3663" t="str">
        <f>"9781921867293"</f>
        <v>9781921867293</v>
      </c>
      <c r="E3663" t="s">
        <v>1803</v>
      </c>
      <c r="F3663" t="s">
        <v>1803</v>
      </c>
      <c r="G3663" s="1">
        <v>41134</v>
      </c>
      <c r="H3663" s="1">
        <v>44720</v>
      </c>
      <c r="I3663" t="s">
        <v>189</v>
      </c>
      <c r="J3663">
        <v>1</v>
      </c>
      <c r="K3663" t="s">
        <v>9943</v>
      </c>
      <c r="L3663" t="s">
        <v>9944</v>
      </c>
      <c r="M3663" t="s">
        <v>239</v>
      </c>
      <c r="O3663">
        <v>959</v>
      </c>
      <c r="Q3663" t="s">
        <v>260</v>
      </c>
      <c r="R3663" t="s">
        <v>261</v>
      </c>
      <c r="S3663" t="s">
        <v>261</v>
      </c>
      <c r="T3663" t="s">
        <v>261</v>
      </c>
      <c r="U3663" t="s">
        <v>261</v>
      </c>
      <c r="V3663" t="s">
        <v>262</v>
      </c>
      <c r="W3663" t="s">
        <v>261</v>
      </c>
      <c r="X3663" t="s">
        <v>261</v>
      </c>
      <c r="Y3663" t="s">
        <v>261</v>
      </c>
      <c r="AC3663" t="s">
        <v>409</v>
      </c>
      <c r="AD3663" t="s">
        <v>261</v>
      </c>
      <c r="AH3663" t="s">
        <v>262</v>
      </c>
      <c r="AI3663" t="s">
        <v>262</v>
      </c>
      <c r="AJ3663" t="s">
        <v>261</v>
      </c>
      <c r="AK3663" t="s">
        <v>261</v>
      </c>
      <c r="AM3663" t="s">
        <v>262</v>
      </c>
      <c r="AN3663" t="s">
        <v>9945</v>
      </c>
    </row>
    <row r="3664" spans="1:40" x14ac:dyDescent="0.35">
      <c r="A3664">
        <v>6978181</v>
      </c>
      <c r="B3664" t="s">
        <v>9946</v>
      </c>
      <c r="C3664" t="str">
        <f>"9781921867309"</f>
        <v>9781921867309</v>
      </c>
      <c r="D3664" t="str">
        <f>"9781921867316"</f>
        <v>9781921867316</v>
      </c>
      <c r="E3664" t="s">
        <v>1803</v>
      </c>
      <c r="F3664" t="s">
        <v>1803</v>
      </c>
      <c r="G3664" s="1">
        <v>41134</v>
      </c>
      <c r="H3664" s="1">
        <v>44720</v>
      </c>
      <c r="I3664" t="s">
        <v>189</v>
      </c>
      <c r="J3664">
        <v>1</v>
      </c>
      <c r="L3664" t="s">
        <v>9947</v>
      </c>
    </row>
    <row r="3665" spans="1:40" x14ac:dyDescent="0.35">
      <c r="A3665">
        <v>6978182</v>
      </c>
      <c r="B3665" t="s">
        <v>9948</v>
      </c>
      <c r="C3665" t="str">
        <f>"9781921867323"</f>
        <v>9781921867323</v>
      </c>
      <c r="D3665" t="str">
        <f>"9781921867330"</f>
        <v>9781921867330</v>
      </c>
      <c r="E3665" t="s">
        <v>1803</v>
      </c>
      <c r="F3665" t="s">
        <v>1803</v>
      </c>
      <c r="G3665" s="1">
        <v>41176</v>
      </c>
      <c r="H3665" s="1">
        <v>44720</v>
      </c>
      <c r="I3665" t="s">
        <v>189</v>
      </c>
      <c r="J3665">
        <v>1</v>
      </c>
      <c r="K3665" t="s">
        <v>9943</v>
      </c>
      <c r="L3665" t="s">
        <v>9949</v>
      </c>
    </row>
    <row r="3666" spans="1:40" x14ac:dyDescent="0.35">
      <c r="A3666">
        <v>6978183</v>
      </c>
      <c r="B3666" t="s">
        <v>9950</v>
      </c>
      <c r="C3666" t="str">
        <f>"9781921867484"</f>
        <v>9781921867484</v>
      </c>
      <c r="D3666" t="str">
        <f>"9781921867491"</f>
        <v>9781921867491</v>
      </c>
      <c r="E3666" t="s">
        <v>1803</v>
      </c>
      <c r="F3666" t="s">
        <v>1803</v>
      </c>
      <c r="G3666" s="1">
        <v>41218</v>
      </c>
      <c r="H3666" s="1">
        <v>44720</v>
      </c>
      <c r="I3666" t="s">
        <v>189</v>
      </c>
      <c r="J3666">
        <v>1</v>
      </c>
      <c r="K3666" t="s">
        <v>9943</v>
      </c>
      <c r="L3666" t="s">
        <v>9951</v>
      </c>
      <c r="M3666" t="s">
        <v>239</v>
      </c>
      <c r="O3666" t="s">
        <v>9952</v>
      </c>
      <c r="Q3666" t="s">
        <v>260</v>
      </c>
      <c r="R3666" t="s">
        <v>261</v>
      </c>
      <c r="S3666" t="s">
        <v>261</v>
      </c>
      <c r="T3666" t="s">
        <v>261</v>
      </c>
      <c r="U3666" t="s">
        <v>261</v>
      </c>
      <c r="V3666" t="s">
        <v>262</v>
      </c>
      <c r="W3666" t="s">
        <v>261</v>
      </c>
      <c r="X3666" t="s">
        <v>261</v>
      </c>
      <c r="Y3666" t="s">
        <v>261</v>
      </c>
      <c r="AC3666" t="s">
        <v>409</v>
      </c>
      <c r="AD3666" t="s">
        <v>261</v>
      </c>
      <c r="AH3666" t="s">
        <v>262</v>
      </c>
      <c r="AI3666" t="s">
        <v>262</v>
      </c>
      <c r="AJ3666" t="s">
        <v>261</v>
      </c>
      <c r="AK3666" t="s">
        <v>261</v>
      </c>
      <c r="AM3666" t="s">
        <v>262</v>
      </c>
      <c r="AN3666" t="s">
        <v>9953</v>
      </c>
    </row>
    <row r="3667" spans="1:40" x14ac:dyDescent="0.35">
      <c r="A3667">
        <v>6978184</v>
      </c>
      <c r="B3667" t="s">
        <v>9954</v>
      </c>
      <c r="C3667" t="str">
        <f>"9781921867521"</f>
        <v>9781921867521</v>
      </c>
      <c r="D3667" t="str">
        <f>"9781921867538"</f>
        <v>9781921867538</v>
      </c>
      <c r="E3667" t="s">
        <v>1803</v>
      </c>
      <c r="F3667" t="s">
        <v>1803</v>
      </c>
      <c r="G3667" s="1">
        <v>41162</v>
      </c>
      <c r="H3667" s="1">
        <v>44720</v>
      </c>
      <c r="I3667" t="s">
        <v>189</v>
      </c>
      <c r="J3667">
        <v>1</v>
      </c>
      <c r="K3667" t="s">
        <v>9938</v>
      </c>
      <c r="L3667" t="s">
        <v>9955</v>
      </c>
    </row>
    <row r="3668" spans="1:40" x14ac:dyDescent="0.35">
      <c r="A3668">
        <v>6978185</v>
      </c>
      <c r="B3668" t="s">
        <v>9956</v>
      </c>
      <c r="C3668" t="str">
        <f>"9781921867620"</f>
        <v>9781921867620</v>
      </c>
      <c r="D3668" t="str">
        <f>"9781921867637"</f>
        <v>9781921867637</v>
      </c>
      <c r="E3668" t="s">
        <v>1803</v>
      </c>
      <c r="F3668" t="s">
        <v>1803</v>
      </c>
      <c r="G3668" s="1">
        <v>41759</v>
      </c>
      <c r="H3668" s="1">
        <v>44720</v>
      </c>
      <c r="I3668" t="s">
        <v>189</v>
      </c>
      <c r="J3668">
        <v>1</v>
      </c>
      <c r="K3668" t="s">
        <v>9957</v>
      </c>
      <c r="L3668" t="s">
        <v>9958</v>
      </c>
    </row>
    <row r="3669" spans="1:40" x14ac:dyDescent="0.35">
      <c r="A3669">
        <v>6978186</v>
      </c>
      <c r="B3669" t="s">
        <v>9959</v>
      </c>
      <c r="C3669" t="str">
        <f>"9781921867866"</f>
        <v>9781921867866</v>
      </c>
      <c r="D3669" t="str">
        <f>"9781921867873"</f>
        <v>9781921867873</v>
      </c>
      <c r="E3669" t="s">
        <v>1803</v>
      </c>
      <c r="F3669" t="s">
        <v>1803</v>
      </c>
      <c r="G3669" s="1">
        <v>41596</v>
      </c>
      <c r="H3669" s="1">
        <v>44720</v>
      </c>
      <c r="I3669" t="s">
        <v>189</v>
      </c>
      <c r="J3669">
        <v>1</v>
      </c>
      <c r="K3669" t="s">
        <v>9960</v>
      </c>
      <c r="L3669" t="s">
        <v>9961</v>
      </c>
    </row>
    <row r="3670" spans="1:40" x14ac:dyDescent="0.35">
      <c r="A3670">
        <v>6978187</v>
      </c>
      <c r="B3670" t="s">
        <v>9962</v>
      </c>
      <c r="C3670" t="str">
        <f>"9781921867989"</f>
        <v>9781921867989</v>
      </c>
      <c r="D3670" t="str">
        <f>"9781921867972"</f>
        <v>9781921867972</v>
      </c>
      <c r="E3670" t="s">
        <v>1803</v>
      </c>
      <c r="F3670" t="s">
        <v>1803</v>
      </c>
      <c r="G3670" s="1">
        <v>41244</v>
      </c>
      <c r="H3670" s="1">
        <v>44720</v>
      </c>
      <c r="I3670" t="s">
        <v>189</v>
      </c>
      <c r="J3670">
        <v>1</v>
      </c>
      <c r="L3670" t="s">
        <v>9963</v>
      </c>
      <c r="M3670" t="s">
        <v>323</v>
      </c>
    </row>
    <row r="3671" spans="1:40" x14ac:dyDescent="0.35">
      <c r="A3671">
        <v>6978188</v>
      </c>
      <c r="B3671" t="s">
        <v>9964</v>
      </c>
      <c r="C3671" t="str">
        <f>"9781922235107"</f>
        <v>9781922235107</v>
      </c>
      <c r="D3671" t="str">
        <f>"9781922235114"</f>
        <v>9781922235114</v>
      </c>
      <c r="E3671" t="s">
        <v>1803</v>
      </c>
      <c r="F3671" t="s">
        <v>1803</v>
      </c>
      <c r="G3671" s="1">
        <v>42004</v>
      </c>
      <c r="H3671" s="1">
        <v>44720</v>
      </c>
      <c r="I3671" t="s">
        <v>189</v>
      </c>
      <c r="J3671">
        <v>1</v>
      </c>
      <c r="K3671" t="s">
        <v>9943</v>
      </c>
      <c r="L3671" t="s">
        <v>9965</v>
      </c>
    </row>
    <row r="3672" spans="1:40" x14ac:dyDescent="0.35">
      <c r="A3672">
        <v>6978189</v>
      </c>
      <c r="B3672" t="s">
        <v>9966</v>
      </c>
      <c r="C3672" t="str">
        <f>"9781922235121"</f>
        <v>9781922235121</v>
      </c>
      <c r="D3672" t="str">
        <f>"9781922235138"</f>
        <v>9781922235138</v>
      </c>
      <c r="E3672" t="s">
        <v>1803</v>
      </c>
      <c r="F3672" t="s">
        <v>1803</v>
      </c>
      <c r="G3672" s="1">
        <v>41718</v>
      </c>
      <c r="H3672" s="1">
        <v>44720</v>
      </c>
      <c r="I3672" t="s">
        <v>189</v>
      </c>
      <c r="J3672">
        <v>1</v>
      </c>
      <c r="K3672" t="s">
        <v>9967</v>
      </c>
      <c r="L3672" t="s">
        <v>9968</v>
      </c>
    </row>
    <row r="3673" spans="1:40" x14ac:dyDescent="0.35">
      <c r="A3673">
        <v>6978191</v>
      </c>
      <c r="B3673" t="s">
        <v>9969</v>
      </c>
      <c r="C3673" t="str">
        <f>"9781922235220"</f>
        <v>9781922235220</v>
      </c>
      <c r="D3673" t="str">
        <f>"9781922235237"</f>
        <v>9781922235237</v>
      </c>
      <c r="E3673" t="s">
        <v>1803</v>
      </c>
      <c r="F3673" t="s">
        <v>1803</v>
      </c>
      <c r="G3673" s="1">
        <v>41508</v>
      </c>
      <c r="H3673" s="1">
        <v>44720</v>
      </c>
      <c r="I3673" t="s">
        <v>189</v>
      </c>
      <c r="J3673">
        <v>1</v>
      </c>
      <c r="K3673" t="s">
        <v>9938</v>
      </c>
      <c r="L3673" t="s">
        <v>9970</v>
      </c>
    </row>
    <row r="3674" spans="1:40" x14ac:dyDescent="0.35">
      <c r="A3674">
        <v>6978192</v>
      </c>
      <c r="B3674" t="s">
        <v>9971</v>
      </c>
      <c r="C3674" t="str">
        <f>"9781922235510"</f>
        <v>9781922235510</v>
      </c>
      <c r="D3674" t="str">
        <f>"9781922235527"</f>
        <v>9781922235527</v>
      </c>
      <c r="E3674" t="s">
        <v>1803</v>
      </c>
      <c r="F3674" t="s">
        <v>1803</v>
      </c>
      <c r="G3674" s="1">
        <v>42370</v>
      </c>
      <c r="H3674" s="1">
        <v>44720</v>
      </c>
      <c r="I3674" t="s">
        <v>189</v>
      </c>
      <c r="J3674">
        <v>1</v>
      </c>
      <c r="K3674" t="s">
        <v>9943</v>
      </c>
      <c r="L3674" t="s">
        <v>9972</v>
      </c>
      <c r="M3674" t="s">
        <v>210</v>
      </c>
    </row>
    <row r="3675" spans="1:40" x14ac:dyDescent="0.35">
      <c r="A3675">
        <v>6978193</v>
      </c>
      <c r="B3675" t="s">
        <v>9973</v>
      </c>
      <c r="C3675" t="str">
        <f>"9781922235862"</f>
        <v>9781922235862</v>
      </c>
      <c r="D3675" t="str">
        <f>"9781922235879"</f>
        <v>9781922235879</v>
      </c>
      <c r="E3675" t="s">
        <v>1803</v>
      </c>
      <c r="F3675" t="s">
        <v>1803</v>
      </c>
      <c r="G3675" s="1">
        <v>42370</v>
      </c>
      <c r="H3675" s="1">
        <v>44720</v>
      </c>
      <c r="I3675" t="s">
        <v>189</v>
      </c>
      <c r="J3675">
        <v>1</v>
      </c>
      <c r="K3675" t="s">
        <v>9927</v>
      </c>
      <c r="L3675" t="s">
        <v>9974</v>
      </c>
    </row>
    <row r="3676" spans="1:40" x14ac:dyDescent="0.35">
      <c r="A3676">
        <v>6978194</v>
      </c>
      <c r="B3676" t="s">
        <v>9975</v>
      </c>
      <c r="C3676" t="str">
        <f>"9781925377026"</f>
        <v>9781925377026</v>
      </c>
      <c r="D3676" t="str">
        <f>"9781925377033"</f>
        <v>9781925377033</v>
      </c>
      <c r="E3676" t="s">
        <v>1803</v>
      </c>
      <c r="F3676" t="s">
        <v>1803</v>
      </c>
      <c r="G3676" s="1">
        <v>42590</v>
      </c>
      <c r="H3676" s="1">
        <v>44720</v>
      </c>
      <c r="I3676" t="s">
        <v>189</v>
      </c>
      <c r="J3676">
        <v>1</v>
      </c>
      <c r="K3676" t="s">
        <v>9943</v>
      </c>
      <c r="L3676" t="s">
        <v>9976</v>
      </c>
      <c r="M3676" t="s">
        <v>219</v>
      </c>
      <c r="O3676" s="2">
        <v>8915933</v>
      </c>
      <c r="Q3676" t="s">
        <v>260</v>
      </c>
      <c r="R3676" t="s">
        <v>261</v>
      </c>
      <c r="S3676" t="s">
        <v>261</v>
      </c>
      <c r="T3676" t="s">
        <v>261</v>
      </c>
      <c r="U3676" t="s">
        <v>261</v>
      </c>
      <c r="V3676" t="s">
        <v>262</v>
      </c>
      <c r="W3676" t="s">
        <v>261</v>
      </c>
      <c r="X3676" t="s">
        <v>261</v>
      </c>
      <c r="Y3676" t="s">
        <v>261</v>
      </c>
      <c r="AC3676" t="s">
        <v>409</v>
      </c>
      <c r="AD3676" t="s">
        <v>261</v>
      </c>
      <c r="AH3676" t="s">
        <v>262</v>
      </c>
      <c r="AI3676" t="s">
        <v>262</v>
      </c>
      <c r="AJ3676" t="s">
        <v>261</v>
      </c>
      <c r="AK3676" t="s">
        <v>261</v>
      </c>
      <c r="AM3676" t="s">
        <v>262</v>
      </c>
      <c r="AN3676" t="s">
        <v>9977</v>
      </c>
    </row>
    <row r="3677" spans="1:40" x14ac:dyDescent="0.35">
      <c r="A3677">
        <v>6978195</v>
      </c>
      <c r="B3677" t="s">
        <v>9978</v>
      </c>
      <c r="C3677" t="str">
        <f>"9781925377101"</f>
        <v>9781925377101</v>
      </c>
      <c r="D3677" t="str">
        <f>"9781925377118"</f>
        <v>9781925377118</v>
      </c>
      <c r="E3677" t="s">
        <v>1803</v>
      </c>
      <c r="F3677" t="s">
        <v>1803</v>
      </c>
      <c r="G3677" s="1">
        <v>42653</v>
      </c>
      <c r="H3677" s="1">
        <v>44720</v>
      </c>
      <c r="I3677" t="s">
        <v>189</v>
      </c>
      <c r="J3677">
        <v>1</v>
      </c>
      <c r="K3677" t="s">
        <v>9932</v>
      </c>
      <c r="L3677" t="s">
        <v>9979</v>
      </c>
    </row>
    <row r="3678" spans="1:40" x14ac:dyDescent="0.35">
      <c r="A3678">
        <v>6978196</v>
      </c>
      <c r="B3678" t="s">
        <v>9980</v>
      </c>
      <c r="C3678" t="str">
        <f>"9781925377125"</f>
        <v>9781925377125</v>
      </c>
      <c r="D3678" t="str">
        <f>"9781925377132"</f>
        <v>9781925377132</v>
      </c>
      <c r="E3678" t="s">
        <v>1803</v>
      </c>
      <c r="F3678" t="s">
        <v>1803</v>
      </c>
      <c r="G3678" s="1">
        <v>42702</v>
      </c>
      <c r="H3678" s="1">
        <v>44720</v>
      </c>
      <c r="I3678" t="s">
        <v>189</v>
      </c>
      <c r="J3678">
        <v>1</v>
      </c>
      <c r="K3678" t="s">
        <v>9981</v>
      </c>
      <c r="L3678" t="s">
        <v>9982</v>
      </c>
      <c r="M3678" t="s">
        <v>239</v>
      </c>
      <c r="O3678" t="s">
        <v>9983</v>
      </c>
      <c r="Q3678" t="s">
        <v>260</v>
      </c>
      <c r="R3678" t="s">
        <v>261</v>
      </c>
      <c r="S3678" t="s">
        <v>261</v>
      </c>
      <c r="T3678" t="s">
        <v>261</v>
      </c>
      <c r="U3678" t="s">
        <v>261</v>
      </c>
      <c r="V3678" t="s">
        <v>262</v>
      </c>
      <c r="W3678" t="s">
        <v>261</v>
      </c>
      <c r="X3678" t="s">
        <v>261</v>
      </c>
      <c r="Y3678" t="s">
        <v>261</v>
      </c>
      <c r="AC3678" t="s">
        <v>409</v>
      </c>
      <c r="AD3678" t="s">
        <v>261</v>
      </c>
      <c r="AH3678" t="s">
        <v>262</v>
      </c>
      <c r="AI3678" t="s">
        <v>262</v>
      </c>
      <c r="AJ3678" t="s">
        <v>261</v>
      </c>
      <c r="AK3678" t="s">
        <v>261</v>
      </c>
      <c r="AM3678" t="s">
        <v>262</v>
      </c>
      <c r="AN3678" t="s">
        <v>9984</v>
      </c>
    </row>
    <row r="3679" spans="1:40" x14ac:dyDescent="0.35">
      <c r="A3679">
        <v>6978197</v>
      </c>
      <c r="B3679" t="s">
        <v>9985</v>
      </c>
      <c r="C3679" t="str">
        <f>"9781925377149"</f>
        <v>9781925377149</v>
      </c>
      <c r="D3679" t="str">
        <f>"9781925377156"</f>
        <v>9781925377156</v>
      </c>
      <c r="E3679" t="s">
        <v>1803</v>
      </c>
      <c r="F3679" t="s">
        <v>1803</v>
      </c>
      <c r="G3679" s="1">
        <v>42561</v>
      </c>
      <c r="H3679" s="1">
        <v>44720</v>
      </c>
      <c r="I3679" t="s">
        <v>189</v>
      </c>
      <c r="J3679">
        <v>1</v>
      </c>
      <c r="K3679" t="s">
        <v>9986</v>
      </c>
      <c r="L3679" t="s">
        <v>9987</v>
      </c>
    </row>
    <row r="3680" spans="1:40" x14ac:dyDescent="0.35">
      <c r="A3680">
        <v>6978198</v>
      </c>
      <c r="B3680" t="s">
        <v>9988</v>
      </c>
      <c r="C3680" t="str">
        <f>"9781925377248"</f>
        <v>9781925377248</v>
      </c>
      <c r="D3680" t="str">
        <f>"9781925377255"</f>
        <v>9781925377255</v>
      </c>
      <c r="E3680" t="s">
        <v>1803</v>
      </c>
      <c r="F3680" t="s">
        <v>1803</v>
      </c>
      <c r="G3680" s="1">
        <v>42678</v>
      </c>
      <c r="H3680" s="1">
        <v>44720</v>
      </c>
      <c r="I3680" t="s">
        <v>189</v>
      </c>
      <c r="J3680">
        <v>1</v>
      </c>
      <c r="K3680" t="s">
        <v>9989</v>
      </c>
      <c r="L3680" t="s">
        <v>9990</v>
      </c>
      <c r="M3680" t="s">
        <v>323</v>
      </c>
      <c r="O3680" s="2">
        <v>37800899915</v>
      </c>
      <c r="Q3680" t="s">
        <v>260</v>
      </c>
      <c r="R3680" t="s">
        <v>261</v>
      </c>
      <c r="S3680" t="s">
        <v>261</v>
      </c>
      <c r="T3680" t="s">
        <v>261</v>
      </c>
      <c r="U3680" t="s">
        <v>261</v>
      </c>
      <c r="V3680" t="s">
        <v>262</v>
      </c>
      <c r="W3680" t="s">
        <v>261</v>
      </c>
      <c r="X3680" t="s">
        <v>261</v>
      </c>
      <c r="Y3680" t="s">
        <v>261</v>
      </c>
      <c r="AC3680" t="s">
        <v>409</v>
      </c>
      <c r="AD3680" t="s">
        <v>261</v>
      </c>
      <c r="AH3680" t="s">
        <v>262</v>
      </c>
      <c r="AI3680" t="s">
        <v>262</v>
      </c>
      <c r="AJ3680" t="s">
        <v>261</v>
      </c>
      <c r="AK3680" t="s">
        <v>261</v>
      </c>
      <c r="AM3680" t="s">
        <v>262</v>
      </c>
      <c r="AN3680" t="s">
        <v>9991</v>
      </c>
    </row>
    <row r="3681" spans="1:40" x14ac:dyDescent="0.35">
      <c r="A3681">
        <v>6978200</v>
      </c>
      <c r="B3681" t="s">
        <v>9992</v>
      </c>
      <c r="C3681" t="str">
        <f>"9781925495102"</f>
        <v>9781925495102</v>
      </c>
      <c r="D3681" t="str">
        <f>"9781925495126"</f>
        <v>9781925495126</v>
      </c>
      <c r="E3681" t="s">
        <v>1803</v>
      </c>
      <c r="F3681" t="s">
        <v>1803</v>
      </c>
      <c r="G3681" s="1">
        <v>42702</v>
      </c>
      <c r="H3681" s="1">
        <v>44720</v>
      </c>
      <c r="I3681" t="s">
        <v>189</v>
      </c>
      <c r="J3681">
        <v>1</v>
      </c>
      <c r="K3681" t="s">
        <v>9960</v>
      </c>
      <c r="L3681" t="s">
        <v>9993</v>
      </c>
    </row>
    <row r="3682" spans="1:40" x14ac:dyDescent="0.35">
      <c r="A3682">
        <v>6978201</v>
      </c>
      <c r="B3682" t="s">
        <v>9994</v>
      </c>
      <c r="C3682" t="str">
        <f>"9781925495294"</f>
        <v>9781925495294</v>
      </c>
      <c r="D3682" t="str">
        <f>"9781925495300"</f>
        <v>9781925495300</v>
      </c>
      <c r="E3682" t="s">
        <v>1803</v>
      </c>
      <c r="F3682" t="s">
        <v>1803</v>
      </c>
      <c r="G3682" s="1">
        <v>42702</v>
      </c>
      <c r="H3682" s="1">
        <v>44720</v>
      </c>
      <c r="I3682" t="s">
        <v>189</v>
      </c>
      <c r="J3682">
        <v>1</v>
      </c>
      <c r="K3682" t="s">
        <v>9995</v>
      </c>
      <c r="L3682" t="s">
        <v>116</v>
      </c>
    </row>
    <row r="3683" spans="1:40" x14ac:dyDescent="0.35">
      <c r="A3683">
        <v>6978202</v>
      </c>
      <c r="B3683" t="s">
        <v>9996</v>
      </c>
      <c r="C3683" t="str">
        <f>"9781925495409"</f>
        <v>9781925495409</v>
      </c>
      <c r="D3683" t="str">
        <f>"9781925495416"</f>
        <v>9781925495416</v>
      </c>
      <c r="E3683" t="s">
        <v>1803</v>
      </c>
      <c r="F3683" t="s">
        <v>1803</v>
      </c>
      <c r="G3683" s="1">
        <v>42835</v>
      </c>
      <c r="H3683" s="1">
        <v>44720</v>
      </c>
      <c r="I3683" t="s">
        <v>189</v>
      </c>
      <c r="J3683">
        <v>1</v>
      </c>
      <c r="K3683" t="s">
        <v>9981</v>
      </c>
      <c r="L3683" t="s">
        <v>9997</v>
      </c>
      <c r="M3683" t="s">
        <v>210</v>
      </c>
      <c r="O3683" s="2">
        <v>3279409530904</v>
      </c>
      <c r="Q3683" t="s">
        <v>260</v>
      </c>
      <c r="R3683" t="s">
        <v>261</v>
      </c>
      <c r="S3683" t="s">
        <v>261</v>
      </c>
      <c r="T3683" t="s">
        <v>261</v>
      </c>
      <c r="U3683" t="s">
        <v>261</v>
      </c>
      <c r="V3683" t="s">
        <v>262</v>
      </c>
      <c r="W3683" t="s">
        <v>261</v>
      </c>
      <c r="X3683" t="s">
        <v>261</v>
      </c>
      <c r="Y3683" t="s">
        <v>261</v>
      </c>
      <c r="AC3683" t="s">
        <v>409</v>
      </c>
      <c r="AD3683" t="s">
        <v>261</v>
      </c>
      <c r="AH3683" t="s">
        <v>262</v>
      </c>
      <c r="AI3683" t="s">
        <v>262</v>
      </c>
      <c r="AJ3683" t="s">
        <v>261</v>
      </c>
      <c r="AK3683" t="s">
        <v>261</v>
      </c>
      <c r="AM3683" t="s">
        <v>262</v>
      </c>
      <c r="AN3683" t="s">
        <v>9998</v>
      </c>
    </row>
    <row r="3684" spans="1:40" x14ac:dyDescent="0.35">
      <c r="A3684">
        <v>6978203</v>
      </c>
      <c r="B3684" t="s">
        <v>9999</v>
      </c>
      <c r="C3684" t="str">
        <f>"9781925495577"</f>
        <v>9781925495577</v>
      </c>
      <c r="D3684" t="str">
        <f>"9781925495584"</f>
        <v>9781925495584</v>
      </c>
      <c r="E3684" t="s">
        <v>1803</v>
      </c>
      <c r="F3684" t="s">
        <v>1803</v>
      </c>
      <c r="G3684" s="1">
        <v>42926</v>
      </c>
      <c r="H3684" s="1">
        <v>44720</v>
      </c>
      <c r="I3684" t="s">
        <v>189</v>
      </c>
      <c r="J3684">
        <v>1</v>
      </c>
      <c r="K3684" t="s">
        <v>10000</v>
      </c>
      <c r="L3684" t="s">
        <v>10001</v>
      </c>
    </row>
    <row r="3685" spans="1:40" x14ac:dyDescent="0.35">
      <c r="A3685">
        <v>6978204</v>
      </c>
      <c r="B3685" t="s">
        <v>10002</v>
      </c>
      <c r="C3685" t="str">
        <f>"9781925495799"</f>
        <v>9781925495799</v>
      </c>
      <c r="D3685" t="str">
        <f>"9781925495812"</f>
        <v>9781925495812</v>
      </c>
      <c r="E3685" t="s">
        <v>1803</v>
      </c>
      <c r="F3685" t="s">
        <v>1803</v>
      </c>
      <c r="G3685" s="1">
        <v>43405</v>
      </c>
      <c r="H3685" s="1">
        <v>44720</v>
      </c>
      <c r="I3685" t="s">
        <v>189</v>
      </c>
      <c r="J3685">
        <v>1</v>
      </c>
      <c r="K3685" t="s">
        <v>9908</v>
      </c>
      <c r="L3685" t="s">
        <v>10003</v>
      </c>
    </row>
    <row r="3686" spans="1:40" x14ac:dyDescent="0.35">
      <c r="A3686">
        <v>6978205</v>
      </c>
      <c r="B3686" t="s">
        <v>10004</v>
      </c>
      <c r="C3686" t="str">
        <f>"9781925495881"</f>
        <v>9781925495881</v>
      </c>
      <c r="D3686" t="str">
        <f>"9781925495898"</f>
        <v>9781925495898</v>
      </c>
      <c r="E3686" t="s">
        <v>1803</v>
      </c>
      <c r="F3686" t="s">
        <v>1803</v>
      </c>
      <c r="G3686" s="1">
        <v>43101</v>
      </c>
      <c r="H3686" s="1">
        <v>44720</v>
      </c>
      <c r="I3686" t="s">
        <v>189</v>
      </c>
      <c r="J3686">
        <v>1</v>
      </c>
      <c r="K3686" t="s">
        <v>9957</v>
      </c>
      <c r="L3686" t="s">
        <v>10005</v>
      </c>
    </row>
    <row r="3687" spans="1:40" x14ac:dyDescent="0.35">
      <c r="A3687">
        <v>6978207</v>
      </c>
      <c r="B3687" t="s">
        <v>10006</v>
      </c>
      <c r="C3687" t="str">
        <f>"9780975747575"</f>
        <v>9780975747575</v>
      </c>
      <c r="D3687" t="str">
        <f>"9781925495942"</f>
        <v>9781925495942</v>
      </c>
      <c r="E3687" t="s">
        <v>1803</v>
      </c>
      <c r="F3687" t="s">
        <v>1804</v>
      </c>
      <c r="G3687" s="1">
        <v>38930</v>
      </c>
      <c r="H3687" s="1">
        <v>44720</v>
      </c>
      <c r="I3687" t="s">
        <v>189</v>
      </c>
      <c r="J3687">
        <v>1</v>
      </c>
      <c r="L3687" t="s">
        <v>10007</v>
      </c>
      <c r="M3687" t="s">
        <v>329</v>
      </c>
      <c r="N3687" t="s">
        <v>10008</v>
      </c>
      <c r="O3687" s="2">
        <v>30589915</v>
      </c>
      <c r="Q3687" t="s">
        <v>260</v>
      </c>
      <c r="R3687" t="s">
        <v>261</v>
      </c>
      <c r="S3687" t="s">
        <v>261</v>
      </c>
      <c r="T3687" t="s">
        <v>261</v>
      </c>
      <c r="U3687" t="s">
        <v>261</v>
      </c>
      <c r="V3687" t="s">
        <v>262</v>
      </c>
      <c r="W3687" t="s">
        <v>261</v>
      </c>
      <c r="X3687" t="s">
        <v>261</v>
      </c>
      <c r="Y3687" t="s">
        <v>261</v>
      </c>
      <c r="AC3687" t="s">
        <v>409</v>
      </c>
      <c r="AD3687" t="s">
        <v>261</v>
      </c>
      <c r="AH3687" t="s">
        <v>262</v>
      </c>
      <c r="AI3687" t="s">
        <v>262</v>
      </c>
      <c r="AJ3687" t="s">
        <v>261</v>
      </c>
      <c r="AK3687" t="s">
        <v>261</v>
      </c>
      <c r="AM3687" t="s">
        <v>262</v>
      </c>
      <c r="AN3687" t="s">
        <v>10009</v>
      </c>
    </row>
    <row r="3688" spans="1:40" x14ac:dyDescent="0.35">
      <c r="A3688">
        <v>6978208</v>
      </c>
      <c r="B3688" t="s">
        <v>10010</v>
      </c>
      <c r="C3688" t="str">
        <f>"9780980361643"</f>
        <v>9780980361643</v>
      </c>
      <c r="D3688" t="str">
        <f>"9781925495973"</f>
        <v>9781925495973</v>
      </c>
      <c r="E3688" t="s">
        <v>1803</v>
      </c>
      <c r="F3688" t="s">
        <v>1804</v>
      </c>
      <c r="G3688" s="1">
        <v>39387</v>
      </c>
      <c r="H3688" s="1">
        <v>44720</v>
      </c>
      <c r="I3688" t="s">
        <v>189</v>
      </c>
      <c r="J3688">
        <v>1</v>
      </c>
      <c r="L3688" t="s">
        <v>10011</v>
      </c>
    </row>
    <row r="3689" spans="1:40" x14ac:dyDescent="0.35">
      <c r="A3689">
        <v>6978209</v>
      </c>
      <c r="B3689" t="s">
        <v>10012</v>
      </c>
      <c r="C3689" t="str">
        <f>"9780980361629"</f>
        <v>9780980361629</v>
      </c>
      <c r="D3689" t="str">
        <f>"9781925495980"</f>
        <v>9781925495980</v>
      </c>
      <c r="E3689" t="s">
        <v>1803</v>
      </c>
      <c r="F3689" t="s">
        <v>1804</v>
      </c>
      <c r="G3689" s="1">
        <v>39326</v>
      </c>
      <c r="H3689" s="1">
        <v>44720</v>
      </c>
      <c r="I3689" t="s">
        <v>189</v>
      </c>
      <c r="J3689">
        <v>1</v>
      </c>
      <c r="L3689" t="s">
        <v>10013</v>
      </c>
    </row>
    <row r="3690" spans="1:40" x14ac:dyDescent="0.35">
      <c r="A3690">
        <v>6978210</v>
      </c>
      <c r="B3690" t="s">
        <v>10014</v>
      </c>
      <c r="C3690" t="str">
        <f>"9781925523249"</f>
        <v>9781925523249</v>
      </c>
      <c r="D3690" t="str">
        <f>"9781925523256"</f>
        <v>9781925523256</v>
      </c>
      <c r="E3690" t="s">
        <v>1803</v>
      </c>
      <c r="F3690" t="s">
        <v>1803</v>
      </c>
      <c r="G3690" s="1">
        <v>43070</v>
      </c>
      <c r="H3690" s="1">
        <v>44720</v>
      </c>
      <c r="I3690" t="s">
        <v>189</v>
      </c>
      <c r="J3690">
        <v>1</v>
      </c>
      <c r="K3690" t="s">
        <v>9995</v>
      </c>
      <c r="L3690" t="s">
        <v>10015</v>
      </c>
    </row>
    <row r="3691" spans="1:40" x14ac:dyDescent="0.35">
      <c r="A3691">
        <v>6978211</v>
      </c>
      <c r="B3691" t="s">
        <v>10016</v>
      </c>
      <c r="C3691" t="str">
        <f>"9781925523805"</f>
        <v>9781925523805</v>
      </c>
      <c r="D3691" t="str">
        <f>"9781925523812"</f>
        <v>9781925523812</v>
      </c>
      <c r="E3691" t="s">
        <v>1803</v>
      </c>
      <c r="F3691" t="s">
        <v>1803</v>
      </c>
      <c r="G3691" s="1">
        <v>43334</v>
      </c>
      <c r="H3691" s="1">
        <v>44720</v>
      </c>
      <c r="I3691" t="s">
        <v>189</v>
      </c>
      <c r="J3691">
        <v>1</v>
      </c>
      <c r="K3691" t="s">
        <v>9932</v>
      </c>
      <c r="L3691" t="s">
        <v>10017</v>
      </c>
    </row>
    <row r="3692" spans="1:40" x14ac:dyDescent="0.35">
      <c r="A3692">
        <v>6978213</v>
      </c>
      <c r="B3692" t="s">
        <v>10018</v>
      </c>
      <c r="C3692" t="str">
        <f>"9783030479930"</f>
        <v>9783030479930</v>
      </c>
      <c r="D3692" t="str">
        <f>"9783030479947"</f>
        <v>9783030479947</v>
      </c>
      <c r="E3692" t="s">
        <v>2289</v>
      </c>
      <c r="F3692" t="s">
        <v>2290</v>
      </c>
      <c r="G3692" s="1">
        <v>44044</v>
      </c>
      <c r="H3692" s="1">
        <v>44769</v>
      </c>
      <c r="I3692" t="s">
        <v>189</v>
      </c>
      <c r="L3692" t="s">
        <v>10019</v>
      </c>
    </row>
    <row r="3693" spans="1:40" x14ac:dyDescent="0.35">
      <c r="A3693">
        <v>6978216</v>
      </c>
      <c r="B3693" t="s">
        <v>10020</v>
      </c>
      <c r="C3693" t="str">
        <f>"9789633864319"</f>
        <v>9789633864319</v>
      </c>
      <c r="D3693" t="str">
        <f>"9789633864326"</f>
        <v>9789633864326</v>
      </c>
      <c r="E3693" t="s">
        <v>1797</v>
      </c>
      <c r="F3693" t="s">
        <v>1797</v>
      </c>
      <c r="G3693" s="1">
        <v>44834</v>
      </c>
      <c r="H3693" s="1">
        <v>44707</v>
      </c>
      <c r="I3693" t="s">
        <v>189</v>
      </c>
      <c r="J3693">
        <v>1</v>
      </c>
      <c r="L3693" t="s">
        <v>10021</v>
      </c>
    </row>
    <row r="3694" spans="1:40" x14ac:dyDescent="0.35">
      <c r="A3694">
        <v>6978217</v>
      </c>
      <c r="B3694" t="s">
        <v>10022</v>
      </c>
      <c r="C3694" t="str">
        <f>"9789633864357"</f>
        <v>9789633864357</v>
      </c>
      <c r="D3694" t="str">
        <f>"9789633864364"</f>
        <v>9789633864364</v>
      </c>
      <c r="E3694" t="s">
        <v>1797</v>
      </c>
      <c r="F3694" t="s">
        <v>1797</v>
      </c>
      <c r="G3694" s="1">
        <v>44754</v>
      </c>
      <c r="H3694" s="1">
        <v>44707</v>
      </c>
      <c r="I3694" t="s">
        <v>189</v>
      </c>
      <c r="J3694">
        <v>1</v>
      </c>
      <c r="L3694" t="s">
        <v>10023</v>
      </c>
    </row>
    <row r="3695" spans="1:40" x14ac:dyDescent="0.35">
      <c r="A3695">
        <v>6978218</v>
      </c>
      <c r="B3695" t="s">
        <v>10024</v>
      </c>
      <c r="C3695" t="str">
        <f>"9789633864470"</f>
        <v>9789633864470</v>
      </c>
      <c r="D3695" t="str">
        <f>"9789633864487"</f>
        <v>9789633864487</v>
      </c>
      <c r="E3695" t="s">
        <v>1797</v>
      </c>
      <c r="F3695" t="s">
        <v>1797</v>
      </c>
      <c r="G3695" s="1">
        <v>44722</v>
      </c>
      <c r="H3695" s="1">
        <v>44707</v>
      </c>
      <c r="I3695" t="s">
        <v>189</v>
      </c>
      <c r="J3695">
        <v>1</v>
      </c>
      <c r="L3695" t="s">
        <v>10025</v>
      </c>
      <c r="M3695" t="s">
        <v>249</v>
      </c>
    </row>
    <row r="3696" spans="1:40" x14ac:dyDescent="0.35">
      <c r="A3696">
        <v>6978220</v>
      </c>
      <c r="B3696" t="s">
        <v>10026</v>
      </c>
      <c r="C3696" t="str">
        <f>"9789633864555"</f>
        <v>9789633864555</v>
      </c>
      <c r="D3696" t="str">
        <f>"9789633864562"</f>
        <v>9789633864562</v>
      </c>
      <c r="E3696" t="s">
        <v>1797</v>
      </c>
      <c r="F3696" t="s">
        <v>1797</v>
      </c>
      <c r="G3696" s="1">
        <v>44752</v>
      </c>
      <c r="H3696" s="1">
        <v>44707</v>
      </c>
      <c r="I3696" t="s">
        <v>189</v>
      </c>
      <c r="J3696">
        <v>1</v>
      </c>
      <c r="L3696" t="s">
        <v>10027</v>
      </c>
      <c r="M3696" t="s">
        <v>239</v>
      </c>
    </row>
    <row r="3697" spans="1:40" x14ac:dyDescent="0.35">
      <c r="A3697">
        <v>6978221</v>
      </c>
      <c r="B3697" t="s">
        <v>10028</v>
      </c>
      <c r="C3697" t="str">
        <f>"9789633865750"</f>
        <v>9789633865750</v>
      </c>
      <c r="D3697" t="str">
        <f>"9789633865767"</f>
        <v>9789633865767</v>
      </c>
      <c r="E3697" t="s">
        <v>1797</v>
      </c>
      <c r="F3697" t="s">
        <v>1797</v>
      </c>
      <c r="G3697" s="1">
        <v>44772</v>
      </c>
      <c r="H3697" s="1">
        <v>44707</v>
      </c>
      <c r="I3697" t="s">
        <v>189</v>
      </c>
      <c r="J3697">
        <v>1</v>
      </c>
      <c r="K3697" t="s">
        <v>8328</v>
      </c>
      <c r="L3697" t="s">
        <v>10029</v>
      </c>
      <c r="M3697" t="s">
        <v>239</v>
      </c>
      <c r="Q3697" t="s">
        <v>260</v>
      </c>
      <c r="R3697" t="s">
        <v>261</v>
      </c>
      <c r="S3697" t="s">
        <v>261</v>
      </c>
      <c r="T3697" t="s">
        <v>261</v>
      </c>
      <c r="U3697" t="s">
        <v>261</v>
      </c>
      <c r="V3697" t="s">
        <v>262</v>
      </c>
      <c r="W3697" t="s">
        <v>261</v>
      </c>
      <c r="X3697" t="s">
        <v>261</v>
      </c>
      <c r="Y3697" t="s">
        <v>261</v>
      </c>
      <c r="Z3697" t="s">
        <v>409</v>
      </c>
      <c r="AA3697" t="s">
        <v>409</v>
      </c>
      <c r="AB3697" t="s">
        <v>409</v>
      </c>
      <c r="AC3697" t="s">
        <v>409</v>
      </c>
      <c r="AD3697" t="s">
        <v>261</v>
      </c>
      <c r="AH3697" t="s">
        <v>262</v>
      </c>
      <c r="AI3697" t="s">
        <v>262</v>
      </c>
      <c r="AJ3697" t="s">
        <v>261</v>
      </c>
      <c r="AK3697" t="s">
        <v>261</v>
      </c>
      <c r="AM3697" t="s">
        <v>262</v>
      </c>
      <c r="AN3697" t="s">
        <v>10030</v>
      </c>
    </row>
    <row r="3698" spans="1:40" x14ac:dyDescent="0.35">
      <c r="A3698">
        <v>6978222</v>
      </c>
      <c r="B3698" t="s">
        <v>10031</v>
      </c>
      <c r="C3698" t="str">
        <f>"9789633865965"</f>
        <v>9789633865965</v>
      </c>
      <c r="D3698" t="str">
        <f>"9789633865828"</f>
        <v>9789633865828</v>
      </c>
      <c r="E3698" t="s">
        <v>1797</v>
      </c>
      <c r="F3698" t="s">
        <v>1797</v>
      </c>
      <c r="G3698" s="1">
        <v>44814</v>
      </c>
      <c r="H3698" s="1">
        <v>44707</v>
      </c>
      <c r="I3698" t="s">
        <v>189</v>
      </c>
      <c r="J3698">
        <v>1</v>
      </c>
      <c r="L3698" t="s">
        <v>10032</v>
      </c>
      <c r="M3698" t="s">
        <v>1728</v>
      </c>
      <c r="O3698" t="s">
        <v>10033</v>
      </c>
      <c r="Q3698" t="s">
        <v>260</v>
      </c>
      <c r="R3698" t="s">
        <v>261</v>
      </c>
      <c r="S3698" t="s">
        <v>261</v>
      </c>
      <c r="T3698" t="s">
        <v>261</v>
      </c>
      <c r="U3698" t="s">
        <v>261</v>
      </c>
      <c r="V3698" t="s">
        <v>262</v>
      </c>
      <c r="W3698" t="s">
        <v>261</v>
      </c>
      <c r="X3698" t="s">
        <v>261</v>
      </c>
      <c r="Y3698" t="s">
        <v>261</v>
      </c>
      <c r="Z3698" t="s">
        <v>409</v>
      </c>
      <c r="AA3698" t="s">
        <v>409</v>
      </c>
      <c r="AB3698" t="s">
        <v>409</v>
      </c>
      <c r="AC3698" t="s">
        <v>409</v>
      </c>
      <c r="AD3698" t="s">
        <v>261</v>
      </c>
      <c r="AH3698" t="s">
        <v>262</v>
      </c>
      <c r="AI3698" t="s">
        <v>262</v>
      </c>
      <c r="AJ3698" t="s">
        <v>261</v>
      </c>
      <c r="AK3698" t="s">
        <v>261</v>
      </c>
      <c r="AM3698" t="s">
        <v>262</v>
      </c>
      <c r="AN3698" t="s">
        <v>10034</v>
      </c>
    </row>
    <row r="3699" spans="1:40" x14ac:dyDescent="0.35">
      <c r="A3699">
        <v>6978224</v>
      </c>
      <c r="B3699" t="s">
        <v>10035</v>
      </c>
      <c r="C3699" t="str">
        <f>""</f>
        <v/>
      </c>
      <c r="D3699" t="str">
        <f>"9782759234493"</f>
        <v>9782759234493</v>
      </c>
      <c r="E3699" t="s">
        <v>1928</v>
      </c>
      <c r="F3699" t="s">
        <v>1928</v>
      </c>
      <c r="G3699" s="1">
        <v>44700</v>
      </c>
      <c r="H3699" s="1">
        <v>44701</v>
      </c>
      <c r="I3699" t="s">
        <v>189</v>
      </c>
      <c r="J3699">
        <v>1</v>
      </c>
      <c r="K3699" t="s">
        <v>1948</v>
      </c>
      <c r="L3699" t="s">
        <v>10036</v>
      </c>
      <c r="Q3699" t="s">
        <v>1827</v>
      </c>
      <c r="R3699" t="s">
        <v>261</v>
      </c>
      <c r="S3699" t="s">
        <v>261</v>
      </c>
      <c r="T3699" t="s">
        <v>261</v>
      </c>
      <c r="U3699" t="s">
        <v>262</v>
      </c>
      <c r="V3699" t="s">
        <v>262</v>
      </c>
      <c r="W3699" t="s">
        <v>261</v>
      </c>
      <c r="X3699" t="s">
        <v>262</v>
      </c>
      <c r="Y3699" t="s">
        <v>261</v>
      </c>
      <c r="Z3699" t="s">
        <v>409</v>
      </c>
      <c r="AA3699" t="s">
        <v>409</v>
      </c>
      <c r="AB3699" t="s">
        <v>409</v>
      </c>
      <c r="AC3699" t="s">
        <v>409</v>
      </c>
      <c r="AD3699" t="s">
        <v>261</v>
      </c>
      <c r="AH3699" t="s">
        <v>262</v>
      </c>
      <c r="AI3699" t="s">
        <v>262</v>
      </c>
      <c r="AJ3699" t="s">
        <v>261</v>
      </c>
      <c r="AK3699" t="s">
        <v>261</v>
      </c>
      <c r="AM3699" t="s">
        <v>262</v>
      </c>
      <c r="AN3699" t="s">
        <v>10037</v>
      </c>
    </row>
    <row r="3700" spans="1:40" x14ac:dyDescent="0.35">
      <c r="A3700">
        <v>6978226</v>
      </c>
      <c r="B3700" t="s">
        <v>10038</v>
      </c>
      <c r="C3700" t="str">
        <f>""</f>
        <v/>
      </c>
      <c r="D3700" t="str">
        <f>"9782759234615"</f>
        <v>9782759234615</v>
      </c>
      <c r="E3700" t="s">
        <v>1928</v>
      </c>
      <c r="F3700" t="s">
        <v>1928</v>
      </c>
      <c r="G3700" s="1">
        <v>44700</v>
      </c>
      <c r="H3700" s="1">
        <v>44701</v>
      </c>
      <c r="I3700" t="s">
        <v>189</v>
      </c>
      <c r="J3700">
        <v>1</v>
      </c>
      <c r="K3700" t="s">
        <v>7175</v>
      </c>
      <c r="L3700" t="s">
        <v>7176</v>
      </c>
      <c r="M3700" t="s">
        <v>2800</v>
      </c>
      <c r="Q3700" t="s">
        <v>1827</v>
      </c>
      <c r="R3700" t="s">
        <v>261</v>
      </c>
      <c r="S3700" t="s">
        <v>261</v>
      </c>
      <c r="T3700" t="s">
        <v>261</v>
      </c>
      <c r="U3700" t="s">
        <v>262</v>
      </c>
      <c r="V3700" t="s">
        <v>262</v>
      </c>
      <c r="W3700" t="s">
        <v>261</v>
      </c>
      <c r="X3700" t="s">
        <v>262</v>
      </c>
      <c r="Y3700" t="s">
        <v>261</v>
      </c>
      <c r="Z3700" t="s">
        <v>409</v>
      </c>
      <c r="AA3700" t="s">
        <v>409</v>
      </c>
      <c r="AB3700" t="s">
        <v>409</v>
      </c>
      <c r="AC3700" t="s">
        <v>409</v>
      </c>
      <c r="AD3700" t="s">
        <v>261</v>
      </c>
      <c r="AH3700" t="s">
        <v>262</v>
      </c>
      <c r="AI3700" t="s">
        <v>262</v>
      </c>
      <c r="AJ3700" t="s">
        <v>261</v>
      </c>
      <c r="AK3700" t="s">
        <v>261</v>
      </c>
      <c r="AM3700" t="s">
        <v>262</v>
      </c>
      <c r="AN3700" t="s">
        <v>10039</v>
      </c>
    </row>
    <row r="3701" spans="1:40" x14ac:dyDescent="0.35">
      <c r="A3701">
        <v>6978228</v>
      </c>
      <c r="B3701" t="s">
        <v>10040</v>
      </c>
      <c r="C3701" t="str">
        <f>""</f>
        <v/>
      </c>
      <c r="D3701" t="str">
        <f>"9782759234653"</f>
        <v>9782759234653</v>
      </c>
      <c r="E3701" t="s">
        <v>1928</v>
      </c>
      <c r="F3701" t="s">
        <v>1928</v>
      </c>
      <c r="G3701" s="1">
        <v>44693</v>
      </c>
      <c r="H3701" s="1">
        <v>44698</v>
      </c>
      <c r="I3701" t="s">
        <v>189</v>
      </c>
      <c r="J3701">
        <v>1</v>
      </c>
      <c r="K3701" t="s">
        <v>2062</v>
      </c>
      <c r="L3701" t="s">
        <v>10041</v>
      </c>
    </row>
    <row r="3702" spans="1:40" x14ac:dyDescent="0.35">
      <c r="A3702">
        <v>6978229</v>
      </c>
      <c r="B3702" t="s">
        <v>10042</v>
      </c>
      <c r="C3702" t="str">
        <f>""</f>
        <v/>
      </c>
      <c r="D3702" t="str">
        <f>"9782759235001"</f>
        <v>9782759235001</v>
      </c>
      <c r="E3702" t="s">
        <v>1928</v>
      </c>
      <c r="F3702" t="s">
        <v>1928</v>
      </c>
      <c r="G3702" s="1">
        <v>44707</v>
      </c>
      <c r="H3702" s="1">
        <v>44708</v>
      </c>
      <c r="I3702" t="s">
        <v>189</v>
      </c>
      <c r="K3702" t="s">
        <v>7376</v>
      </c>
      <c r="L3702" t="s">
        <v>10043</v>
      </c>
    </row>
    <row r="3703" spans="1:40" x14ac:dyDescent="0.35">
      <c r="A3703">
        <v>6978245</v>
      </c>
      <c r="B3703" t="s">
        <v>10044</v>
      </c>
      <c r="C3703" t="str">
        <f>"9783030693442"</f>
        <v>9783030693442</v>
      </c>
      <c r="D3703" t="str">
        <f>"9783030693459"</f>
        <v>9783030693459</v>
      </c>
      <c r="E3703" t="s">
        <v>2289</v>
      </c>
      <c r="F3703" t="s">
        <v>2290</v>
      </c>
      <c r="G3703" s="1">
        <v>44363</v>
      </c>
      <c r="H3703" s="1">
        <v>44708</v>
      </c>
      <c r="I3703" t="s">
        <v>189</v>
      </c>
      <c r="K3703" t="s">
        <v>10045</v>
      </c>
      <c r="L3703" t="s">
        <v>10046</v>
      </c>
    </row>
    <row r="3704" spans="1:40" x14ac:dyDescent="0.35">
      <c r="A3704">
        <v>6978246</v>
      </c>
      <c r="B3704" t="s">
        <v>10047</v>
      </c>
      <c r="C3704" t="str">
        <f>"9783030748852"</f>
        <v>9783030748852</v>
      </c>
      <c r="D3704" t="str">
        <f>"9783030748869"</f>
        <v>9783030748869</v>
      </c>
      <c r="E3704" t="s">
        <v>2289</v>
      </c>
      <c r="F3704" t="s">
        <v>2290</v>
      </c>
      <c r="G3704" s="1">
        <v>44366</v>
      </c>
      <c r="H3704" s="1">
        <v>44708</v>
      </c>
      <c r="I3704" t="s">
        <v>189</v>
      </c>
      <c r="K3704" t="s">
        <v>4011</v>
      </c>
      <c r="L3704" t="s">
        <v>10048</v>
      </c>
    </row>
    <row r="3705" spans="1:40" x14ac:dyDescent="0.35">
      <c r="A3705">
        <v>6978249</v>
      </c>
      <c r="B3705" t="s">
        <v>10049</v>
      </c>
      <c r="C3705" t="str">
        <f>""</f>
        <v/>
      </c>
      <c r="D3705" t="str">
        <f>"9783030778101"</f>
        <v>9783030778101</v>
      </c>
      <c r="E3705" t="s">
        <v>2289</v>
      </c>
      <c r="F3705" t="s">
        <v>2290</v>
      </c>
      <c r="G3705" s="1">
        <v>44705</v>
      </c>
      <c r="H3705" s="1">
        <v>44707</v>
      </c>
      <c r="I3705" t="s">
        <v>189</v>
      </c>
      <c r="K3705" t="s">
        <v>1208</v>
      </c>
      <c r="L3705" t="s">
        <v>10050</v>
      </c>
    </row>
    <row r="3706" spans="1:40" x14ac:dyDescent="0.35">
      <c r="A3706">
        <v>6978250</v>
      </c>
      <c r="B3706" t="s">
        <v>10051</v>
      </c>
      <c r="C3706" t="str">
        <f>"9783030791100"</f>
        <v>9783030791100</v>
      </c>
      <c r="D3706" t="str">
        <f>"9783030791117"</f>
        <v>9783030791117</v>
      </c>
      <c r="E3706" t="s">
        <v>2289</v>
      </c>
      <c r="F3706" t="s">
        <v>2290</v>
      </c>
      <c r="G3706" s="1">
        <v>44406</v>
      </c>
      <c r="H3706" s="1">
        <v>44708</v>
      </c>
      <c r="I3706" t="s">
        <v>189</v>
      </c>
      <c r="K3706" t="s">
        <v>5128</v>
      </c>
      <c r="L3706" t="s">
        <v>10052</v>
      </c>
    </row>
    <row r="3707" spans="1:40" x14ac:dyDescent="0.35">
      <c r="A3707">
        <v>6978251</v>
      </c>
      <c r="B3707" t="s">
        <v>10053</v>
      </c>
      <c r="C3707" t="str">
        <f>"9783030818807"</f>
        <v>9783030818807</v>
      </c>
      <c r="D3707" t="str">
        <f>"9783030818814"</f>
        <v>9783030818814</v>
      </c>
      <c r="E3707" t="s">
        <v>2289</v>
      </c>
      <c r="F3707" t="s">
        <v>2663</v>
      </c>
      <c r="G3707" s="1">
        <v>44807</v>
      </c>
      <c r="H3707" s="1">
        <v>44759</v>
      </c>
      <c r="I3707" t="s">
        <v>189</v>
      </c>
      <c r="L3707" t="s">
        <v>10054</v>
      </c>
    </row>
    <row r="3708" spans="1:40" x14ac:dyDescent="0.35">
      <c r="A3708">
        <v>6978253</v>
      </c>
      <c r="B3708" t="s">
        <v>10055</v>
      </c>
      <c r="C3708" t="str">
        <f>"9783030855314"</f>
        <v>9783030855314</v>
      </c>
      <c r="D3708" t="str">
        <f>"9783030855321"</f>
        <v>9783030855321</v>
      </c>
      <c r="E3708" t="s">
        <v>2289</v>
      </c>
      <c r="F3708" t="s">
        <v>2290</v>
      </c>
      <c r="G3708" s="1">
        <v>44692</v>
      </c>
      <c r="H3708" s="1">
        <v>44698</v>
      </c>
      <c r="I3708" t="s">
        <v>189</v>
      </c>
      <c r="L3708" t="s">
        <v>10056</v>
      </c>
      <c r="M3708" t="s">
        <v>535</v>
      </c>
      <c r="N3708" t="s">
        <v>6350</v>
      </c>
      <c r="Q3708" t="s">
        <v>260</v>
      </c>
      <c r="R3708" t="s">
        <v>261</v>
      </c>
      <c r="S3708" t="s">
        <v>261</v>
      </c>
      <c r="T3708" t="s">
        <v>261</v>
      </c>
      <c r="U3708" t="s">
        <v>261</v>
      </c>
      <c r="V3708" t="s">
        <v>262</v>
      </c>
      <c r="W3708" t="s">
        <v>261</v>
      </c>
      <c r="X3708" t="s">
        <v>261</v>
      </c>
      <c r="Y3708" t="s">
        <v>261</v>
      </c>
      <c r="Z3708" t="s">
        <v>409</v>
      </c>
      <c r="AA3708" t="s">
        <v>409</v>
      </c>
      <c r="AB3708" t="s">
        <v>409</v>
      </c>
      <c r="AC3708" t="s">
        <v>409</v>
      </c>
      <c r="AD3708" t="s">
        <v>261</v>
      </c>
      <c r="AH3708" t="s">
        <v>262</v>
      </c>
      <c r="AI3708" t="s">
        <v>262</v>
      </c>
      <c r="AJ3708" t="s">
        <v>261</v>
      </c>
      <c r="AK3708" t="s">
        <v>261</v>
      </c>
      <c r="AM3708" t="s">
        <v>262</v>
      </c>
      <c r="AN3708" t="s">
        <v>10057</v>
      </c>
    </row>
    <row r="3709" spans="1:40" x14ac:dyDescent="0.35">
      <c r="A3709">
        <v>6978255</v>
      </c>
      <c r="B3709" t="s">
        <v>10058</v>
      </c>
      <c r="C3709" t="str">
        <f>"9783030868833"</f>
        <v>9783030868833</v>
      </c>
      <c r="D3709" t="str">
        <f>"9783030868840"</f>
        <v>9783030868840</v>
      </c>
      <c r="E3709" t="s">
        <v>2289</v>
      </c>
      <c r="F3709" t="s">
        <v>2663</v>
      </c>
      <c r="G3709" s="1">
        <v>44709</v>
      </c>
      <c r="H3709" s="1">
        <v>44711</v>
      </c>
      <c r="I3709" t="s">
        <v>189</v>
      </c>
      <c r="L3709" t="s">
        <v>4278</v>
      </c>
    </row>
    <row r="3710" spans="1:40" x14ac:dyDescent="0.35">
      <c r="A3710">
        <v>6978256</v>
      </c>
      <c r="B3710" t="s">
        <v>10059</v>
      </c>
      <c r="C3710" t="str">
        <f>"9783030870447"</f>
        <v>9783030870447</v>
      </c>
      <c r="D3710" t="str">
        <f>"9783030870454"</f>
        <v>9783030870454</v>
      </c>
      <c r="E3710" t="s">
        <v>2289</v>
      </c>
      <c r="F3710" t="s">
        <v>2290</v>
      </c>
      <c r="G3710" s="1">
        <v>44820</v>
      </c>
      <c r="H3710" s="1">
        <v>44786</v>
      </c>
      <c r="I3710" t="s">
        <v>189</v>
      </c>
      <c r="L3710" t="s">
        <v>10060</v>
      </c>
    </row>
    <row r="3711" spans="1:40" x14ac:dyDescent="0.35">
      <c r="A3711">
        <v>6978259</v>
      </c>
      <c r="B3711" t="s">
        <v>10061</v>
      </c>
      <c r="C3711" t="str">
        <f>"9783030906726"</f>
        <v>9783030906726</v>
      </c>
      <c r="D3711" t="str">
        <f>"9783030906733"</f>
        <v>9783030906733</v>
      </c>
      <c r="E3711" t="s">
        <v>2289</v>
      </c>
      <c r="F3711" t="s">
        <v>2290</v>
      </c>
      <c r="G3711" s="1">
        <v>44759</v>
      </c>
      <c r="H3711" s="1">
        <v>44717</v>
      </c>
      <c r="I3711" t="s">
        <v>189</v>
      </c>
      <c r="L3711" t="s">
        <v>10062</v>
      </c>
    </row>
    <row r="3712" spans="1:40" x14ac:dyDescent="0.35">
      <c r="A3712">
        <v>6978260</v>
      </c>
      <c r="B3712" t="s">
        <v>10063</v>
      </c>
      <c r="C3712" t="str">
        <f>"9783030909970"</f>
        <v>9783030909970</v>
      </c>
      <c r="D3712" t="str">
        <f>"9783030909987"</f>
        <v>9783030909987</v>
      </c>
      <c r="E3712" t="s">
        <v>2289</v>
      </c>
      <c r="F3712" t="s">
        <v>2290</v>
      </c>
      <c r="G3712" s="1">
        <v>44730</v>
      </c>
      <c r="H3712" s="1">
        <v>44731</v>
      </c>
      <c r="I3712" t="s">
        <v>189</v>
      </c>
      <c r="L3712" t="s">
        <v>10064</v>
      </c>
    </row>
    <row r="3713" spans="1:13" x14ac:dyDescent="0.35">
      <c r="A3713">
        <v>6978261</v>
      </c>
      <c r="B3713" t="s">
        <v>10065</v>
      </c>
      <c r="C3713" t="str">
        <f>"9783030910877"</f>
        <v>9783030910877</v>
      </c>
      <c r="D3713" t="str">
        <f>"9783030910884"</f>
        <v>9783030910884</v>
      </c>
      <c r="E3713" t="s">
        <v>2289</v>
      </c>
      <c r="F3713" t="s">
        <v>2663</v>
      </c>
      <c r="G3713" s="1">
        <v>44832</v>
      </c>
      <c r="H3713" s="1">
        <v>44711</v>
      </c>
      <c r="I3713" t="s">
        <v>189</v>
      </c>
      <c r="K3713" t="s">
        <v>5573</v>
      </c>
      <c r="L3713" t="s">
        <v>10066</v>
      </c>
    </row>
    <row r="3714" spans="1:13" x14ac:dyDescent="0.35">
      <c r="A3714">
        <v>6978263</v>
      </c>
      <c r="B3714" t="s">
        <v>10067</v>
      </c>
      <c r="C3714" t="str">
        <f>"9783030917159"</f>
        <v>9783030917159</v>
      </c>
      <c r="D3714" t="str">
        <f>"9783030917166"</f>
        <v>9783030917166</v>
      </c>
      <c r="E3714" t="s">
        <v>2289</v>
      </c>
      <c r="F3714" t="s">
        <v>2290</v>
      </c>
      <c r="G3714" s="1">
        <v>44745</v>
      </c>
      <c r="H3714" s="1">
        <v>44715</v>
      </c>
      <c r="I3714" t="s">
        <v>189</v>
      </c>
      <c r="L3714" t="s">
        <v>5540</v>
      </c>
      <c r="M3714" t="s">
        <v>944</v>
      </c>
    </row>
    <row r="3715" spans="1:13" x14ac:dyDescent="0.35">
      <c r="A3715">
        <v>6978265</v>
      </c>
      <c r="B3715" t="s">
        <v>10068</v>
      </c>
      <c r="C3715" t="str">
        <f>"9783030921132"</f>
        <v>9783030921132</v>
      </c>
      <c r="D3715" t="str">
        <f>"9783030921149"</f>
        <v>9783030921149</v>
      </c>
      <c r="E3715" t="s">
        <v>2289</v>
      </c>
      <c r="F3715" t="s">
        <v>2290</v>
      </c>
      <c r="G3715" s="1">
        <v>44752</v>
      </c>
      <c r="H3715" s="1">
        <v>44714</v>
      </c>
      <c r="I3715" t="s">
        <v>189</v>
      </c>
      <c r="K3715" t="s">
        <v>1208</v>
      </c>
      <c r="L3715" t="s">
        <v>10069</v>
      </c>
    </row>
    <row r="3716" spans="1:13" x14ac:dyDescent="0.35">
      <c r="A3716">
        <v>6978267</v>
      </c>
      <c r="B3716" t="s">
        <v>10070</v>
      </c>
      <c r="C3716" t="str">
        <f>"9783030926977"</f>
        <v>9783030926977</v>
      </c>
      <c r="D3716" t="str">
        <f>"9783030926984"</f>
        <v>9783030926984</v>
      </c>
      <c r="E3716" t="s">
        <v>2289</v>
      </c>
      <c r="F3716" t="s">
        <v>2290</v>
      </c>
      <c r="G3716" s="1">
        <v>44761</v>
      </c>
      <c r="H3716" s="1">
        <v>44721</v>
      </c>
      <c r="I3716" t="s">
        <v>189</v>
      </c>
      <c r="K3716" t="s">
        <v>10071</v>
      </c>
      <c r="L3716" t="s">
        <v>10072</v>
      </c>
    </row>
    <row r="3717" spans="1:13" x14ac:dyDescent="0.35">
      <c r="A3717">
        <v>6978268</v>
      </c>
      <c r="B3717" t="s">
        <v>10073</v>
      </c>
      <c r="C3717" t="str">
        <f>"9783030939748"</f>
        <v>9783030939748</v>
      </c>
      <c r="D3717" t="str">
        <f>"9783030939755"</f>
        <v>9783030939755</v>
      </c>
      <c r="E3717" t="s">
        <v>2289</v>
      </c>
      <c r="F3717" t="s">
        <v>2290</v>
      </c>
      <c r="G3717" s="1">
        <v>44800</v>
      </c>
      <c r="H3717" s="1">
        <v>44766</v>
      </c>
      <c r="I3717" t="s">
        <v>189</v>
      </c>
      <c r="L3717" t="s">
        <v>5103</v>
      </c>
    </row>
    <row r="3718" spans="1:13" x14ac:dyDescent="0.35">
      <c r="A3718">
        <v>6978270</v>
      </c>
      <c r="B3718" t="s">
        <v>10074</v>
      </c>
      <c r="C3718" t="str">
        <f>"9783030941369"</f>
        <v>9783030941369</v>
      </c>
      <c r="D3718" t="str">
        <f>"9783030941376"</f>
        <v>9783030941376</v>
      </c>
      <c r="E3718" t="s">
        <v>2289</v>
      </c>
      <c r="F3718" t="s">
        <v>2290</v>
      </c>
      <c r="G3718" s="1">
        <v>44757</v>
      </c>
      <c r="H3718" s="1">
        <v>44759</v>
      </c>
      <c r="I3718" t="s">
        <v>189</v>
      </c>
      <c r="K3718" t="s">
        <v>10075</v>
      </c>
      <c r="L3718" t="s">
        <v>10076</v>
      </c>
    </row>
    <row r="3719" spans="1:13" x14ac:dyDescent="0.35">
      <c r="A3719">
        <v>6978272</v>
      </c>
      <c r="B3719" t="s">
        <v>10077</v>
      </c>
      <c r="C3719" t="str">
        <f>"9783030946050"</f>
        <v>9783030946050</v>
      </c>
      <c r="D3719" t="str">
        <f>"9783030946067"</f>
        <v>9783030946067</v>
      </c>
      <c r="E3719" t="s">
        <v>2289</v>
      </c>
      <c r="F3719" t="s">
        <v>2290</v>
      </c>
      <c r="G3719" s="1">
        <v>44968</v>
      </c>
      <c r="H3719" s="1">
        <v>44840</v>
      </c>
      <c r="I3719" t="s">
        <v>189</v>
      </c>
      <c r="L3719" t="s">
        <v>10078</v>
      </c>
    </row>
    <row r="3720" spans="1:13" x14ac:dyDescent="0.35">
      <c r="A3720">
        <v>6978273</v>
      </c>
      <c r="B3720" t="s">
        <v>10079</v>
      </c>
      <c r="C3720" t="str">
        <f>"9783030946906"</f>
        <v>9783030946906</v>
      </c>
      <c r="D3720" t="str">
        <f>"9783030946913"</f>
        <v>9783030946913</v>
      </c>
      <c r="E3720" t="s">
        <v>2289</v>
      </c>
      <c r="F3720" t="s">
        <v>2290</v>
      </c>
      <c r="G3720" s="1">
        <v>44773</v>
      </c>
      <c r="H3720" s="1">
        <v>44745</v>
      </c>
      <c r="I3720" t="s">
        <v>189</v>
      </c>
      <c r="L3720" t="s">
        <v>10080</v>
      </c>
    </row>
    <row r="3721" spans="1:13" x14ac:dyDescent="0.35">
      <c r="A3721">
        <v>6978274</v>
      </c>
      <c r="B3721" t="s">
        <v>10081</v>
      </c>
      <c r="C3721" t="str">
        <f>"9783030947460"</f>
        <v>9783030947460</v>
      </c>
      <c r="D3721" t="str">
        <f>"9783030947477"</f>
        <v>9783030947477</v>
      </c>
      <c r="E3721" t="s">
        <v>2289</v>
      </c>
      <c r="F3721" t="s">
        <v>2663</v>
      </c>
      <c r="G3721" s="1">
        <v>44764</v>
      </c>
      <c r="H3721" s="1">
        <v>44765</v>
      </c>
      <c r="I3721" t="s">
        <v>189</v>
      </c>
      <c r="K3721" t="s">
        <v>10082</v>
      </c>
      <c r="L3721" t="s">
        <v>10083</v>
      </c>
    </row>
    <row r="3722" spans="1:13" x14ac:dyDescent="0.35">
      <c r="A3722">
        <v>6978280</v>
      </c>
      <c r="B3722" t="s">
        <v>10084</v>
      </c>
      <c r="C3722" t="str">
        <f>"9783658343057"</f>
        <v>9783658343057</v>
      </c>
      <c r="D3722" t="str">
        <f>"9783658343064"</f>
        <v>9783658343064</v>
      </c>
      <c r="E3722" t="s">
        <v>3972</v>
      </c>
      <c r="F3722" t="s">
        <v>3998</v>
      </c>
      <c r="G3722" s="1">
        <v>44731</v>
      </c>
      <c r="H3722" s="1">
        <v>44702</v>
      </c>
      <c r="I3722" t="s">
        <v>189</v>
      </c>
      <c r="K3722" t="s">
        <v>9517</v>
      </c>
      <c r="L3722" t="s">
        <v>10085</v>
      </c>
    </row>
    <row r="3723" spans="1:13" x14ac:dyDescent="0.35">
      <c r="A3723">
        <v>6978281</v>
      </c>
      <c r="B3723" t="s">
        <v>10086</v>
      </c>
      <c r="C3723" t="str">
        <f>"9783658343859"</f>
        <v>9783658343859</v>
      </c>
      <c r="D3723" t="str">
        <f>"9783658343866"</f>
        <v>9783658343866</v>
      </c>
      <c r="E3723" t="s">
        <v>3972</v>
      </c>
      <c r="F3723" t="s">
        <v>3998</v>
      </c>
      <c r="G3723" s="1">
        <v>44737</v>
      </c>
      <c r="H3723" s="1">
        <v>44707</v>
      </c>
      <c r="I3723" t="s">
        <v>189</v>
      </c>
      <c r="K3723" t="s">
        <v>10087</v>
      </c>
      <c r="L3723" t="s">
        <v>10088</v>
      </c>
    </row>
    <row r="3724" spans="1:13" x14ac:dyDescent="0.35">
      <c r="A3724">
        <v>6978283</v>
      </c>
      <c r="B3724" t="s">
        <v>10089</v>
      </c>
      <c r="C3724" t="str">
        <f>"9783658352622"</f>
        <v>9783658352622</v>
      </c>
      <c r="D3724" t="str">
        <f>"9783658352639"</f>
        <v>9783658352639</v>
      </c>
      <c r="E3724" t="s">
        <v>3972</v>
      </c>
      <c r="F3724" t="s">
        <v>3972</v>
      </c>
      <c r="G3724" s="1">
        <v>44747</v>
      </c>
      <c r="H3724" s="1">
        <v>44707</v>
      </c>
      <c r="I3724" t="s">
        <v>189</v>
      </c>
      <c r="K3724" t="s">
        <v>9617</v>
      </c>
      <c r="L3724" t="s">
        <v>10090</v>
      </c>
    </row>
    <row r="3725" spans="1:13" x14ac:dyDescent="0.35">
      <c r="A3725">
        <v>6978284</v>
      </c>
      <c r="B3725" t="s">
        <v>10091</v>
      </c>
      <c r="C3725" t="str">
        <f>"9783658353254"</f>
        <v>9783658353254</v>
      </c>
      <c r="D3725" t="str">
        <f>"9783658353261"</f>
        <v>9783658353261</v>
      </c>
      <c r="E3725" t="s">
        <v>3972</v>
      </c>
      <c r="F3725" t="s">
        <v>2290</v>
      </c>
      <c r="G3725" s="1">
        <v>44694</v>
      </c>
      <c r="H3725" s="1">
        <v>44698</v>
      </c>
      <c r="I3725" t="s">
        <v>189</v>
      </c>
      <c r="L3725" t="s">
        <v>10092</v>
      </c>
    </row>
    <row r="3726" spans="1:13" x14ac:dyDescent="0.35">
      <c r="A3726">
        <v>6978285</v>
      </c>
      <c r="B3726" t="s">
        <v>10093</v>
      </c>
      <c r="C3726" t="str">
        <f>"9783658354558"</f>
        <v>9783658354558</v>
      </c>
      <c r="D3726" t="str">
        <f>"9783658354565"</f>
        <v>9783658354565</v>
      </c>
      <c r="E3726" t="s">
        <v>3972</v>
      </c>
      <c r="F3726" t="s">
        <v>3972</v>
      </c>
      <c r="G3726" s="1">
        <v>44502</v>
      </c>
      <c r="H3726" s="1">
        <v>44708</v>
      </c>
      <c r="I3726" t="s">
        <v>189</v>
      </c>
      <c r="L3726" t="s">
        <v>10094</v>
      </c>
      <c r="M3726" t="s">
        <v>847</v>
      </c>
    </row>
    <row r="3727" spans="1:13" x14ac:dyDescent="0.35">
      <c r="A3727">
        <v>6978286</v>
      </c>
      <c r="B3727" t="s">
        <v>10095</v>
      </c>
      <c r="C3727" t="str">
        <f>"9783658357436"</f>
        <v>9783658357436</v>
      </c>
      <c r="D3727" t="str">
        <f>"9783658357443"</f>
        <v>9783658357443</v>
      </c>
      <c r="E3727" t="s">
        <v>3972</v>
      </c>
      <c r="F3727" t="s">
        <v>3998</v>
      </c>
      <c r="G3727" s="1">
        <v>44780</v>
      </c>
      <c r="H3727" s="1">
        <v>44750</v>
      </c>
      <c r="I3727" t="s">
        <v>189</v>
      </c>
      <c r="L3727" t="s">
        <v>10096</v>
      </c>
    </row>
    <row r="3728" spans="1:13" x14ac:dyDescent="0.35">
      <c r="A3728">
        <v>6978287</v>
      </c>
      <c r="B3728" t="s">
        <v>10097</v>
      </c>
      <c r="C3728" t="str">
        <f>"9783658360214"</f>
        <v>9783658360214</v>
      </c>
      <c r="D3728" t="str">
        <f>"9783658360221"</f>
        <v>9783658360221</v>
      </c>
      <c r="E3728" t="s">
        <v>3972</v>
      </c>
      <c r="F3728" t="s">
        <v>3972</v>
      </c>
      <c r="G3728" s="1">
        <v>44772</v>
      </c>
      <c r="H3728" s="1">
        <v>44704</v>
      </c>
      <c r="I3728" t="s">
        <v>189</v>
      </c>
      <c r="L3728" t="s">
        <v>5264</v>
      </c>
    </row>
    <row r="3729" spans="1:40" x14ac:dyDescent="0.35">
      <c r="A3729">
        <v>6978288</v>
      </c>
      <c r="B3729" t="s">
        <v>10098</v>
      </c>
      <c r="C3729" t="str">
        <f>"9783658361440"</f>
        <v>9783658361440</v>
      </c>
      <c r="D3729" t="str">
        <f>"9783658361457"</f>
        <v>9783658361457</v>
      </c>
      <c r="E3729" t="s">
        <v>3972</v>
      </c>
      <c r="F3729" t="s">
        <v>3998</v>
      </c>
      <c r="G3729" s="1">
        <v>44734</v>
      </c>
      <c r="H3729" s="1">
        <v>44736</v>
      </c>
      <c r="I3729" t="s">
        <v>189</v>
      </c>
      <c r="L3729" t="s">
        <v>10099</v>
      </c>
    </row>
    <row r="3730" spans="1:40" x14ac:dyDescent="0.35">
      <c r="A3730">
        <v>6978289</v>
      </c>
      <c r="B3730" t="s">
        <v>10100</v>
      </c>
      <c r="C3730" t="str">
        <f>"9783658361785"</f>
        <v>9783658361785</v>
      </c>
      <c r="D3730" t="str">
        <f>"9783658361792"</f>
        <v>9783658361792</v>
      </c>
      <c r="E3730" t="s">
        <v>3972</v>
      </c>
      <c r="F3730" t="s">
        <v>3998</v>
      </c>
      <c r="G3730" s="1">
        <v>44829</v>
      </c>
      <c r="H3730" s="1">
        <v>44836</v>
      </c>
      <c r="I3730" t="s">
        <v>189</v>
      </c>
      <c r="L3730" t="s">
        <v>10101</v>
      </c>
    </row>
    <row r="3731" spans="1:40" x14ac:dyDescent="0.35">
      <c r="A3731">
        <v>6978290</v>
      </c>
      <c r="B3731" t="s">
        <v>10102</v>
      </c>
      <c r="C3731" t="str">
        <f>"9783658365615"</f>
        <v>9783658365615</v>
      </c>
      <c r="D3731" t="str">
        <f>"9783658365622"</f>
        <v>9783658365622</v>
      </c>
      <c r="E3731" t="s">
        <v>3972</v>
      </c>
      <c r="F3731" t="s">
        <v>3998</v>
      </c>
      <c r="G3731" s="1">
        <v>44841</v>
      </c>
      <c r="H3731" s="1">
        <v>44797</v>
      </c>
      <c r="I3731" t="s">
        <v>189</v>
      </c>
      <c r="L3731" t="s">
        <v>10103</v>
      </c>
    </row>
    <row r="3732" spans="1:40" x14ac:dyDescent="0.35">
      <c r="A3732">
        <v>6978291</v>
      </c>
      <c r="B3732" t="s">
        <v>10104</v>
      </c>
      <c r="C3732" t="str">
        <f>"9783658365677"</f>
        <v>9783658365677</v>
      </c>
      <c r="D3732" t="str">
        <f>"9783658365684"</f>
        <v>9783658365684</v>
      </c>
      <c r="E3732" t="s">
        <v>3972</v>
      </c>
      <c r="F3732" t="s">
        <v>3998</v>
      </c>
      <c r="G3732" s="1">
        <v>44803</v>
      </c>
      <c r="H3732" s="1">
        <v>44804</v>
      </c>
      <c r="I3732" t="s">
        <v>189</v>
      </c>
      <c r="L3732" t="s">
        <v>10105</v>
      </c>
    </row>
    <row r="3733" spans="1:40" x14ac:dyDescent="0.35">
      <c r="A3733">
        <v>6978292</v>
      </c>
      <c r="B3733" t="s">
        <v>10106</v>
      </c>
      <c r="C3733" t="str">
        <f>"9783662634042"</f>
        <v>9783662634042</v>
      </c>
      <c r="D3733" t="str">
        <f>"9783662634059"</f>
        <v>9783662634059</v>
      </c>
      <c r="E3733" t="s">
        <v>4047</v>
      </c>
      <c r="F3733" t="s">
        <v>2290</v>
      </c>
      <c r="G3733" s="1">
        <v>44720</v>
      </c>
      <c r="H3733" s="1">
        <v>44721</v>
      </c>
      <c r="I3733" t="s">
        <v>189</v>
      </c>
      <c r="L3733" t="s">
        <v>10107</v>
      </c>
    </row>
    <row r="3734" spans="1:40" x14ac:dyDescent="0.35">
      <c r="A3734">
        <v>6978294</v>
      </c>
      <c r="B3734" t="s">
        <v>10108</v>
      </c>
      <c r="C3734" t="str">
        <f>"9783662640708"</f>
        <v>9783662640708</v>
      </c>
      <c r="D3734" t="str">
        <f>"9783662640715"</f>
        <v>9783662640715</v>
      </c>
      <c r="E3734" t="s">
        <v>4047</v>
      </c>
      <c r="F3734" t="s">
        <v>4766</v>
      </c>
      <c r="G3734" s="1">
        <v>44748</v>
      </c>
      <c r="H3734" s="1">
        <v>44750</v>
      </c>
      <c r="I3734" t="s">
        <v>189</v>
      </c>
      <c r="L3734" t="s">
        <v>10109</v>
      </c>
    </row>
    <row r="3735" spans="1:40" x14ac:dyDescent="0.35">
      <c r="A3735">
        <v>6978295</v>
      </c>
      <c r="B3735" t="s">
        <v>10110</v>
      </c>
      <c r="C3735" t="str">
        <f>"9783662642825"</f>
        <v>9783662642825</v>
      </c>
      <c r="D3735" t="str">
        <f>"9783662642832"</f>
        <v>9783662642832</v>
      </c>
      <c r="E3735" t="s">
        <v>4047</v>
      </c>
      <c r="F3735" t="s">
        <v>4084</v>
      </c>
      <c r="G3735" s="1">
        <v>44877</v>
      </c>
      <c r="H3735" s="1">
        <v>44789</v>
      </c>
      <c r="I3735" t="s">
        <v>189</v>
      </c>
      <c r="K3735" t="s">
        <v>5285</v>
      </c>
      <c r="L3735" t="s">
        <v>5286</v>
      </c>
    </row>
    <row r="3736" spans="1:40" x14ac:dyDescent="0.35">
      <c r="A3736">
        <v>6978296</v>
      </c>
      <c r="B3736" t="s">
        <v>10111</v>
      </c>
      <c r="C3736" t="str">
        <f>"9783662647370"</f>
        <v>9783662647370</v>
      </c>
      <c r="D3736" t="str">
        <f>"9783662647387"</f>
        <v>9783662647387</v>
      </c>
      <c r="E3736" t="s">
        <v>5118</v>
      </c>
      <c r="F3736" t="s">
        <v>5118</v>
      </c>
      <c r="G3736" s="1">
        <v>44699</v>
      </c>
      <c r="H3736" s="1">
        <v>44701</v>
      </c>
      <c r="I3736" t="s">
        <v>189</v>
      </c>
      <c r="K3736" t="s">
        <v>10112</v>
      </c>
      <c r="L3736" t="s">
        <v>10113</v>
      </c>
      <c r="M3736" t="s">
        <v>676</v>
      </c>
      <c r="N3736" t="s">
        <v>5610</v>
      </c>
      <c r="Q3736" t="s">
        <v>408</v>
      </c>
      <c r="R3736" t="s">
        <v>261</v>
      </c>
      <c r="S3736" t="s">
        <v>261</v>
      </c>
      <c r="T3736" t="s">
        <v>261</v>
      </c>
      <c r="U3736" t="s">
        <v>261</v>
      </c>
      <c r="V3736" t="s">
        <v>262</v>
      </c>
      <c r="W3736" t="s">
        <v>261</v>
      </c>
      <c r="X3736" t="s">
        <v>261</v>
      </c>
      <c r="Y3736" t="s">
        <v>261</v>
      </c>
      <c r="Z3736" t="s">
        <v>409</v>
      </c>
      <c r="AA3736" t="s">
        <v>409</v>
      </c>
      <c r="AB3736" t="s">
        <v>409</v>
      </c>
      <c r="AC3736" t="s">
        <v>409</v>
      </c>
      <c r="AD3736" t="s">
        <v>261</v>
      </c>
      <c r="AH3736" t="s">
        <v>262</v>
      </c>
      <c r="AI3736" t="s">
        <v>262</v>
      </c>
      <c r="AJ3736" t="s">
        <v>261</v>
      </c>
      <c r="AK3736" t="s">
        <v>261</v>
      </c>
      <c r="AM3736" t="s">
        <v>262</v>
      </c>
      <c r="AN3736" t="s">
        <v>10114</v>
      </c>
    </row>
    <row r="3737" spans="1:40" x14ac:dyDescent="0.35">
      <c r="A3737">
        <v>6978297</v>
      </c>
      <c r="B3737" t="s">
        <v>10115</v>
      </c>
      <c r="C3737" t="str">
        <f>"9789811501807"</f>
        <v>9789811501807</v>
      </c>
      <c r="D3737" t="str">
        <f>"9789811501814"</f>
        <v>9789811501814</v>
      </c>
      <c r="E3737" t="s">
        <v>3404</v>
      </c>
      <c r="F3737" t="s">
        <v>2290</v>
      </c>
      <c r="G3737" s="1">
        <v>44895</v>
      </c>
      <c r="H3737" s="1">
        <v>44896</v>
      </c>
      <c r="I3737" t="s">
        <v>189</v>
      </c>
      <c r="L3737" t="s">
        <v>4724</v>
      </c>
    </row>
    <row r="3738" spans="1:40" x14ac:dyDescent="0.35">
      <c r="A3738">
        <v>6978298</v>
      </c>
      <c r="B3738" t="s">
        <v>10116</v>
      </c>
      <c r="C3738" t="str">
        <f>"9789811694035"</f>
        <v>9789811694035</v>
      </c>
      <c r="D3738" t="str">
        <f>"9789811694042"</f>
        <v>9789811694042</v>
      </c>
      <c r="E3738" t="s">
        <v>3404</v>
      </c>
      <c r="F3738" t="s">
        <v>2290</v>
      </c>
      <c r="G3738" s="1">
        <v>44775</v>
      </c>
      <c r="H3738" s="1">
        <v>44717</v>
      </c>
      <c r="I3738" t="s">
        <v>189</v>
      </c>
      <c r="L3738" t="s">
        <v>10117</v>
      </c>
    </row>
    <row r="3739" spans="1:40" x14ac:dyDescent="0.35">
      <c r="A3739">
        <v>6978300</v>
      </c>
      <c r="B3739" t="s">
        <v>10118</v>
      </c>
      <c r="C3739" t="str">
        <f>"9780472075058"</f>
        <v>9780472075058</v>
      </c>
      <c r="D3739" t="str">
        <f>"9780472902491"</f>
        <v>9780472902491</v>
      </c>
      <c r="E3739" t="s">
        <v>2090</v>
      </c>
      <c r="F3739" t="s">
        <v>2090</v>
      </c>
      <c r="G3739" s="1">
        <v>44530</v>
      </c>
      <c r="H3739" s="1">
        <v>44729</v>
      </c>
      <c r="I3739" t="s">
        <v>189</v>
      </c>
      <c r="L3739" t="s">
        <v>10119</v>
      </c>
      <c r="M3739" t="s">
        <v>210</v>
      </c>
      <c r="N3739" t="s">
        <v>10120</v>
      </c>
      <c r="O3739" s="2">
        <v>3205109</v>
      </c>
      <c r="Q3739" t="s">
        <v>260</v>
      </c>
      <c r="R3739" t="s">
        <v>261</v>
      </c>
      <c r="S3739" t="s">
        <v>261</v>
      </c>
      <c r="T3739" t="s">
        <v>261</v>
      </c>
      <c r="U3739" t="s">
        <v>261</v>
      </c>
      <c r="V3739" t="s">
        <v>262</v>
      </c>
      <c r="W3739" t="s">
        <v>261</v>
      </c>
      <c r="X3739" t="s">
        <v>261</v>
      </c>
      <c r="Y3739" t="s">
        <v>261</v>
      </c>
      <c r="AA3739" t="s">
        <v>409</v>
      </c>
      <c r="AB3739" t="s">
        <v>409</v>
      </c>
      <c r="AC3739" t="s">
        <v>409</v>
      </c>
      <c r="AD3739" t="s">
        <v>261</v>
      </c>
      <c r="AH3739" t="s">
        <v>262</v>
      </c>
      <c r="AI3739" t="s">
        <v>262</v>
      </c>
      <c r="AJ3739" t="s">
        <v>261</v>
      </c>
      <c r="AK3739" t="s">
        <v>261</v>
      </c>
      <c r="AM3739" t="s">
        <v>262</v>
      </c>
      <c r="AN3739" t="s">
        <v>10121</v>
      </c>
    </row>
    <row r="3740" spans="1:40" x14ac:dyDescent="0.35">
      <c r="A3740">
        <v>6978301</v>
      </c>
      <c r="B3740" t="s">
        <v>10122</v>
      </c>
      <c r="C3740" t="str">
        <f>"9781501514357"</f>
        <v>9781501514357</v>
      </c>
      <c r="D3740" t="str">
        <f>"9781501505133"</f>
        <v>9781501505133</v>
      </c>
      <c r="E3740" t="s">
        <v>346</v>
      </c>
      <c r="F3740" t="s">
        <v>2637</v>
      </c>
      <c r="G3740" s="1">
        <v>43381</v>
      </c>
      <c r="H3740" s="1">
        <v>44722</v>
      </c>
      <c r="I3740" t="s">
        <v>189</v>
      </c>
      <c r="J3740">
        <v>1</v>
      </c>
      <c r="K3740" t="s">
        <v>3258</v>
      </c>
      <c r="L3740" t="s">
        <v>10123</v>
      </c>
      <c r="M3740" t="s">
        <v>219</v>
      </c>
      <c r="O3740" s="2">
        <v>895109001</v>
      </c>
      <c r="Q3740" t="s">
        <v>260</v>
      </c>
      <c r="R3740" t="s">
        <v>261</v>
      </c>
      <c r="S3740" t="s">
        <v>261</v>
      </c>
      <c r="T3740" t="s">
        <v>261</v>
      </c>
      <c r="U3740" t="s">
        <v>261</v>
      </c>
      <c r="V3740" t="s">
        <v>262</v>
      </c>
      <c r="W3740" t="s">
        <v>261</v>
      </c>
      <c r="X3740" t="s">
        <v>261</v>
      </c>
      <c r="Y3740" t="s">
        <v>261</v>
      </c>
      <c r="Z3740" t="s">
        <v>409</v>
      </c>
      <c r="AA3740" t="s">
        <v>409</v>
      </c>
      <c r="AB3740" t="s">
        <v>409</v>
      </c>
      <c r="AC3740" t="s">
        <v>409</v>
      </c>
      <c r="AD3740" t="s">
        <v>261</v>
      </c>
      <c r="AH3740" t="s">
        <v>262</v>
      </c>
      <c r="AI3740" t="s">
        <v>262</v>
      </c>
      <c r="AJ3740" t="s">
        <v>261</v>
      </c>
      <c r="AK3740" t="s">
        <v>261</v>
      </c>
      <c r="AM3740" t="s">
        <v>262</v>
      </c>
      <c r="AN3740" t="s">
        <v>10124</v>
      </c>
    </row>
    <row r="3741" spans="1:40" x14ac:dyDescent="0.35">
      <c r="A3741">
        <v>6978302</v>
      </c>
      <c r="B3741" t="s">
        <v>10125</v>
      </c>
      <c r="C3741" t="str">
        <f>"9781501515637"</f>
        <v>9781501515637</v>
      </c>
      <c r="D3741" t="str">
        <f>"9781501507038"</f>
        <v>9781501507038</v>
      </c>
      <c r="E3741" t="s">
        <v>346</v>
      </c>
      <c r="F3741" t="s">
        <v>2637</v>
      </c>
      <c r="G3741" s="1">
        <v>44277</v>
      </c>
      <c r="H3741" s="1">
        <v>44722</v>
      </c>
      <c r="I3741" t="s">
        <v>189</v>
      </c>
      <c r="J3741">
        <v>1</v>
      </c>
      <c r="K3741" t="s">
        <v>2357</v>
      </c>
      <c r="L3741" t="s">
        <v>10126</v>
      </c>
    </row>
    <row r="3742" spans="1:40" x14ac:dyDescent="0.35">
      <c r="A3742">
        <v>6978372</v>
      </c>
      <c r="B3742" t="s">
        <v>10127</v>
      </c>
      <c r="C3742" t="str">
        <f>"9783110463682"</f>
        <v>9783110463682</v>
      </c>
      <c r="D3742" t="str">
        <f>"9783110466133"</f>
        <v>9783110466133</v>
      </c>
      <c r="E3742" t="s">
        <v>415</v>
      </c>
      <c r="F3742" t="s">
        <v>665</v>
      </c>
      <c r="G3742" s="1">
        <v>43451</v>
      </c>
      <c r="H3742" s="1">
        <v>44722</v>
      </c>
      <c r="I3742" t="s">
        <v>189</v>
      </c>
      <c r="J3742">
        <v>1</v>
      </c>
      <c r="L3742" t="s">
        <v>1014</v>
      </c>
      <c r="M3742" t="s">
        <v>1191</v>
      </c>
      <c r="N3742" t="s">
        <v>10128</v>
      </c>
      <c r="O3742" t="s">
        <v>10129</v>
      </c>
      <c r="Q3742" t="s">
        <v>260</v>
      </c>
      <c r="R3742" t="s">
        <v>261</v>
      </c>
      <c r="S3742" t="s">
        <v>261</v>
      </c>
      <c r="T3742" t="s">
        <v>261</v>
      </c>
      <c r="U3742" t="s">
        <v>261</v>
      </c>
      <c r="V3742" t="s">
        <v>262</v>
      </c>
      <c r="W3742" t="s">
        <v>261</v>
      </c>
      <c r="X3742" t="s">
        <v>261</v>
      </c>
      <c r="Y3742" t="s">
        <v>261</v>
      </c>
      <c r="Z3742" t="s">
        <v>409</v>
      </c>
      <c r="AA3742" t="s">
        <v>409</v>
      </c>
      <c r="AB3742" t="s">
        <v>409</v>
      </c>
      <c r="AC3742" t="s">
        <v>409</v>
      </c>
      <c r="AD3742" t="s">
        <v>261</v>
      </c>
      <c r="AH3742" t="s">
        <v>262</v>
      </c>
      <c r="AI3742" t="s">
        <v>262</v>
      </c>
      <c r="AJ3742" t="s">
        <v>261</v>
      </c>
      <c r="AK3742" t="s">
        <v>261</v>
      </c>
      <c r="AM3742" t="s">
        <v>262</v>
      </c>
      <c r="AN3742" t="s">
        <v>10130</v>
      </c>
    </row>
    <row r="3743" spans="1:40" x14ac:dyDescent="0.35">
      <c r="A3743">
        <v>6978373</v>
      </c>
      <c r="B3743" t="s">
        <v>10131</v>
      </c>
      <c r="C3743" t="str">
        <f>"9783110472202"</f>
        <v>9783110472202</v>
      </c>
      <c r="D3743" t="str">
        <f>"9783110475838"</f>
        <v>9783110475838</v>
      </c>
      <c r="E3743" t="s">
        <v>346</v>
      </c>
      <c r="F3743" t="s">
        <v>346</v>
      </c>
      <c r="G3743" s="1">
        <v>42898</v>
      </c>
      <c r="H3743" s="1">
        <v>44722</v>
      </c>
      <c r="I3743" t="s">
        <v>189</v>
      </c>
      <c r="J3743">
        <v>1</v>
      </c>
      <c r="L3743" t="s">
        <v>10132</v>
      </c>
      <c r="M3743" t="s">
        <v>219</v>
      </c>
      <c r="O3743" s="2">
        <v>871009</v>
      </c>
      <c r="Q3743" t="s">
        <v>260</v>
      </c>
      <c r="R3743" t="s">
        <v>261</v>
      </c>
      <c r="S3743" t="s">
        <v>261</v>
      </c>
      <c r="T3743" t="s">
        <v>261</v>
      </c>
      <c r="U3743" t="s">
        <v>261</v>
      </c>
      <c r="V3743" t="s">
        <v>262</v>
      </c>
      <c r="W3743" t="s">
        <v>261</v>
      </c>
      <c r="X3743" t="s">
        <v>261</v>
      </c>
      <c r="Y3743" t="s">
        <v>261</v>
      </c>
      <c r="Z3743" t="s">
        <v>409</v>
      </c>
      <c r="AA3743" t="s">
        <v>409</v>
      </c>
      <c r="AB3743" t="s">
        <v>409</v>
      </c>
      <c r="AC3743" t="s">
        <v>409</v>
      </c>
      <c r="AD3743" t="s">
        <v>261</v>
      </c>
      <c r="AH3743" t="s">
        <v>262</v>
      </c>
      <c r="AI3743" t="s">
        <v>262</v>
      </c>
      <c r="AJ3743" t="s">
        <v>261</v>
      </c>
      <c r="AK3743" t="s">
        <v>261</v>
      </c>
      <c r="AM3743" t="s">
        <v>262</v>
      </c>
      <c r="AN3743" t="s">
        <v>10133</v>
      </c>
    </row>
    <row r="3744" spans="1:40" x14ac:dyDescent="0.35">
      <c r="A3744">
        <v>6978374</v>
      </c>
      <c r="B3744" t="s">
        <v>10134</v>
      </c>
      <c r="C3744" t="str">
        <f>"9783110479577"</f>
        <v>9783110479577</v>
      </c>
      <c r="D3744" t="str">
        <f>"9783110481112"</f>
        <v>9783110481112</v>
      </c>
      <c r="E3744" t="s">
        <v>415</v>
      </c>
      <c r="F3744" t="s">
        <v>415</v>
      </c>
      <c r="G3744" s="1">
        <v>44550</v>
      </c>
      <c r="H3744" s="1">
        <v>44722</v>
      </c>
      <c r="I3744" t="s">
        <v>189</v>
      </c>
      <c r="J3744">
        <v>1</v>
      </c>
      <c r="K3744" t="s">
        <v>2279</v>
      </c>
      <c r="L3744" t="s">
        <v>2280</v>
      </c>
    </row>
    <row r="3745" spans="1:40" x14ac:dyDescent="0.35">
      <c r="A3745">
        <v>6978376</v>
      </c>
      <c r="B3745" t="s">
        <v>10135</v>
      </c>
      <c r="C3745" t="str">
        <f>"9783110487343"</f>
        <v>9783110487343</v>
      </c>
      <c r="D3745" t="str">
        <f>"9783110492507"</f>
        <v>9783110492507</v>
      </c>
      <c r="E3745" t="s">
        <v>415</v>
      </c>
      <c r="F3745" t="s">
        <v>665</v>
      </c>
      <c r="G3745" s="1">
        <v>42851</v>
      </c>
      <c r="H3745" s="1">
        <v>44722</v>
      </c>
      <c r="I3745" t="s">
        <v>189</v>
      </c>
      <c r="J3745">
        <v>1</v>
      </c>
      <c r="L3745" t="s">
        <v>2586</v>
      </c>
      <c r="M3745" t="s">
        <v>239</v>
      </c>
    </row>
    <row r="3746" spans="1:40" x14ac:dyDescent="0.35">
      <c r="A3746">
        <v>6978377</v>
      </c>
      <c r="B3746" t="s">
        <v>10136</v>
      </c>
      <c r="C3746" t="str">
        <f>"9783110501346"</f>
        <v>9783110501346</v>
      </c>
      <c r="D3746" t="str">
        <f>"9783110516319"</f>
        <v>9783110516319</v>
      </c>
      <c r="E3746" t="s">
        <v>415</v>
      </c>
      <c r="F3746" t="s">
        <v>415</v>
      </c>
      <c r="G3746" s="1">
        <v>43178</v>
      </c>
      <c r="H3746" s="1">
        <v>44722</v>
      </c>
      <c r="I3746" t="s">
        <v>189</v>
      </c>
      <c r="J3746">
        <v>1</v>
      </c>
      <c r="K3746" t="s">
        <v>6797</v>
      </c>
      <c r="L3746" t="s">
        <v>10137</v>
      </c>
    </row>
    <row r="3747" spans="1:40" x14ac:dyDescent="0.35">
      <c r="A3747">
        <v>6978378</v>
      </c>
      <c r="B3747" t="s">
        <v>10138</v>
      </c>
      <c r="C3747" t="str">
        <f>"9783110496406"</f>
        <v>9783110496406</v>
      </c>
      <c r="D3747" t="str">
        <f>"9783110520521"</f>
        <v>9783110520521</v>
      </c>
      <c r="E3747" t="s">
        <v>346</v>
      </c>
      <c r="F3747" t="s">
        <v>346</v>
      </c>
      <c r="G3747" s="1">
        <v>43423</v>
      </c>
      <c r="H3747" s="1">
        <v>44725</v>
      </c>
      <c r="I3747" t="s">
        <v>189</v>
      </c>
      <c r="J3747">
        <v>1</v>
      </c>
      <c r="L3747" t="s">
        <v>10139</v>
      </c>
    </row>
    <row r="3748" spans="1:40" x14ac:dyDescent="0.35">
      <c r="A3748">
        <v>6978379</v>
      </c>
      <c r="B3748" t="s">
        <v>10140</v>
      </c>
      <c r="C3748" t="str">
        <f>"9783110518481"</f>
        <v>9783110518481</v>
      </c>
      <c r="D3748" t="str">
        <f>"9783110520965"</f>
        <v>9783110520965</v>
      </c>
      <c r="E3748" t="s">
        <v>415</v>
      </c>
      <c r="F3748" t="s">
        <v>665</v>
      </c>
      <c r="G3748" s="1">
        <v>43003</v>
      </c>
      <c r="H3748" s="1">
        <v>44722</v>
      </c>
      <c r="I3748" t="s">
        <v>189</v>
      </c>
      <c r="J3748">
        <v>1</v>
      </c>
      <c r="L3748" t="s">
        <v>10141</v>
      </c>
      <c r="M3748" t="s">
        <v>329</v>
      </c>
      <c r="O3748" t="s">
        <v>10142</v>
      </c>
      <c r="Q3748" t="s">
        <v>408</v>
      </c>
      <c r="R3748" t="s">
        <v>261</v>
      </c>
      <c r="S3748" t="s">
        <v>261</v>
      </c>
      <c r="T3748" t="s">
        <v>261</v>
      </c>
      <c r="U3748" t="s">
        <v>261</v>
      </c>
      <c r="V3748" t="s">
        <v>262</v>
      </c>
      <c r="W3748" t="s">
        <v>261</v>
      </c>
      <c r="X3748" t="s">
        <v>261</v>
      </c>
      <c r="Y3748" t="s">
        <v>261</v>
      </c>
      <c r="Z3748" t="s">
        <v>409</v>
      </c>
      <c r="AA3748" t="s">
        <v>409</v>
      </c>
      <c r="AB3748" t="s">
        <v>409</v>
      </c>
      <c r="AC3748" t="s">
        <v>409</v>
      </c>
      <c r="AD3748" t="s">
        <v>261</v>
      </c>
      <c r="AH3748" t="s">
        <v>262</v>
      </c>
      <c r="AI3748" t="s">
        <v>262</v>
      </c>
      <c r="AJ3748" t="s">
        <v>261</v>
      </c>
      <c r="AK3748" t="s">
        <v>261</v>
      </c>
      <c r="AM3748" t="s">
        <v>262</v>
      </c>
      <c r="AN3748" t="s">
        <v>10143</v>
      </c>
    </row>
    <row r="3749" spans="1:40" x14ac:dyDescent="0.35">
      <c r="A3749">
        <v>6978380</v>
      </c>
      <c r="B3749" t="s">
        <v>10144</v>
      </c>
      <c r="C3749" t="str">
        <f>"9783110522006"</f>
        <v>9783110522006</v>
      </c>
      <c r="D3749" t="str">
        <f>"9783110523300"</f>
        <v>9783110523300</v>
      </c>
      <c r="E3749" t="s">
        <v>415</v>
      </c>
      <c r="F3749" t="s">
        <v>415</v>
      </c>
      <c r="G3749" s="1">
        <v>43213</v>
      </c>
      <c r="H3749" s="1">
        <v>44722</v>
      </c>
      <c r="I3749" t="s">
        <v>189</v>
      </c>
      <c r="J3749">
        <v>1</v>
      </c>
      <c r="L3749" t="s">
        <v>3005</v>
      </c>
    </row>
    <row r="3750" spans="1:40" x14ac:dyDescent="0.35">
      <c r="A3750">
        <v>6978381</v>
      </c>
      <c r="B3750" t="s">
        <v>10145</v>
      </c>
      <c r="C3750" t="str">
        <f>"9783110487145"</f>
        <v>9783110487145</v>
      </c>
      <c r="D3750" t="str">
        <f>"9783110530797"</f>
        <v>9783110530797</v>
      </c>
      <c r="E3750" t="s">
        <v>415</v>
      </c>
      <c r="F3750" t="s">
        <v>415</v>
      </c>
      <c r="G3750" s="1">
        <v>43073</v>
      </c>
      <c r="H3750" s="1">
        <v>44722</v>
      </c>
      <c r="I3750" t="s">
        <v>189</v>
      </c>
      <c r="J3750">
        <v>1</v>
      </c>
      <c r="K3750" t="s">
        <v>3014</v>
      </c>
      <c r="L3750" t="s">
        <v>10146</v>
      </c>
      <c r="M3750" t="s">
        <v>389</v>
      </c>
      <c r="O3750" t="s">
        <v>10147</v>
      </c>
      <c r="Q3750" t="s">
        <v>260</v>
      </c>
      <c r="R3750" t="s">
        <v>261</v>
      </c>
      <c r="S3750" t="s">
        <v>261</v>
      </c>
      <c r="T3750" t="s">
        <v>261</v>
      </c>
      <c r="U3750" t="s">
        <v>261</v>
      </c>
      <c r="V3750" t="s">
        <v>262</v>
      </c>
      <c r="W3750" t="s">
        <v>261</v>
      </c>
      <c r="X3750" t="s">
        <v>261</v>
      </c>
      <c r="Y3750" t="s">
        <v>261</v>
      </c>
      <c r="Z3750" t="s">
        <v>409</v>
      </c>
      <c r="AA3750" t="s">
        <v>409</v>
      </c>
      <c r="AB3750" t="s">
        <v>409</v>
      </c>
      <c r="AC3750" t="s">
        <v>409</v>
      </c>
      <c r="AD3750" t="s">
        <v>261</v>
      </c>
      <c r="AH3750" t="s">
        <v>262</v>
      </c>
      <c r="AI3750" t="s">
        <v>262</v>
      </c>
      <c r="AJ3750" t="s">
        <v>261</v>
      </c>
      <c r="AK3750" t="s">
        <v>261</v>
      </c>
      <c r="AM3750" t="s">
        <v>262</v>
      </c>
      <c r="AN3750" t="s">
        <v>10148</v>
      </c>
    </row>
    <row r="3751" spans="1:40" x14ac:dyDescent="0.35">
      <c r="A3751">
        <v>6978383</v>
      </c>
      <c r="B3751" t="s">
        <v>10149</v>
      </c>
      <c r="C3751" t="str">
        <f>"9783110543094"</f>
        <v>9783110543094</v>
      </c>
      <c r="D3751" t="str">
        <f>"9783110543100"</f>
        <v>9783110543100</v>
      </c>
      <c r="E3751" t="s">
        <v>415</v>
      </c>
      <c r="F3751" t="s">
        <v>415</v>
      </c>
      <c r="G3751" s="1">
        <v>43087</v>
      </c>
      <c r="H3751" s="1">
        <v>44722</v>
      </c>
      <c r="I3751" t="s">
        <v>189</v>
      </c>
      <c r="J3751">
        <v>1</v>
      </c>
      <c r="K3751" t="s">
        <v>2442</v>
      </c>
      <c r="L3751" t="s">
        <v>10150</v>
      </c>
    </row>
    <row r="3752" spans="1:40" x14ac:dyDescent="0.35">
      <c r="A3752">
        <v>6978384</v>
      </c>
      <c r="B3752" t="s">
        <v>10151</v>
      </c>
      <c r="C3752" t="str">
        <f>"9783110543230"</f>
        <v>9783110543230</v>
      </c>
      <c r="D3752" t="str">
        <f>"9783110546231"</f>
        <v>9783110546231</v>
      </c>
      <c r="E3752" t="s">
        <v>415</v>
      </c>
      <c r="F3752" t="s">
        <v>415</v>
      </c>
      <c r="G3752" s="1">
        <v>42968</v>
      </c>
      <c r="H3752" s="1">
        <v>44722</v>
      </c>
      <c r="I3752" t="s">
        <v>189</v>
      </c>
      <c r="J3752">
        <v>1</v>
      </c>
      <c r="K3752" t="s">
        <v>10152</v>
      </c>
      <c r="L3752" t="s">
        <v>10153</v>
      </c>
      <c r="M3752" t="s">
        <v>219</v>
      </c>
      <c r="Q3752" t="s">
        <v>408</v>
      </c>
      <c r="R3752" t="s">
        <v>261</v>
      </c>
      <c r="S3752" t="s">
        <v>261</v>
      </c>
      <c r="T3752" t="s">
        <v>261</v>
      </c>
      <c r="U3752" t="s">
        <v>261</v>
      </c>
      <c r="V3752" t="s">
        <v>262</v>
      </c>
      <c r="W3752" t="s">
        <v>261</v>
      </c>
      <c r="X3752" t="s">
        <v>261</v>
      </c>
      <c r="Y3752" t="s">
        <v>261</v>
      </c>
      <c r="Z3752" t="s">
        <v>409</v>
      </c>
      <c r="AA3752" t="s">
        <v>409</v>
      </c>
      <c r="AB3752" t="s">
        <v>409</v>
      </c>
      <c r="AC3752" t="s">
        <v>409</v>
      </c>
      <c r="AD3752" t="s">
        <v>261</v>
      </c>
      <c r="AH3752" t="s">
        <v>262</v>
      </c>
      <c r="AI3752" t="s">
        <v>262</v>
      </c>
      <c r="AJ3752" t="s">
        <v>261</v>
      </c>
      <c r="AK3752" t="s">
        <v>261</v>
      </c>
      <c r="AM3752" t="s">
        <v>262</v>
      </c>
      <c r="AN3752" t="s">
        <v>10154</v>
      </c>
    </row>
    <row r="3753" spans="1:40" x14ac:dyDescent="0.35">
      <c r="A3753">
        <v>6978385</v>
      </c>
      <c r="B3753" t="s">
        <v>10155</v>
      </c>
      <c r="C3753" t="str">
        <f>"9783110554977"</f>
        <v>9783110554977</v>
      </c>
      <c r="D3753" t="str">
        <f>"9783110555080"</f>
        <v>9783110555080</v>
      </c>
      <c r="E3753" t="s">
        <v>415</v>
      </c>
      <c r="F3753" t="s">
        <v>415</v>
      </c>
      <c r="G3753" s="1">
        <v>43290</v>
      </c>
      <c r="H3753" s="1">
        <v>44722</v>
      </c>
      <c r="I3753" t="s">
        <v>189</v>
      </c>
      <c r="J3753">
        <v>1</v>
      </c>
      <c r="K3753" t="s">
        <v>3923</v>
      </c>
      <c r="L3753" t="s">
        <v>10156</v>
      </c>
      <c r="M3753" t="s">
        <v>339</v>
      </c>
      <c r="N3753" t="s">
        <v>10157</v>
      </c>
      <c r="O3753" t="s">
        <v>10158</v>
      </c>
      <c r="Q3753" t="s">
        <v>408</v>
      </c>
      <c r="R3753" t="s">
        <v>261</v>
      </c>
      <c r="S3753" t="s">
        <v>261</v>
      </c>
      <c r="T3753" t="s">
        <v>261</v>
      </c>
      <c r="U3753" t="s">
        <v>261</v>
      </c>
      <c r="V3753" t="s">
        <v>262</v>
      </c>
      <c r="W3753" t="s">
        <v>261</v>
      </c>
      <c r="X3753" t="s">
        <v>261</v>
      </c>
      <c r="Y3753" t="s">
        <v>261</v>
      </c>
      <c r="Z3753" t="s">
        <v>409</v>
      </c>
      <c r="AA3753" t="s">
        <v>409</v>
      </c>
      <c r="AB3753" t="s">
        <v>409</v>
      </c>
      <c r="AC3753" t="s">
        <v>409</v>
      </c>
      <c r="AD3753" t="s">
        <v>261</v>
      </c>
      <c r="AH3753" t="s">
        <v>262</v>
      </c>
      <c r="AI3753" t="s">
        <v>262</v>
      </c>
      <c r="AJ3753" t="s">
        <v>261</v>
      </c>
      <c r="AK3753" t="s">
        <v>261</v>
      </c>
      <c r="AM3753" t="s">
        <v>262</v>
      </c>
      <c r="AN3753" t="s">
        <v>10159</v>
      </c>
    </row>
    <row r="3754" spans="1:40" x14ac:dyDescent="0.35">
      <c r="A3754">
        <v>6978386</v>
      </c>
      <c r="B3754" t="s">
        <v>10160</v>
      </c>
      <c r="C3754" t="str">
        <f>"9783110556087"</f>
        <v>9783110556087</v>
      </c>
      <c r="D3754" t="str">
        <f>"9783110556094"</f>
        <v>9783110556094</v>
      </c>
      <c r="E3754" t="s">
        <v>415</v>
      </c>
      <c r="F3754" t="s">
        <v>415</v>
      </c>
      <c r="G3754" s="1">
        <v>43046</v>
      </c>
      <c r="H3754" s="1">
        <v>44722</v>
      </c>
      <c r="I3754" t="s">
        <v>189</v>
      </c>
      <c r="J3754">
        <v>1</v>
      </c>
      <c r="L3754" t="s">
        <v>48</v>
      </c>
      <c r="M3754" t="s">
        <v>219</v>
      </c>
      <c r="Q3754" t="s">
        <v>260</v>
      </c>
      <c r="R3754" t="s">
        <v>261</v>
      </c>
      <c r="S3754" t="s">
        <v>261</v>
      </c>
      <c r="T3754" t="s">
        <v>261</v>
      </c>
      <c r="U3754" t="s">
        <v>261</v>
      </c>
      <c r="V3754" t="s">
        <v>262</v>
      </c>
      <c r="W3754" t="s">
        <v>261</v>
      </c>
      <c r="X3754" t="s">
        <v>261</v>
      </c>
      <c r="Y3754" t="s">
        <v>261</v>
      </c>
      <c r="Z3754" t="s">
        <v>409</v>
      </c>
      <c r="AA3754" t="s">
        <v>409</v>
      </c>
      <c r="AB3754" t="s">
        <v>409</v>
      </c>
      <c r="AC3754" t="s">
        <v>409</v>
      </c>
      <c r="AD3754" t="s">
        <v>261</v>
      </c>
      <c r="AH3754" t="s">
        <v>262</v>
      </c>
      <c r="AI3754" t="s">
        <v>262</v>
      </c>
      <c r="AJ3754" t="s">
        <v>261</v>
      </c>
      <c r="AK3754" t="s">
        <v>261</v>
      </c>
      <c r="AM3754" t="s">
        <v>262</v>
      </c>
      <c r="AN3754" t="s">
        <v>10161</v>
      </c>
    </row>
    <row r="3755" spans="1:40" x14ac:dyDescent="0.35">
      <c r="A3755">
        <v>6978387</v>
      </c>
      <c r="B3755" t="s">
        <v>10162</v>
      </c>
      <c r="C3755" t="str">
        <f>"9783110553161"</f>
        <v>9783110553161</v>
      </c>
      <c r="D3755" t="str">
        <f>"9783110557176"</f>
        <v>9783110557176</v>
      </c>
      <c r="E3755" t="s">
        <v>415</v>
      </c>
      <c r="F3755" t="s">
        <v>415</v>
      </c>
      <c r="G3755" s="1">
        <v>44095</v>
      </c>
      <c r="H3755" s="1">
        <v>44722</v>
      </c>
      <c r="I3755" t="s">
        <v>189</v>
      </c>
      <c r="J3755">
        <v>1</v>
      </c>
      <c r="K3755" t="s">
        <v>6654</v>
      </c>
      <c r="L3755" t="s">
        <v>10163</v>
      </c>
    </row>
    <row r="3756" spans="1:40" x14ac:dyDescent="0.35">
      <c r="A3756">
        <v>6978388</v>
      </c>
      <c r="B3756" t="s">
        <v>10164</v>
      </c>
      <c r="C3756" t="str">
        <f>"9783110557909"</f>
        <v>9783110557909</v>
      </c>
      <c r="D3756" t="str">
        <f>"9783110557862"</f>
        <v>9783110557862</v>
      </c>
      <c r="E3756" t="s">
        <v>415</v>
      </c>
      <c r="F3756" t="s">
        <v>415</v>
      </c>
      <c r="G3756" s="1">
        <v>43046</v>
      </c>
      <c r="H3756" s="1">
        <v>44722</v>
      </c>
      <c r="I3756" t="s">
        <v>189</v>
      </c>
      <c r="J3756">
        <v>1</v>
      </c>
      <c r="K3756" t="s">
        <v>2489</v>
      </c>
      <c r="L3756" t="s">
        <v>10165</v>
      </c>
      <c r="M3756" t="s">
        <v>676</v>
      </c>
      <c r="Q3756" t="s">
        <v>408</v>
      </c>
      <c r="R3756" t="s">
        <v>261</v>
      </c>
      <c r="S3756" t="s">
        <v>261</v>
      </c>
      <c r="T3756" t="s">
        <v>261</v>
      </c>
      <c r="U3756" t="s">
        <v>261</v>
      </c>
      <c r="V3756" t="s">
        <v>262</v>
      </c>
      <c r="W3756" t="s">
        <v>261</v>
      </c>
      <c r="X3756" t="s">
        <v>261</v>
      </c>
      <c r="Y3756" t="s">
        <v>261</v>
      </c>
      <c r="Z3756" t="s">
        <v>409</v>
      </c>
      <c r="AA3756" t="s">
        <v>409</v>
      </c>
      <c r="AB3756" t="s">
        <v>409</v>
      </c>
      <c r="AC3756" t="s">
        <v>409</v>
      </c>
      <c r="AD3756" t="s">
        <v>261</v>
      </c>
      <c r="AH3756" t="s">
        <v>262</v>
      </c>
      <c r="AI3756" t="s">
        <v>262</v>
      </c>
      <c r="AJ3756" t="s">
        <v>261</v>
      </c>
      <c r="AK3756" t="s">
        <v>261</v>
      </c>
      <c r="AM3756" t="s">
        <v>262</v>
      </c>
      <c r="AN3756" t="s">
        <v>10166</v>
      </c>
    </row>
    <row r="3757" spans="1:40" x14ac:dyDescent="0.35">
      <c r="A3757">
        <v>6978389</v>
      </c>
      <c r="B3757" t="s">
        <v>10167</v>
      </c>
      <c r="C3757" t="str">
        <f>"9783110575606"</f>
        <v>9783110575606</v>
      </c>
      <c r="D3757" t="str">
        <f>"9783110577686"</f>
        <v>9783110577686</v>
      </c>
      <c r="E3757" t="s">
        <v>415</v>
      </c>
      <c r="F3757" t="s">
        <v>415</v>
      </c>
      <c r="G3757" s="1">
        <v>43451</v>
      </c>
      <c r="H3757" s="1">
        <v>44725</v>
      </c>
      <c r="I3757" t="s">
        <v>189</v>
      </c>
      <c r="J3757">
        <v>1</v>
      </c>
      <c r="L3757" t="s">
        <v>3090</v>
      </c>
      <c r="M3757" t="s">
        <v>389</v>
      </c>
      <c r="Q3757" t="s">
        <v>260</v>
      </c>
      <c r="R3757" t="s">
        <v>261</v>
      </c>
      <c r="S3757" t="s">
        <v>261</v>
      </c>
      <c r="T3757" t="s">
        <v>261</v>
      </c>
      <c r="U3757" t="s">
        <v>261</v>
      </c>
      <c r="V3757" t="s">
        <v>262</v>
      </c>
      <c r="W3757" t="s">
        <v>261</v>
      </c>
      <c r="X3757" t="s">
        <v>261</v>
      </c>
      <c r="Y3757" t="s">
        <v>261</v>
      </c>
      <c r="Z3757" t="s">
        <v>409</v>
      </c>
      <c r="AA3757" t="s">
        <v>409</v>
      </c>
      <c r="AB3757" t="s">
        <v>409</v>
      </c>
      <c r="AC3757" t="s">
        <v>409</v>
      </c>
      <c r="AD3757" t="s">
        <v>261</v>
      </c>
      <c r="AH3757" t="s">
        <v>262</v>
      </c>
      <c r="AI3757" t="s">
        <v>262</v>
      </c>
      <c r="AJ3757" t="s">
        <v>261</v>
      </c>
      <c r="AK3757" t="s">
        <v>261</v>
      </c>
      <c r="AM3757" t="s">
        <v>262</v>
      </c>
      <c r="AN3757" t="s">
        <v>10168</v>
      </c>
    </row>
    <row r="3758" spans="1:40" x14ac:dyDescent="0.35">
      <c r="A3758">
        <v>6978390</v>
      </c>
      <c r="B3758" t="s">
        <v>10169</v>
      </c>
      <c r="C3758" t="str">
        <f>"9783110578423"</f>
        <v>9783110578423</v>
      </c>
      <c r="D3758" t="str">
        <f>"9783110581546"</f>
        <v>9783110581546</v>
      </c>
      <c r="E3758" t="s">
        <v>415</v>
      </c>
      <c r="F3758" t="s">
        <v>665</v>
      </c>
      <c r="G3758" s="1">
        <v>43437</v>
      </c>
      <c r="H3758" s="1">
        <v>44722</v>
      </c>
      <c r="I3758" t="s">
        <v>189</v>
      </c>
      <c r="J3758">
        <v>1</v>
      </c>
      <c r="K3758" t="s">
        <v>10170</v>
      </c>
      <c r="L3758" t="s">
        <v>10171</v>
      </c>
      <c r="M3758" t="s">
        <v>329</v>
      </c>
      <c r="O3758" t="s">
        <v>10172</v>
      </c>
      <c r="Q3758" t="s">
        <v>260</v>
      </c>
      <c r="R3758" t="s">
        <v>261</v>
      </c>
      <c r="S3758" t="s">
        <v>261</v>
      </c>
      <c r="T3758" t="s">
        <v>261</v>
      </c>
      <c r="U3758" t="s">
        <v>261</v>
      </c>
      <c r="V3758" t="s">
        <v>262</v>
      </c>
      <c r="W3758" t="s">
        <v>261</v>
      </c>
      <c r="X3758" t="s">
        <v>261</v>
      </c>
      <c r="Y3758" t="s">
        <v>261</v>
      </c>
      <c r="Z3758" t="s">
        <v>409</v>
      </c>
      <c r="AA3758" t="s">
        <v>409</v>
      </c>
      <c r="AB3758" t="s">
        <v>409</v>
      </c>
      <c r="AC3758" t="s">
        <v>409</v>
      </c>
      <c r="AD3758" t="s">
        <v>261</v>
      </c>
      <c r="AH3758" t="s">
        <v>262</v>
      </c>
      <c r="AI3758" t="s">
        <v>262</v>
      </c>
      <c r="AJ3758" t="s">
        <v>261</v>
      </c>
      <c r="AK3758" t="s">
        <v>261</v>
      </c>
      <c r="AM3758" t="s">
        <v>262</v>
      </c>
      <c r="AN3758" t="s">
        <v>10173</v>
      </c>
    </row>
    <row r="3759" spans="1:40" x14ac:dyDescent="0.35">
      <c r="A3759">
        <v>6978420</v>
      </c>
      <c r="B3759" t="s">
        <v>10174</v>
      </c>
      <c r="C3759" t="str">
        <f>"9783486575613"</f>
        <v>9783486575613</v>
      </c>
      <c r="D3759" t="str">
        <f>"9783486835700"</f>
        <v>9783486835700</v>
      </c>
      <c r="E3759" t="s">
        <v>415</v>
      </c>
      <c r="F3759" t="s">
        <v>665</v>
      </c>
      <c r="G3759" s="1">
        <v>38287</v>
      </c>
      <c r="H3759" s="1">
        <v>44722</v>
      </c>
      <c r="I3759" t="s">
        <v>189</v>
      </c>
      <c r="J3759">
        <v>1</v>
      </c>
      <c r="K3759" t="s">
        <v>997</v>
      </c>
      <c r="L3759" t="s">
        <v>10175</v>
      </c>
      <c r="M3759" t="s">
        <v>239</v>
      </c>
      <c r="Q3759" t="s">
        <v>408</v>
      </c>
      <c r="R3759" t="s">
        <v>261</v>
      </c>
      <c r="S3759" t="s">
        <v>261</v>
      </c>
      <c r="T3759" t="s">
        <v>261</v>
      </c>
      <c r="U3759" t="s">
        <v>261</v>
      </c>
      <c r="V3759" t="s">
        <v>262</v>
      </c>
      <c r="W3759" t="s">
        <v>261</v>
      </c>
      <c r="X3759" t="s">
        <v>261</v>
      </c>
      <c r="Y3759" t="s">
        <v>261</v>
      </c>
      <c r="Z3759" t="s">
        <v>409</v>
      </c>
      <c r="AA3759" t="s">
        <v>409</v>
      </c>
      <c r="AB3759" t="s">
        <v>409</v>
      </c>
      <c r="AC3759" t="s">
        <v>409</v>
      </c>
      <c r="AD3759" t="s">
        <v>261</v>
      </c>
      <c r="AH3759" t="s">
        <v>262</v>
      </c>
      <c r="AI3759" t="s">
        <v>262</v>
      </c>
      <c r="AJ3759" t="s">
        <v>261</v>
      </c>
      <c r="AK3759" t="s">
        <v>261</v>
      </c>
      <c r="AM3759" t="s">
        <v>262</v>
      </c>
      <c r="AN3759" t="s">
        <v>10176</v>
      </c>
    </row>
    <row r="3760" spans="1:40" x14ac:dyDescent="0.35">
      <c r="A3760">
        <v>6983584</v>
      </c>
      <c r="B3760" t="s">
        <v>10177</v>
      </c>
      <c r="C3760" t="str">
        <f>"9780520381711"</f>
        <v>9780520381711</v>
      </c>
      <c r="D3760" t="str">
        <f>"9780520381728"</f>
        <v>9780520381728</v>
      </c>
      <c r="E3760" t="s">
        <v>8988</v>
      </c>
      <c r="F3760" t="s">
        <v>8988</v>
      </c>
      <c r="G3760" s="1">
        <v>44348</v>
      </c>
      <c r="H3760" s="1">
        <v>44698</v>
      </c>
      <c r="I3760" t="s">
        <v>189</v>
      </c>
      <c r="J3760">
        <v>1</v>
      </c>
      <c r="K3760" t="s">
        <v>8997</v>
      </c>
      <c r="L3760" t="s">
        <v>10178</v>
      </c>
      <c r="M3760" t="s">
        <v>329</v>
      </c>
      <c r="O3760" s="2">
        <v>30644952</v>
      </c>
      <c r="Q3760" t="s">
        <v>260</v>
      </c>
      <c r="R3760" t="s">
        <v>261</v>
      </c>
      <c r="S3760" t="s">
        <v>261</v>
      </c>
      <c r="T3760" t="s">
        <v>261</v>
      </c>
      <c r="U3760" t="s">
        <v>261</v>
      </c>
      <c r="V3760" t="s">
        <v>262</v>
      </c>
      <c r="W3760" t="s">
        <v>261</v>
      </c>
      <c r="X3760" t="s">
        <v>261</v>
      </c>
      <c r="Y3760" t="s">
        <v>261</v>
      </c>
      <c r="Z3760" t="s">
        <v>409</v>
      </c>
      <c r="AA3760" t="s">
        <v>409</v>
      </c>
      <c r="AB3760" t="s">
        <v>409</v>
      </c>
      <c r="AC3760" t="s">
        <v>409</v>
      </c>
      <c r="AD3760" t="s">
        <v>261</v>
      </c>
      <c r="AH3760" t="s">
        <v>262</v>
      </c>
      <c r="AI3760" t="s">
        <v>262</v>
      </c>
      <c r="AJ3760" t="s">
        <v>261</v>
      </c>
      <c r="AK3760" t="s">
        <v>261</v>
      </c>
      <c r="AM3760" t="s">
        <v>262</v>
      </c>
      <c r="AN3760" t="s">
        <v>10179</v>
      </c>
    </row>
    <row r="3761" spans="1:40" x14ac:dyDescent="0.35">
      <c r="A3761">
        <v>6983637</v>
      </c>
      <c r="B3761" t="s">
        <v>10180</v>
      </c>
      <c r="C3761" t="str">
        <f>"9780520299320"</f>
        <v>9780520299320</v>
      </c>
      <c r="D3761" t="str">
        <f>"9780520971103"</f>
        <v>9780520971103</v>
      </c>
      <c r="E3761" t="s">
        <v>8988</v>
      </c>
      <c r="F3761" t="s">
        <v>8988</v>
      </c>
      <c r="G3761" s="1">
        <v>43658</v>
      </c>
      <c r="H3761" s="1">
        <v>44698</v>
      </c>
      <c r="I3761" t="s">
        <v>189</v>
      </c>
      <c r="J3761">
        <v>1</v>
      </c>
      <c r="L3761" t="s">
        <v>10181</v>
      </c>
    </row>
    <row r="3762" spans="1:40" x14ac:dyDescent="0.35">
      <c r="A3762">
        <v>6983699</v>
      </c>
      <c r="B3762" t="s">
        <v>10182</v>
      </c>
      <c r="C3762" t="str">
        <f>"9780520296985"</f>
        <v>9780520296985</v>
      </c>
      <c r="D3762" t="str">
        <f>"9780520969513"</f>
        <v>9780520969513</v>
      </c>
      <c r="E3762" t="s">
        <v>8988</v>
      </c>
      <c r="F3762" t="s">
        <v>8988</v>
      </c>
      <c r="G3762" s="1">
        <v>43774</v>
      </c>
      <c r="H3762" s="1">
        <v>44698</v>
      </c>
      <c r="I3762" t="s">
        <v>189</v>
      </c>
      <c r="J3762">
        <v>1</v>
      </c>
      <c r="L3762" t="s">
        <v>10183</v>
      </c>
    </row>
    <row r="3763" spans="1:40" x14ac:dyDescent="0.35">
      <c r="A3763">
        <v>6983801</v>
      </c>
      <c r="B3763" t="s">
        <v>10184</v>
      </c>
      <c r="C3763" t="str">
        <f>"9780520301368"</f>
        <v>9780520301368</v>
      </c>
      <c r="D3763" t="str">
        <f>"9780520972179"</f>
        <v>9780520972179</v>
      </c>
      <c r="E3763" t="s">
        <v>8988</v>
      </c>
      <c r="F3763" t="s">
        <v>8988</v>
      </c>
      <c r="G3763" s="1">
        <v>43480</v>
      </c>
      <c r="H3763" s="1">
        <v>44698</v>
      </c>
      <c r="I3763" t="s">
        <v>189</v>
      </c>
      <c r="J3763">
        <v>1</v>
      </c>
      <c r="K3763" t="s">
        <v>10185</v>
      </c>
      <c r="L3763" t="s">
        <v>10186</v>
      </c>
      <c r="M3763" t="s">
        <v>329</v>
      </c>
      <c r="O3763" t="s">
        <v>10187</v>
      </c>
      <c r="Q3763" t="s">
        <v>260</v>
      </c>
      <c r="R3763" t="s">
        <v>261</v>
      </c>
      <c r="S3763" t="s">
        <v>261</v>
      </c>
      <c r="T3763" t="s">
        <v>261</v>
      </c>
      <c r="U3763" t="s">
        <v>261</v>
      </c>
      <c r="V3763" t="s">
        <v>262</v>
      </c>
      <c r="W3763" t="s">
        <v>261</v>
      </c>
      <c r="X3763" t="s">
        <v>261</v>
      </c>
      <c r="Y3763" t="s">
        <v>261</v>
      </c>
      <c r="Z3763" t="s">
        <v>409</v>
      </c>
      <c r="AA3763" t="s">
        <v>409</v>
      </c>
      <c r="AB3763" t="s">
        <v>409</v>
      </c>
      <c r="AC3763" t="s">
        <v>409</v>
      </c>
      <c r="AD3763" t="s">
        <v>261</v>
      </c>
      <c r="AH3763" t="s">
        <v>262</v>
      </c>
      <c r="AI3763" t="s">
        <v>262</v>
      </c>
      <c r="AJ3763" t="s">
        <v>261</v>
      </c>
      <c r="AK3763" t="s">
        <v>261</v>
      </c>
      <c r="AM3763" t="s">
        <v>262</v>
      </c>
      <c r="AN3763" t="s">
        <v>10188</v>
      </c>
    </row>
    <row r="3764" spans="1:40" x14ac:dyDescent="0.35">
      <c r="A3764">
        <v>6983899</v>
      </c>
      <c r="B3764" t="s">
        <v>10189</v>
      </c>
      <c r="C3764" t="str">
        <f>"9780520307056"</f>
        <v>9780520307056</v>
      </c>
      <c r="D3764" t="str">
        <f>"9780520973749"</f>
        <v>9780520973749</v>
      </c>
      <c r="E3764" t="s">
        <v>8988</v>
      </c>
      <c r="F3764" t="s">
        <v>8988</v>
      </c>
      <c r="G3764" s="1">
        <v>43683</v>
      </c>
      <c r="H3764" s="1">
        <v>44698</v>
      </c>
      <c r="I3764" t="s">
        <v>189</v>
      </c>
      <c r="J3764">
        <v>1</v>
      </c>
      <c r="L3764" t="s">
        <v>10190</v>
      </c>
      <c r="M3764" t="s">
        <v>389</v>
      </c>
      <c r="O3764" s="2">
        <v>294509034</v>
      </c>
      <c r="Q3764" t="s">
        <v>260</v>
      </c>
      <c r="R3764" t="s">
        <v>261</v>
      </c>
      <c r="S3764" t="s">
        <v>261</v>
      </c>
      <c r="T3764" t="s">
        <v>261</v>
      </c>
      <c r="U3764" t="s">
        <v>261</v>
      </c>
      <c r="V3764" t="s">
        <v>262</v>
      </c>
      <c r="W3764" t="s">
        <v>261</v>
      </c>
      <c r="X3764" t="s">
        <v>261</v>
      </c>
      <c r="Y3764" t="s">
        <v>261</v>
      </c>
      <c r="Z3764" t="s">
        <v>409</v>
      </c>
      <c r="AA3764" t="s">
        <v>409</v>
      </c>
      <c r="AB3764" t="s">
        <v>409</v>
      </c>
      <c r="AC3764" t="s">
        <v>409</v>
      </c>
      <c r="AD3764" t="s">
        <v>261</v>
      </c>
      <c r="AH3764" t="s">
        <v>262</v>
      </c>
      <c r="AI3764" t="s">
        <v>262</v>
      </c>
      <c r="AJ3764" t="s">
        <v>261</v>
      </c>
      <c r="AK3764" t="s">
        <v>261</v>
      </c>
      <c r="AM3764" t="s">
        <v>262</v>
      </c>
      <c r="AN3764" t="s">
        <v>10191</v>
      </c>
    </row>
    <row r="3765" spans="1:40" x14ac:dyDescent="0.35">
      <c r="A3765">
        <v>6983941</v>
      </c>
      <c r="B3765" t="s">
        <v>10192</v>
      </c>
      <c r="C3765" t="str">
        <f>"9780520300934"</f>
        <v>9780520300934</v>
      </c>
      <c r="D3765" t="str">
        <f>"9780520972117"</f>
        <v>9780520972117</v>
      </c>
      <c r="E3765" t="s">
        <v>8988</v>
      </c>
      <c r="F3765" t="s">
        <v>8988</v>
      </c>
      <c r="G3765" s="1">
        <v>43767</v>
      </c>
      <c r="H3765" s="1">
        <v>44698</v>
      </c>
      <c r="I3765" t="s">
        <v>189</v>
      </c>
      <c r="J3765">
        <v>1</v>
      </c>
      <c r="L3765" t="s">
        <v>10193</v>
      </c>
      <c r="M3765" t="s">
        <v>329</v>
      </c>
      <c r="O3765" s="2">
        <v>3022310973</v>
      </c>
      <c r="Q3765" t="s">
        <v>260</v>
      </c>
      <c r="R3765" t="s">
        <v>261</v>
      </c>
      <c r="S3765" t="s">
        <v>261</v>
      </c>
      <c r="T3765" t="s">
        <v>261</v>
      </c>
      <c r="U3765" t="s">
        <v>261</v>
      </c>
      <c r="V3765" t="s">
        <v>262</v>
      </c>
      <c r="W3765" t="s">
        <v>261</v>
      </c>
      <c r="X3765" t="s">
        <v>261</v>
      </c>
      <c r="Y3765" t="s">
        <v>261</v>
      </c>
      <c r="Z3765" t="s">
        <v>409</v>
      </c>
      <c r="AA3765" t="s">
        <v>409</v>
      </c>
      <c r="AB3765" t="s">
        <v>409</v>
      </c>
      <c r="AC3765" t="s">
        <v>409</v>
      </c>
      <c r="AD3765" t="s">
        <v>261</v>
      </c>
      <c r="AH3765" t="s">
        <v>262</v>
      </c>
      <c r="AI3765" t="s">
        <v>262</v>
      </c>
      <c r="AJ3765" t="s">
        <v>261</v>
      </c>
      <c r="AK3765" t="s">
        <v>261</v>
      </c>
      <c r="AM3765" t="s">
        <v>262</v>
      </c>
      <c r="AN3765" t="s">
        <v>10194</v>
      </c>
    </row>
    <row r="3766" spans="1:40" x14ac:dyDescent="0.35">
      <c r="A3766">
        <v>6983961</v>
      </c>
      <c r="B3766" t="s">
        <v>10195</v>
      </c>
      <c r="C3766" t="str">
        <f>"9780520299436"</f>
        <v>9780520299436</v>
      </c>
      <c r="D3766" t="str">
        <f>"9780520971158"</f>
        <v>9780520971158</v>
      </c>
      <c r="E3766" t="s">
        <v>8988</v>
      </c>
      <c r="F3766" t="s">
        <v>8988</v>
      </c>
      <c r="G3766" s="1">
        <v>43585</v>
      </c>
      <c r="H3766" s="1">
        <v>44698</v>
      </c>
      <c r="I3766" t="s">
        <v>189</v>
      </c>
      <c r="J3766">
        <v>1</v>
      </c>
      <c r="L3766" t="s">
        <v>10196</v>
      </c>
      <c r="M3766" t="s">
        <v>239</v>
      </c>
      <c r="Q3766" t="s">
        <v>260</v>
      </c>
      <c r="R3766" t="s">
        <v>261</v>
      </c>
      <c r="S3766" t="s">
        <v>261</v>
      </c>
      <c r="T3766" t="s">
        <v>261</v>
      </c>
      <c r="U3766" t="s">
        <v>261</v>
      </c>
      <c r="V3766" t="s">
        <v>262</v>
      </c>
      <c r="W3766" t="s">
        <v>261</v>
      </c>
      <c r="X3766" t="s">
        <v>261</v>
      </c>
      <c r="Y3766" t="s">
        <v>261</v>
      </c>
      <c r="Z3766" t="s">
        <v>409</v>
      </c>
      <c r="AA3766" t="s">
        <v>409</v>
      </c>
      <c r="AB3766" t="s">
        <v>409</v>
      </c>
      <c r="AC3766" t="s">
        <v>409</v>
      </c>
      <c r="AD3766" t="s">
        <v>261</v>
      </c>
      <c r="AH3766" t="s">
        <v>262</v>
      </c>
      <c r="AI3766" t="s">
        <v>262</v>
      </c>
      <c r="AJ3766" t="s">
        <v>261</v>
      </c>
      <c r="AK3766" t="s">
        <v>261</v>
      </c>
      <c r="AM3766" t="s">
        <v>262</v>
      </c>
      <c r="AN3766" t="s">
        <v>10197</v>
      </c>
    </row>
    <row r="3767" spans="1:40" x14ac:dyDescent="0.35">
      <c r="A3767">
        <v>6984006</v>
      </c>
      <c r="B3767" t="s">
        <v>10198</v>
      </c>
      <c r="C3767" t="str">
        <f>"9780520303621"</f>
        <v>9780520303621</v>
      </c>
      <c r="D3767" t="str">
        <f>"9780520972773"</f>
        <v>9780520972773</v>
      </c>
      <c r="E3767" t="s">
        <v>8988</v>
      </c>
      <c r="F3767" t="s">
        <v>8988</v>
      </c>
      <c r="G3767" s="1">
        <v>43592</v>
      </c>
      <c r="H3767" s="1">
        <v>44698</v>
      </c>
      <c r="I3767" t="s">
        <v>189</v>
      </c>
      <c r="J3767">
        <v>1</v>
      </c>
      <c r="L3767" t="s">
        <v>10199</v>
      </c>
      <c r="M3767" t="s">
        <v>578</v>
      </c>
      <c r="O3767" s="2">
        <v>791433409</v>
      </c>
      <c r="Q3767" t="s">
        <v>260</v>
      </c>
      <c r="R3767" t="s">
        <v>261</v>
      </c>
      <c r="S3767" t="s">
        <v>261</v>
      </c>
      <c r="T3767" t="s">
        <v>261</v>
      </c>
      <c r="U3767" t="s">
        <v>261</v>
      </c>
      <c r="V3767" t="s">
        <v>262</v>
      </c>
      <c r="W3767" t="s">
        <v>261</v>
      </c>
      <c r="X3767" t="s">
        <v>261</v>
      </c>
      <c r="Y3767" t="s">
        <v>261</v>
      </c>
      <c r="Z3767" t="s">
        <v>409</v>
      </c>
      <c r="AA3767" t="s">
        <v>409</v>
      </c>
      <c r="AB3767" t="s">
        <v>409</v>
      </c>
      <c r="AC3767" t="s">
        <v>409</v>
      </c>
      <c r="AD3767" t="s">
        <v>261</v>
      </c>
      <c r="AH3767" t="s">
        <v>262</v>
      </c>
      <c r="AI3767" t="s">
        <v>262</v>
      </c>
      <c r="AJ3767" t="s">
        <v>261</v>
      </c>
      <c r="AK3767" t="s">
        <v>261</v>
      </c>
      <c r="AM3767" t="s">
        <v>262</v>
      </c>
      <c r="AN3767" t="s">
        <v>10200</v>
      </c>
    </row>
    <row r="3768" spans="1:40" x14ac:dyDescent="0.35">
      <c r="A3768">
        <v>6984059</v>
      </c>
      <c r="B3768" t="s">
        <v>10201</v>
      </c>
      <c r="C3768" t="str">
        <f>"9780520316089"</f>
        <v>9780520316089</v>
      </c>
      <c r="D3768" t="str">
        <f>"9780520974135"</f>
        <v>9780520974135</v>
      </c>
      <c r="E3768" t="s">
        <v>8988</v>
      </c>
      <c r="F3768" t="s">
        <v>8988</v>
      </c>
      <c r="G3768" s="1">
        <v>43725</v>
      </c>
      <c r="H3768" s="1">
        <v>44698</v>
      </c>
      <c r="I3768" t="s">
        <v>189</v>
      </c>
      <c r="J3768">
        <v>1</v>
      </c>
      <c r="L3768" t="s">
        <v>10202</v>
      </c>
    </row>
    <row r="3769" spans="1:40" x14ac:dyDescent="0.35">
      <c r="A3769">
        <v>6984146</v>
      </c>
      <c r="B3769" t="s">
        <v>10203</v>
      </c>
      <c r="C3769" t="str">
        <f>"9780520300804"</f>
        <v>9780520300804</v>
      </c>
      <c r="D3769" t="str">
        <f>"9780520972032"</f>
        <v>9780520972032</v>
      </c>
      <c r="E3769" t="s">
        <v>8988</v>
      </c>
      <c r="F3769" t="s">
        <v>8988</v>
      </c>
      <c r="G3769" s="1">
        <v>43802</v>
      </c>
      <c r="H3769" s="1">
        <v>44698</v>
      </c>
      <c r="I3769" t="s">
        <v>189</v>
      </c>
      <c r="J3769">
        <v>1</v>
      </c>
      <c r="L3769" t="s">
        <v>10204</v>
      </c>
      <c r="M3769" t="s">
        <v>578</v>
      </c>
      <c r="O3769" s="2">
        <v>780955</v>
      </c>
      <c r="Q3769" t="s">
        <v>260</v>
      </c>
      <c r="R3769" t="s">
        <v>261</v>
      </c>
      <c r="S3769" t="s">
        <v>261</v>
      </c>
      <c r="T3769" t="s">
        <v>261</v>
      </c>
      <c r="U3769" t="s">
        <v>261</v>
      </c>
      <c r="V3769" t="s">
        <v>262</v>
      </c>
      <c r="W3769" t="s">
        <v>261</v>
      </c>
      <c r="X3769" t="s">
        <v>261</v>
      </c>
      <c r="Y3769" t="s">
        <v>261</v>
      </c>
      <c r="Z3769" t="s">
        <v>409</v>
      </c>
      <c r="AA3769" t="s">
        <v>409</v>
      </c>
      <c r="AB3769" t="s">
        <v>409</v>
      </c>
      <c r="AC3769" t="s">
        <v>409</v>
      </c>
      <c r="AD3769" t="s">
        <v>261</v>
      </c>
      <c r="AH3769" t="s">
        <v>262</v>
      </c>
      <c r="AI3769" t="s">
        <v>262</v>
      </c>
      <c r="AJ3769" t="s">
        <v>261</v>
      </c>
      <c r="AK3769" t="s">
        <v>261</v>
      </c>
      <c r="AM3769" t="s">
        <v>262</v>
      </c>
      <c r="AN3769" t="s">
        <v>10205</v>
      </c>
    </row>
    <row r="3770" spans="1:40" x14ac:dyDescent="0.35">
      <c r="A3770">
        <v>6984221</v>
      </c>
      <c r="B3770" t="s">
        <v>10206</v>
      </c>
      <c r="C3770" t="str">
        <f>"9780520303690"</f>
        <v>9780520303690</v>
      </c>
      <c r="D3770" t="str">
        <f>"9780520972827"</f>
        <v>9780520972827</v>
      </c>
      <c r="E3770" t="s">
        <v>8988</v>
      </c>
      <c r="F3770" t="s">
        <v>8988</v>
      </c>
      <c r="G3770" s="1">
        <v>43585</v>
      </c>
      <c r="H3770" s="1">
        <v>44698</v>
      </c>
      <c r="I3770" t="s">
        <v>189</v>
      </c>
      <c r="J3770">
        <v>1</v>
      </c>
      <c r="L3770" t="s">
        <v>10207</v>
      </c>
      <c r="M3770" t="s">
        <v>329</v>
      </c>
      <c r="O3770" s="2">
        <v>30555095109045</v>
      </c>
      <c r="Q3770" t="s">
        <v>260</v>
      </c>
      <c r="R3770" t="s">
        <v>261</v>
      </c>
      <c r="S3770" t="s">
        <v>261</v>
      </c>
      <c r="T3770" t="s">
        <v>261</v>
      </c>
      <c r="U3770" t="s">
        <v>261</v>
      </c>
      <c r="V3770" t="s">
        <v>262</v>
      </c>
      <c r="W3770" t="s">
        <v>261</v>
      </c>
      <c r="X3770" t="s">
        <v>261</v>
      </c>
      <c r="Y3770" t="s">
        <v>261</v>
      </c>
      <c r="Z3770" t="s">
        <v>409</v>
      </c>
      <c r="AA3770" t="s">
        <v>409</v>
      </c>
      <c r="AB3770" t="s">
        <v>409</v>
      </c>
      <c r="AC3770" t="s">
        <v>409</v>
      </c>
      <c r="AD3770" t="s">
        <v>261</v>
      </c>
      <c r="AH3770" t="s">
        <v>262</v>
      </c>
      <c r="AI3770" t="s">
        <v>262</v>
      </c>
      <c r="AJ3770" t="s">
        <v>261</v>
      </c>
      <c r="AK3770" t="s">
        <v>261</v>
      </c>
      <c r="AM3770" t="s">
        <v>262</v>
      </c>
      <c r="AN3770" t="s">
        <v>10208</v>
      </c>
    </row>
    <row r="3771" spans="1:40" x14ac:dyDescent="0.35">
      <c r="A3771">
        <v>6984226</v>
      </c>
      <c r="B3771" t="s">
        <v>10209</v>
      </c>
      <c r="C3771" t="str">
        <f>"9780520298996"</f>
        <v>9780520298996</v>
      </c>
      <c r="D3771" t="str">
        <f>"9780520970922"</f>
        <v>9780520970922</v>
      </c>
      <c r="E3771" t="s">
        <v>8988</v>
      </c>
      <c r="F3771" t="s">
        <v>8988</v>
      </c>
      <c r="G3771" s="1">
        <v>43599</v>
      </c>
      <c r="H3771" s="1">
        <v>44698</v>
      </c>
      <c r="I3771" t="s">
        <v>189</v>
      </c>
      <c r="J3771">
        <v>1</v>
      </c>
      <c r="L3771" t="s">
        <v>10210</v>
      </c>
    </row>
    <row r="3772" spans="1:40" x14ac:dyDescent="0.35">
      <c r="A3772">
        <v>6984274</v>
      </c>
      <c r="B3772" t="s">
        <v>10211</v>
      </c>
      <c r="C3772" t="str">
        <f>"9780520301665"</f>
        <v>9780520301665</v>
      </c>
      <c r="D3772" t="str">
        <f>"9780520972230"</f>
        <v>9780520972230</v>
      </c>
      <c r="E3772" t="s">
        <v>8988</v>
      </c>
      <c r="F3772" t="s">
        <v>8988</v>
      </c>
      <c r="G3772" s="1">
        <v>43641</v>
      </c>
      <c r="H3772" s="1">
        <v>44698</v>
      </c>
      <c r="I3772" t="s">
        <v>189</v>
      </c>
      <c r="J3772">
        <v>1</v>
      </c>
      <c r="L3772" t="s">
        <v>10212</v>
      </c>
      <c r="M3772" t="s">
        <v>329</v>
      </c>
      <c r="O3772" s="2">
        <v>3064846081109540</v>
      </c>
      <c r="Q3772" t="s">
        <v>260</v>
      </c>
      <c r="R3772" t="s">
        <v>261</v>
      </c>
      <c r="S3772" t="s">
        <v>261</v>
      </c>
      <c r="T3772" t="s">
        <v>261</v>
      </c>
      <c r="U3772" t="s">
        <v>261</v>
      </c>
      <c r="V3772" t="s">
        <v>262</v>
      </c>
      <c r="W3772" t="s">
        <v>261</v>
      </c>
      <c r="X3772" t="s">
        <v>261</v>
      </c>
      <c r="Y3772" t="s">
        <v>261</v>
      </c>
      <c r="Z3772" t="s">
        <v>409</v>
      </c>
      <c r="AA3772" t="s">
        <v>409</v>
      </c>
      <c r="AB3772" t="s">
        <v>409</v>
      </c>
      <c r="AC3772" t="s">
        <v>409</v>
      </c>
      <c r="AD3772" t="s">
        <v>261</v>
      </c>
      <c r="AH3772" t="s">
        <v>262</v>
      </c>
      <c r="AI3772" t="s">
        <v>262</v>
      </c>
      <c r="AJ3772" t="s">
        <v>261</v>
      </c>
      <c r="AK3772" t="s">
        <v>261</v>
      </c>
      <c r="AM3772" t="s">
        <v>262</v>
      </c>
      <c r="AN3772" t="s">
        <v>10213</v>
      </c>
    </row>
    <row r="3773" spans="1:40" x14ac:dyDescent="0.35">
      <c r="A3773">
        <v>6984280</v>
      </c>
      <c r="B3773" t="s">
        <v>10214</v>
      </c>
      <c r="C3773" t="str">
        <f>"9780520306332"</f>
        <v>9780520306332</v>
      </c>
      <c r="D3773" t="str">
        <f>"9780520973688"</f>
        <v>9780520973688</v>
      </c>
      <c r="E3773" t="s">
        <v>8988</v>
      </c>
      <c r="F3773" t="s">
        <v>8988</v>
      </c>
      <c r="G3773" s="1">
        <v>43721</v>
      </c>
      <c r="H3773" s="1">
        <v>44698</v>
      </c>
      <c r="I3773" t="s">
        <v>189</v>
      </c>
      <c r="J3773">
        <v>1</v>
      </c>
      <c r="K3773" t="s">
        <v>10215</v>
      </c>
      <c r="L3773" t="s">
        <v>10216</v>
      </c>
      <c r="M3773" t="s">
        <v>219</v>
      </c>
      <c r="O3773" s="2">
        <v>8914409382</v>
      </c>
      <c r="Q3773" t="s">
        <v>260</v>
      </c>
      <c r="R3773" t="s">
        <v>261</v>
      </c>
      <c r="S3773" t="s">
        <v>261</v>
      </c>
      <c r="T3773" t="s">
        <v>261</v>
      </c>
      <c r="U3773" t="s">
        <v>261</v>
      </c>
      <c r="V3773" t="s">
        <v>262</v>
      </c>
      <c r="W3773" t="s">
        <v>261</v>
      </c>
      <c r="X3773" t="s">
        <v>261</v>
      </c>
      <c r="Y3773" t="s">
        <v>261</v>
      </c>
      <c r="Z3773" t="s">
        <v>409</v>
      </c>
      <c r="AA3773" t="s">
        <v>409</v>
      </c>
      <c r="AB3773" t="s">
        <v>409</v>
      </c>
      <c r="AC3773" t="s">
        <v>409</v>
      </c>
      <c r="AD3773" t="s">
        <v>261</v>
      </c>
      <c r="AH3773" t="s">
        <v>262</v>
      </c>
      <c r="AI3773" t="s">
        <v>262</v>
      </c>
      <c r="AJ3773" t="s">
        <v>261</v>
      </c>
      <c r="AK3773" t="s">
        <v>261</v>
      </c>
      <c r="AM3773" t="s">
        <v>262</v>
      </c>
      <c r="AN3773" t="s">
        <v>10217</v>
      </c>
    </row>
    <row r="3774" spans="1:40" x14ac:dyDescent="0.35">
      <c r="A3774">
        <v>6984282</v>
      </c>
      <c r="B3774" t="s">
        <v>10218</v>
      </c>
      <c r="C3774" t="str">
        <f>"9780520302402"</f>
        <v>9780520302402</v>
      </c>
      <c r="D3774" t="str">
        <f>"9780520972483"</f>
        <v>9780520972483</v>
      </c>
      <c r="E3774" t="s">
        <v>8988</v>
      </c>
      <c r="F3774" t="s">
        <v>8988</v>
      </c>
      <c r="G3774" s="1">
        <v>43676</v>
      </c>
      <c r="H3774" s="1">
        <v>44698</v>
      </c>
      <c r="I3774" t="s">
        <v>189</v>
      </c>
      <c r="J3774">
        <v>1</v>
      </c>
      <c r="L3774" t="s">
        <v>2422</v>
      </c>
    </row>
    <row r="3775" spans="1:40" x14ac:dyDescent="0.35">
      <c r="A3775">
        <v>6984340</v>
      </c>
      <c r="B3775" t="s">
        <v>10219</v>
      </c>
      <c r="C3775" t="str">
        <f>"9780520300927"</f>
        <v>9780520300927</v>
      </c>
      <c r="D3775" t="str">
        <f>"9780520972100"</f>
        <v>9780520972100</v>
      </c>
      <c r="E3775" t="s">
        <v>8988</v>
      </c>
      <c r="F3775" t="s">
        <v>8988</v>
      </c>
      <c r="G3775" s="1">
        <v>43564</v>
      </c>
      <c r="H3775" s="1">
        <v>44698</v>
      </c>
      <c r="I3775" t="s">
        <v>189</v>
      </c>
      <c r="J3775">
        <v>1</v>
      </c>
      <c r="L3775" t="s">
        <v>10220</v>
      </c>
      <c r="M3775" t="s">
        <v>676</v>
      </c>
      <c r="O3775" t="s">
        <v>10221</v>
      </c>
      <c r="Q3775" t="s">
        <v>260</v>
      </c>
      <c r="R3775" t="s">
        <v>261</v>
      </c>
      <c r="S3775" t="s">
        <v>261</v>
      </c>
      <c r="T3775" t="s">
        <v>261</v>
      </c>
      <c r="U3775" t="s">
        <v>261</v>
      </c>
      <c r="V3775" t="s">
        <v>262</v>
      </c>
      <c r="W3775" t="s">
        <v>261</v>
      </c>
      <c r="X3775" t="s">
        <v>261</v>
      </c>
      <c r="Y3775" t="s">
        <v>261</v>
      </c>
      <c r="Z3775" t="s">
        <v>409</v>
      </c>
      <c r="AA3775" t="s">
        <v>409</v>
      </c>
      <c r="AB3775" t="s">
        <v>409</v>
      </c>
      <c r="AC3775" t="s">
        <v>409</v>
      </c>
      <c r="AD3775" t="s">
        <v>261</v>
      </c>
      <c r="AH3775" t="s">
        <v>262</v>
      </c>
      <c r="AI3775" t="s">
        <v>262</v>
      </c>
      <c r="AJ3775" t="s">
        <v>261</v>
      </c>
      <c r="AK3775" t="s">
        <v>261</v>
      </c>
      <c r="AM3775" t="s">
        <v>262</v>
      </c>
      <c r="AN3775" t="s">
        <v>10222</v>
      </c>
    </row>
    <row r="3776" spans="1:40" x14ac:dyDescent="0.35">
      <c r="A3776">
        <v>6984343</v>
      </c>
      <c r="B3776" t="s">
        <v>10223</v>
      </c>
      <c r="C3776" t="str">
        <f>"9780520296961"</f>
        <v>9780520296961</v>
      </c>
      <c r="D3776" t="str">
        <f>"9780520969490"</f>
        <v>9780520969490</v>
      </c>
      <c r="E3776" t="s">
        <v>8988</v>
      </c>
      <c r="F3776" t="s">
        <v>8988</v>
      </c>
      <c r="G3776" s="1">
        <v>43571</v>
      </c>
      <c r="H3776" s="1">
        <v>44698</v>
      </c>
      <c r="I3776" t="s">
        <v>189</v>
      </c>
      <c r="J3776">
        <v>1</v>
      </c>
      <c r="L3776" t="s">
        <v>10224</v>
      </c>
      <c r="M3776" t="s">
        <v>329</v>
      </c>
      <c r="O3776" t="s">
        <v>10225</v>
      </c>
      <c r="Q3776" t="s">
        <v>260</v>
      </c>
      <c r="R3776" t="s">
        <v>261</v>
      </c>
      <c r="S3776" t="s">
        <v>261</v>
      </c>
      <c r="T3776" t="s">
        <v>261</v>
      </c>
      <c r="U3776" t="s">
        <v>261</v>
      </c>
      <c r="V3776" t="s">
        <v>262</v>
      </c>
      <c r="W3776" t="s">
        <v>261</v>
      </c>
      <c r="X3776" t="s">
        <v>261</v>
      </c>
      <c r="Y3776" t="s">
        <v>261</v>
      </c>
      <c r="Z3776" t="s">
        <v>409</v>
      </c>
      <c r="AA3776" t="s">
        <v>409</v>
      </c>
      <c r="AB3776" t="s">
        <v>409</v>
      </c>
      <c r="AC3776" t="s">
        <v>409</v>
      </c>
      <c r="AD3776" t="s">
        <v>261</v>
      </c>
      <c r="AH3776" t="s">
        <v>262</v>
      </c>
      <c r="AI3776" t="s">
        <v>262</v>
      </c>
      <c r="AJ3776" t="s">
        <v>261</v>
      </c>
      <c r="AK3776" t="s">
        <v>261</v>
      </c>
      <c r="AM3776" t="s">
        <v>262</v>
      </c>
      <c r="AN3776" t="s">
        <v>10226</v>
      </c>
    </row>
    <row r="3777" spans="1:40" x14ac:dyDescent="0.35">
      <c r="A3777">
        <v>6984390</v>
      </c>
      <c r="B3777" t="s">
        <v>10227</v>
      </c>
      <c r="C3777" t="str">
        <f>"9780520304529"</f>
        <v>9780520304529</v>
      </c>
      <c r="D3777" t="str">
        <f>"9780520973152"</f>
        <v>9780520973152</v>
      </c>
      <c r="E3777" t="s">
        <v>8988</v>
      </c>
      <c r="F3777" t="s">
        <v>8988</v>
      </c>
      <c r="G3777" s="1">
        <v>43718</v>
      </c>
      <c r="H3777" s="1">
        <v>44698</v>
      </c>
      <c r="I3777" t="s">
        <v>189</v>
      </c>
      <c r="J3777">
        <v>1</v>
      </c>
      <c r="K3777" t="s">
        <v>10228</v>
      </c>
      <c r="L3777" t="s">
        <v>10229</v>
      </c>
      <c r="M3777" t="s">
        <v>578</v>
      </c>
      <c r="O3777" t="s">
        <v>10230</v>
      </c>
      <c r="Q3777" t="s">
        <v>260</v>
      </c>
      <c r="R3777" t="s">
        <v>261</v>
      </c>
      <c r="S3777" t="s">
        <v>261</v>
      </c>
      <c r="T3777" t="s">
        <v>261</v>
      </c>
      <c r="U3777" t="s">
        <v>261</v>
      </c>
      <c r="V3777" t="s">
        <v>262</v>
      </c>
      <c r="W3777" t="s">
        <v>261</v>
      </c>
      <c r="X3777" t="s">
        <v>261</v>
      </c>
      <c r="Y3777" t="s">
        <v>261</v>
      </c>
      <c r="Z3777" t="s">
        <v>409</v>
      </c>
      <c r="AA3777" t="s">
        <v>409</v>
      </c>
      <c r="AB3777" t="s">
        <v>409</v>
      </c>
      <c r="AC3777" t="s">
        <v>409</v>
      </c>
      <c r="AD3777" t="s">
        <v>261</v>
      </c>
      <c r="AH3777" t="s">
        <v>262</v>
      </c>
      <c r="AI3777" t="s">
        <v>262</v>
      </c>
      <c r="AJ3777" t="s">
        <v>261</v>
      </c>
      <c r="AK3777" t="s">
        <v>261</v>
      </c>
      <c r="AM3777" t="s">
        <v>262</v>
      </c>
      <c r="AN3777" t="s">
        <v>10231</v>
      </c>
    </row>
    <row r="3778" spans="1:40" x14ac:dyDescent="0.35">
      <c r="A3778">
        <v>6984444</v>
      </c>
      <c r="B3778" t="s">
        <v>10232</v>
      </c>
      <c r="C3778" t="str">
        <f>"9780520303652"</f>
        <v>9780520303652</v>
      </c>
      <c r="D3778" t="str">
        <f>"9780520972797"</f>
        <v>9780520972797</v>
      </c>
      <c r="E3778" t="s">
        <v>8988</v>
      </c>
      <c r="F3778" t="s">
        <v>8988</v>
      </c>
      <c r="G3778" s="1">
        <v>43480</v>
      </c>
      <c r="H3778" s="1">
        <v>44698</v>
      </c>
      <c r="I3778" t="s">
        <v>189</v>
      </c>
      <c r="J3778">
        <v>1</v>
      </c>
      <c r="L3778" t="s">
        <v>10233</v>
      </c>
    </row>
    <row r="3779" spans="1:40" x14ac:dyDescent="0.35">
      <c r="A3779">
        <v>6984448</v>
      </c>
      <c r="B3779" t="s">
        <v>10234</v>
      </c>
      <c r="C3779" t="str">
        <f>""</f>
        <v/>
      </c>
      <c r="D3779" t="str">
        <f>"9789048542727"</f>
        <v>9789048542727</v>
      </c>
      <c r="E3779" t="s">
        <v>361</v>
      </c>
      <c r="F3779" t="s">
        <v>361</v>
      </c>
      <c r="G3779" s="1">
        <v>43796</v>
      </c>
      <c r="H3779" s="1">
        <v>44705</v>
      </c>
      <c r="I3779" t="s">
        <v>189</v>
      </c>
      <c r="L3779" t="s">
        <v>10235</v>
      </c>
    </row>
    <row r="3780" spans="1:40" x14ac:dyDescent="0.35">
      <c r="A3780">
        <v>6986180</v>
      </c>
      <c r="B3780" t="s">
        <v>10236</v>
      </c>
      <c r="C3780" t="str">
        <f>"9780472055388"</f>
        <v>9780472055388</v>
      </c>
      <c r="D3780" t="str">
        <f>"9780472902651"</f>
        <v>9780472902651</v>
      </c>
      <c r="E3780" t="s">
        <v>2090</v>
      </c>
      <c r="F3780" t="s">
        <v>2090</v>
      </c>
      <c r="G3780" s="1">
        <v>44767</v>
      </c>
      <c r="H3780" s="1">
        <v>44698</v>
      </c>
      <c r="I3780" t="s">
        <v>189</v>
      </c>
      <c r="L3780" t="s">
        <v>10237</v>
      </c>
      <c r="M3780" t="s">
        <v>329</v>
      </c>
      <c r="N3780" t="s">
        <v>10238</v>
      </c>
      <c r="O3780" s="2">
        <v>305568</v>
      </c>
      <c r="Q3780" t="s">
        <v>260</v>
      </c>
      <c r="R3780" t="s">
        <v>261</v>
      </c>
      <c r="S3780" t="s">
        <v>261</v>
      </c>
      <c r="T3780" t="s">
        <v>261</v>
      </c>
      <c r="U3780" t="s">
        <v>261</v>
      </c>
      <c r="V3780" t="s">
        <v>262</v>
      </c>
      <c r="W3780" t="s">
        <v>261</v>
      </c>
      <c r="X3780" t="s">
        <v>261</v>
      </c>
      <c r="Y3780" t="s">
        <v>261</v>
      </c>
      <c r="AA3780" t="s">
        <v>409</v>
      </c>
      <c r="AB3780" t="s">
        <v>409</v>
      </c>
      <c r="AC3780" t="s">
        <v>409</v>
      </c>
      <c r="AD3780" t="s">
        <v>261</v>
      </c>
      <c r="AH3780" t="s">
        <v>262</v>
      </c>
      <c r="AI3780" t="s">
        <v>262</v>
      </c>
      <c r="AJ3780" t="s">
        <v>261</v>
      </c>
      <c r="AK3780" t="s">
        <v>261</v>
      </c>
      <c r="AM3780" t="s">
        <v>262</v>
      </c>
      <c r="AN3780" t="s">
        <v>10239</v>
      </c>
    </row>
    <row r="3781" spans="1:40" x14ac:dyDescent="0.35">
      <c r="A3781">
        <v>6986485</v>
      </c>
      <c r="B3781" t="s">
        <v>10240</v>
      </c>
      <c r="C3781" t="str">
        <f>"9783030964733"</f>
        <v>9783030964733</v>
      </c>
      <c r="D3781" t="str">
        <f>"9783030964740"</f>
        <v>9783030964740</v>
      </c>
      <c r="E3781" t="s">
        <v>2289</v>
      </c>
      <c r="F3781" t="s">
        <v>2663</v>
      </c>
      <c r="G3781" s="1">
        <v>44768</v>
      </c>
      <c r="H3781" s="1">
        <v>44698</v>
      </c>
      <c r="I3781" t="s">
        <v>189</v>
      </c>
      <c r="L3781" t="s">
        <v>10241</v>
      </c>
    </row>
    <row r="3782" spans="1:40" x14ac:dyDescent="0.35">
      <c r="A3782">
        <v>6986493</v>
      </c>
      <c r="B3782" t="s">
        <v>10242</v>
      </c>
      <c r="C3782" t="str">
        <f>"9783030955076"</f>
        <v>9783030955076</v>
      </c>
      <c r="D3782" t="str">
        <f>"9783030955083"</f>
        <v>9783030955083</v>
      </c>
      <c r="E3782" t="s">
        <v>2289</v>
      </c>
      <c r="F3782" t="s">
        <v>2663</v>
      </c>
      <c r="G3782" s="1">
        <v>44726</v>
      </c>
      <c r="H3782" s="1">
        <v>44698</v>
      </c>
      <c r="I3782" t="s">
        <v>189</v>
      </c>
      <c r="K3782" t="s">
        <v>8694</v>
      </c>
      <c r="L3782" t="s">
        <v>10243</v>
      </c>
    </row>
    <row r="3783" spans="1:40" x14ac:dyDescent="0.35">
      <c r="A3783">
        <v>6986548</v>
      </c>
      <c r="B3783" t="s">
        <v>10244</v>
      </c>
      <c r="C3783" t="str">
        <f>"9783030958596"</f>
        <v>9783030958596</v>
      </c>
      <c r="D3783" t="str">
        <f>"9783030958602"</f>
        <v>9783030958602</v>
      </c>
      <c r="E3783" t="s">
        <v>2289</v>
      </c>
      <c r="F3783" t="s">
        <v>2290</v>
      </c>
      <c r="G3783" s="1">
        <v>44729</v>
      </c>
      <c r="H3783" s="1">
        <v>44698</v>
      </c>
      <c r="I3783" t="s">
        <v>189</v>
      </c>
      <c r="K3783" t="s">
        <v>10245</v>
      </c>
      <c r="L3783" t="s">
        <v>10246</v>
      </c>
    </row>
    <row r="3784" spans="1:40" x14ac:dyDescent="0.35">
      <c r="A3784">
        <v>6986658</v>
      </c>
      <c r="B3784" t="s">
        <v>10247</v>
      </c>
      <c r="C3784" t="str">
        <f>""</f>
        <v/>
      </c>
      <c r="D3784" t="str">
        <f>"9789179293123"</f>
        <v>9789179293123</v>
      </c>
      <c r="E3784" t="s">
        <v>2975</v>
      </c>
      <c r="F3784" t="s">
        <v>2975</v>
      </c>
      <c r="G3784" s="1">
        <v>44690</v>
      </c>
      <c r="H3784" s="1">
        <v>44697</v>
      </c>
      <c r="I3784" t="s">
        <v>189</v>
      </c>
      <c r="J3784">
        <v>1</v>
      </c>
      <c r="L3784" t="s">
        <v>10248</v>
      </c>
      <c r="Q3784" t="s">
        <v>260</v>
      </c>
      <c r="R3784" t="s">
        <v>261</v>
      </c>
      <c r="S3784" t="s">
        <v>261</v>
      </c>
      <c r="T3784" t="s">
        <v>261</v>
      </c>
      <c r="U3784" t="s">
        <v>261</v>
      </c>
      <c r="V3784" t="s">
        <v>262</v>
      </c>
      <c r="W3784" t="s">
        <v>261</v>
      </c>
      <c r="X3784" t="s">
        <v>261</v>
      </c>
      <c r="Y3784" t="s">
        <v>261</v>
      </c>
      <c r="AD3784" t="s">
        <v>261</v>
      </c>
      <c r="AH3784" t="s">
        <v>262</v>
      </c>
      <c r="AI3784" t="s">
        <v>261</v>
      </c>
      <c r="AJ3784" t="s">
        <v>261</v>
      </c>
      <c r="AK3784" t="s">
        <v>261</v>
      </c>
      <c r="AM3784" t="s">
        <v>262</v>
      </c>
      <c r="AN3784" t="s">
        <v>10249</v>
      </c>
    </row>
    <row r="3785" spans="1:40" x14ac:dyDescent="0.35">
      <c r="A3785">
        <v>6986660</v>
      </c>
      <c r="B3785" t="s">
        <v>10250</v>
      </c>
      <c r="C3785" t="str">
        <f>""</f>
        <v/>
      </c>
      <c r="D3785" t="str">
        <f>"9789179293635"</f>
        <v>9789179293635</v>
      </c>
      <c r="E3785" t="s">
        <v>2975</v>
      </c>
      <c r="F3785" t="s">
        <v>2975</v>
      </c>
      <c r="G3785" s="1">
        <v>44690</v>
      </c>
      <c r="H3785" s="1">
        <v>44697</v>
      </c>
      <c r="I3785" t="s">
        <v>189</v>
      </c>
      <c r="J3785">
        <v>1</v>
      </c>
      <c r="L3785" t="s">
        <v>10251</v>
      </c>
      <c r="Q3785" t="s">
        <v>260</v>
      </c>
      <c r="R3785" t="s">
        <v>261</v>
      </c>
      <c r="S3785" t="s">
        <v>261</v>
      </c>
      <c r="T3785" t="s">
        <v>261</v>
      </c>
      <c r="U3785" t="s">
        <v>261</v>
      </c>
      <c r="V3785" t="s">
        <v>262</v>
      </c>
      <c r="W3785" t="s">
        <v>261</v>
      </c>
      <c r="X3785" t="s">
        <v>261</v>
      </c>
      <c r="Y3785" t="s">
        <v>261</v>
      </c>
      <c r="AD3785" t="s">
        <v>261</v>
      </c>
      <c r="AH3785" t="s">
        <v>262</v>
      </c>
      <c r="AI3785" t="s">
        <v>261</v>
      </c>
      <c r="AJ3785" t="s">
        <v>261</v>
      </c>
      <c r="AK3785" t="s">
        <v>261</v>
      </c>
      <c r="AM3785" t="s">
        <v>262</v>
      </c>
      <c r="AN3785" t="s">
        <v>10252</v>
      </c>
    </row>
    <row r="3786" spans="1:40" x14ac:dyDescent="0.35">
      <c r="A3786">
        <v>6986703</v>
      </c>
      <c r="B3786" t="s">
        <v>10253</v>
      </c>
      <c r="C3786" t="str">
        <f>"9781802070118"</f>
        <v>9781802070118</v>
      </c>
      <c r="D3786" t="str">
        <f>"9781802070675"</f>
        <v>9781802070675</v>
      </c>
      <c r="E3786" t="s">
        <v>3696</v>
      </c>
      <c r="F3786" t="s">
        <v>3696</v>
      </c>
      <c r="G3786" s="1">
        <v>44713</v>
      </c>
      <c r="H3786" s="1">
        <v>44698</v>
      </c>
      <c r="I3786" t="s">
        <v>189</v>
      </c>
      <c r="J3786">
        <v>1</v>
      </c>
      <c r="K3786" t="s">
        <v>10254</v>
      </c>
      <c r="L3786" t="s">
        <v>10255</v>
      </c>
      <c r="M3786" t="s">
        <v>3574</v>
      </c>
    </row>
    <row r="3787" spans="1:40" x14ac:dyDescent="0.35">
      <c r="A3787">
        <v>6986729</v>
      </c>
      <c r="B3787" t="s">
        <v>10256</v>
      </c>
      <c r="C3787" t="str">
        <f>"9783030995928"</f>
        <v>9783030995928</v>
      </c>
      <c r="D3787" t="str">
        <f>"9783030995935"</f>
        <v>9783030995935</v>
      </c>
      <c r="E3787" t="s">
        <v>2289</v>
      </c>
      <c r="F3787" t="s">
        <v>2290</v>
      </c>
      <c r="G3787" s="1">
        <v>44731</v>
      </c>
      <c r="H3787" s="1">
        <v>44719</v>
      </c>
      <c r="I3787" t="s">
        <v>189</v>
      </c>
      <c r="K3787" t="s">
        <v>4011</v>
      </c>
      <c r="L3787" t="s">
        <v>10257</v>
      </c>
    </row>
    <row r="3788" spans="1:40" x14ac:dyDescent="0.35">
      <c r="A3788">
        <v>6987625</v>
      </c>
      <c r="B3788" t="s">
        <v>10258</v>
      </c>
      <c r="C3788" t="str">
        <f>"9781799898054"</f>
        <v>9781799898054</v>
      </c>
      <c r="D3788" t="str">
        <f>"9781799898078"</f>
        <v>9781799898078</v>
      </c>
      <c r="E3788" t="s">
        <v>10259</v>
      </c>
      <c r="F3788" t="s">
        <v>10260</v>
      </c>
      <c r="G3788" s="1">
        <v>44680</v>
      </c>
      <c r="H3788" s="1">
        <v>44699</v>
      </c>
      <c r="I3788" t="s">
        <v>189</v>
      </c>
      <c r="J3788">
        <v>1</v>
      </c>
      <c r="L3788" t="s">
        <v>10261</v>
      </c>
      <c r="M3788" t="s">
        <v>1328</v>
      </c>
      <c r="N3788" t="s">
        <v>10262</v>
      </c>
      <c r="Q3788" t="s">
        <v>260</v>
      </c>
      <c r="R3788" t="s">
        <v>261</v>
      </c>
      <c r="S3788" t="s">
        <v>261</v>
      </c>
      <c r="T3788" t="s">
        <v>261</v>
      </c>
      <c r="U3788" t="s">
        <v>261</v>
      </c>
      <c r="V3788" t="s">
        <v>262</v>
      </c>
      <c r="W3788" t="s">
        <v>261</v>
      </c>
      <c r="X3788" t="s">
        <v>261</v>
      </c>
      <c r="Y3788" t="s">
        <v>261</v>
      </c>
      <c r="AA3788" t="s">
        <v>409</v>
      </c>
      <c r="AB3788" t="s">
        <v>409</v>
      </c>
      <c r="AC3788" t="s">
        <v>409</v>
      </c>
      <c r="AD3788" t="s">
        <v>261</v>
      </c>
      <c r="AH3788" t="s">
        <v>262</v>
      </c>
      <c r="AI3788" t="s">
        <v>262</v>
      </c>
      <c r="AJ3788" t="s">
        <v>261</v>
      </c>
      <c r="AK3788" t="s">
        <v>261</v>
      </c>
      <c r="AM3788" t="s">
        <v>262</v>
      </c>
      <c r="AN3788" t="s">
        <v>10263</v>
      </c>
    </row>
    <row r="3789" spans="1:40" x14ac:dyDescent="0.35">
      <c r="A3789">
        <v>6992134</v>
      </c>
      <c r="B3789" t="s">
        <v>10264</v>
      </c>
      <c r="C3789" t="str">
        <f>"9789811909900"</f>
        <v>9789811909900</v>
      </c>
      <c r="D3789" t="str">
        <f>"9789811909917"</f>
        <v>9789811909917</v>
      </c>
      <c r="E3789" t="s">
        <v>2290</v>
      </c>
      <c r="F3789" t="s">
        <v>2290</v>
      </c>
      <c r="G3789" s="1">
        <v>44729</v>
      </c>
      <c r="H3789" s="1">
        <v>44719</v>
      </c>
      <c r="I3789" t="s">
        <v>189</v>
      </c>
      <c r="K3789" t="s">
        <v>10265</v>
      </c>
      <c r="L3789" t="s">
        <v>10266</v>
      </c>
    </row>
    <row r="3790" spans="1:40" x14ac:dyDescent="0.35">
      <c r="A3790">
        <v>6995049</v>
      </c>
      <c r="B3790" t="s">
        <v>10267</v>
      </c>
      <c r="C3790" t="str">
        <f>"9783658375089"</f>
        <v>9783658375089</v>
      </c>
      <c r="D3790" t="str">
        <f>"9783658375096"</f>
        <v>9783658375096</v>
      </c>
      <c r="E3790" t="s">
        <v>3972</v>
      </c>
      <c r="F3790" t="s">
        <v>3972</v>
      </c>
      <c r="G3790" s="1">
        <v>44737</v>
      </c>
      <c r="H3790" s="1">
        <v>44719</v>
      </c>
      <c r="I3790" t="s">
        <v>189</v>
      </c>
      <c r="K3790" t="s">
        <v>10268</v>
      </c>
      <c r="L3790" t="s">
        <v>10269</v>
      </c>
      <c r="M3790" t="s">
        <v>249</v>
      </c>
      <c r="N3790" t="s">
        <v>6008</v>
      </c>
      <c r="Q3790" t="s">
        <v>260</v>
      </c>
      <c r="R3790" t="s">
        <v>261</v>
      </c>
      <c r="S3790" t="s">
        <v>261</v>
      </c>
      <c r="T3790" t="s">
        <v>261</v>
      </c>
      <c r="U3790" t="s">
        <v>261</v>
      </c>
      <c r="V3790" t="s">
        <v>262</v>
      </c>
      <c r="W3790" t="s">
        <v>261</v>
      </c>
      <c r="X3790" t="s">
        <v>261</v>
      </c>
      <c r="Y3790" t="s">
        <v>261</v>
      </c>
      <c r="Z3790" t="s">
        <v>409</v>
      </c>
      <c r="AA3790" t="s">
        <v>409</v>
      </c>
      <c r="AB3790" t="s">
        <v>409</v>
      </c>
      <c r="AC3790" t="s">
        <v>409</v>
      </c>
      <c r="AD3790" t="s">
        <v>261</v>
      </c>
      <c r="AH3790" t="s">
        <v>262</v>
      </c>
      <c r="AI3790" t="s">
        <v>262</v>
      </c>
      <c r="AJ3790" t="s">
        <v>261</v>
      </c>
      <c r="AK3790" t="s">
        <v>261</v>
      </c>
      <c r="AM3790" t="s">
        <v>262</v>
      </c>
      <c r="AN3790" t="s">
        <v>10270</v>
      </c>
    </row>
    <row r="3791" spans="1:40" x14ac:dyDescent="0.35">
      <c r="A3791">
        <v>6995127</v>
      </c>
      <c r="B3791" t="s">
        <v>10271</v>
      </c>
      <c r="C3791" t="str">
        <f>"9781526134684"</f>
        <v>9781526134684</v>
      </c>
      <c r="D3791" t="str">
        <f>"9781526134691"</f>
        <v>9781526134691</v>
      </c>
      <c r="E3791" t="s">
        <v>188</v>
      </c>
      <c r="F3791" t="s">
        <v>188</v>
      </c>
      <c r="G3791" s="1">
        <v>44607</v>
      </c>
      <c r="H3791" s="1">
        <v>44702</v>
      </c>
      <c r="I3791" t="s">
        <v>189</v>
      </c>
      <c r="J3791">
        <v>1</v>
      </c>
      <c r="K3791" t="s">
        <v>10272</v>
      </c>
      <c r="L3791" t="s">
        <v>10273</v>
      </c>
      <c r="M3791" t="s">
        <v>329</v>
      </c>
      <c r="O3791" t="s">
        <v>10274</v>
      </c>
      <c r="Q3791" t="s">
        <v>260</v>
      </c>
      <c r="R3791" t="s">
        <v>261</v>
      </c>
      <c r="S3791" t="s">
        <v>261</v>
      </c>
      <c r="T3791" t="s">
        <v>261</v>
      </c>
      <c r="U3791" t="s">
        <v>261</v>
      </c>
      <c r="V3791" t="s">
        <v>262</v>
      </c>
      <c r="W3791" t="s">
        <v>261</v>
      </c>
      <c r="X3791" t="s">
        <v>261</v>
      </c>
      <c r="Y3791" t="s">
        <v>261</v>
      </c>
      <c r="Z3791" t="s">
        <v>409</v>
      </c>
      <c r="AA3791" t="s">
        <v>409</v>
      </c>
      <c r="AB3791" t="s">
        <v>409</v>
      </c>
      <c r="AC3791" t="s">
        <v>409</v>
      </c>
      <c r="AD3791" t="s">
        <v>261</v>
      </c>
      <c r="AH3791" t="s">
        <v>262</v>
      </c>
      <c r="AI3791" t="s">
        <v>262</v>
      </c>
      <c r="AJ3791" t="s">
        <v>261</v>
      </c>
      <c r="AK3791" t="s">
        <v>261</v>
      </c>
      <c r="AM3791" t="s">
        <v>262</v>
      </c>
      <c r="AN3791" t="s">
        <v>10275</v>
      </c>
    </row>
    <row r="3792" spans="1:40" x14ac:dyDescent="0.35">
      <c r="A3792">
        <v>6995527</v>
      </c>
      <c r="B3792" t="s">
        <v>10276</v>
      </c>
      <c r="C3792" t="str">
        <f>"9783031062483"</f>
        <v>9783031062483</v>
      </c>
      <c r="D3792" t="str">
        <f>"9783031062490"</f>
        <v>9783031062490</v>
      </c>
      <c r="E3792" t="s">
        <v>2289</v>
      </c>
      <c r="F3792" t="s">
        <v>2290</v>
      </c>
      <c r="G3792" s="1">
        <v>44740</v>
      </c>
      <c r="H3792" s="1">
        <v>44719</v>
      </c>
      <c r="I3792" t="s">
        <v>189</v>
      </c>
      <c r="K3792" t="s">
        <v>4008</v>
      </c>
      <c r="L3792" t="s">
        <v>10277</v>
      </c>
    </row>
    <row r="3793" spans="1:40" x14ac:dyDescent="0.35">
      <c r="A3793">
        <v>6995669</v>
      </c>
      <c r="B3793" t="s">
        <v>10278</v>
      </c>
      <c r="C3793" t="str">
        <f>""</f>
        <v/>
      </c>
      <c r="D3793" t="str">
        <f>"9789179293246"</f>
        <v>9789179293246</v>
      </c>
      <c r="E3793" t="s">
        <v>2975</v>
      </c>
      <c r="F3793" t="s">
        <v>2975</v>
      </c>
      <c r="G3793" s="1">
        <v>44697</v>
      </c>
      <c r="H3793" s="1">
        <v>44711</v>
      </c>
      <c r="I3793" t="s">
        <v>189</v>
      </c>
      <c r="J3793">
        <v>1</v>
      </c>
      <c r="L3793" t="s">
        <v>10279</v>
      </c>
      <c r="Q3793" t="s">
        <v>260</v>
      </c>
      <c r="R3793" t="s">
        <v>261</v>
      </c>
      <c r="S3793" t="s">
        <v>261</v>
      </c>
      <c r="T3793" t="s">
        <v>261</v>
      </c>
      <c r="U3793" t="s">
        <v>261</v>
      </c>
      <c r="V3793" t="s">
        <v>262</v>
      </c>
      <c r="W3793" t="s">
        <v>261</v>
      </c>
      <c r="X3793" t="s">
        <v>261</v>
      </c>
      <c r="Y3793" t="s">
        <v>261</v>
      </c>
      <c r="AD3793" t="s">
        <v>261</v>
      </c>
      <c r="AH3793" t="s">
        <v>262</v>
      </c>
      <c r="AI3793" t="s">
        <v>261</v>
      </c>
      <c r="AJ3793" t="s">
        <v>261</v>
      </c>
      <c r="AK3793" t="s">
        <v>261</v>
      </c>
      <c r="AM3793" t="s">
        <v>262</v>
      </c>
      <c r="AN3793" t="s">
        <v>10280</v>
      </c>
    </row>
    <row r="3794" spans="1:40" x14ac:dyDescent="0.35">
      <c r="A3794">
        <v>6996383</v>
      </c>
      <c r="B3794" t="s">
        <v>10281</v>
      </c>
      <c r="C3794" t="str">
        <f>"9783030961794"</f>
        <v>9783030961794</v>
      </c>
      <c r="D3794" t="str">
        <f>"9783030961800"</f>
        <v>9783030961800</v>
      </c>
      <c r="E3794" t="s">
        <v>2289</v>
      </c>
      <c r="F3794" t="s">
        <v>2663</v>
      </c>
      <c r="G3794" s="1">
        <v>44734</v>
      </c>
      <c r="H3794" s="1">
        <v>44725</v>
      </c>
      <c r="I3794" t="s">
        <v>189</v>
      </c>
      <c r="K3794" t="s">
        <v>10282</v>
      </c>
      <c r="L3794" t="s">
        <v>10283</v>
      </c>
    </row>
    <row r="3795" spans="1:40" x14ac:dyDescent="0.35">
      <c r="A3795">
        <v>6996396</v>
      </c>
      <c r="B3795" t="s">
        <v>10284</v>
      </c>
      <c r="C3795" t="str">
        <f>"9783030999391"</f>
        <v>9783030999391</v>
      </c>
      <c r="D3795" t="str">
        <f>"9783030999407"</f>
        <v>9783030999407</v>
      </c>
      <c r="E3795" t="s">
        <v>2289</v>
      </c>
      <c r="F3795" t="s">
        <v>2663</v>
      </c>
      <c r="G3795" s="1">
        <v>44702</v>
      </c>
      <c r="H3795" s="1">
        <v>44755</v>
      </c>
      <c r="I3795" t="s">
        <v>189</v>
      </c>
      <c r="L3795" t="s">
        <v>10285</v>
      </c>
    </row>
    <row r="3796" spans="1:40" x14ac:dyDescent="0.35">
      <c r="A3796">
        <v>6997309</v>
      </c>
      <c r="B3796" t="s">
        <v>10286</v>
      </c>
      <c r="C3796" t="str">
        <f>"9781800643154"</f>
        <v>9781800643154</v>
      </c>
      <c r="D3796" t="str">
        <f>"9781800643161"</f>
        <v>9781800643161</v>
      </c>
      <c r="E3796" t="s">
        <v>1807</v>
      </c>
      <c r="F3796" t="s">
        <v>1807</v>
      </c>
      <c r="G3796" s="1">
        <v>44671</v>
      </c>
      <c r="H3796" s="1">
        <v>44706</v>
      </c>
      <c r="I3796" t="s">
        <v>189</v>
      </c>
      <c r="J3796">
        <v>1</v>
      </c>
      <c r="L3796" t="s">
        <v>10287</v>
      </c>
      <c r="M3796" t="s">
        <v>964</v>
      </c>
      <c r="Q3796" t="s">
        <v>260</v>
      </c>
      <c r="R3796" t="s">
        <v>261</v>
      </c>
      <c r="S3796" t="s">
        <v>261</v>
      </c>
      <c r="T3796" t="s">
        <v>261</v>
      </c>
      <c r="U3796" t="s">
        <v>261</v>
      </c>
      <c r="V3796" t="s">
        <v>262</v>
      </c>
      <c r="W3796" t="s">
        <v>261</v>
      </c>
      <c r="X3796" t="s">
        <v>261</v>
      </c>
      <c r="Y3796" t="s">
        <v>261</v>
      </c>
      <c r="Z3796" t="s">
        <v>409</v>
      </c>
      <c r="AA3796" t="s">
        <v>409</v>
      </c>
      <c r="AB3796" t="s">
        <v>409</v>
      </c>
      <c r="AC3796" t="s">
        <v>409</v>
      </c>
      <c r="AD3796" t="s">
        <v>261</v>
      </c>
      <c r="AH3796" t="s">
        <v>262</v>
      </c>
      <c r="AI3796" t="s">
        <v>262</v>
      </c>
      <c r="AJ3796" t="s">
        <v>261</v>
      </c>
      <c r="AK3796" t="s">
        <v>261</v>
      </c>
      <c r="AM3796" t="s">
        <v>262</v>
      </c>
      <c r="AN3796" t="s">
        <v>10288</v>
      </c>
    </row>
    <row r="3797" spans="1:40" x14ac:dyDescent="0.35">
      <c r="A3797">
        <v>6997310</v>
      </c>
      <c r="B3797" t="s">
        <v>10289</v>
      </c>
      <c r="C3797" t="str">
        <f>"9781800644052"</f>
        <v>9781800644052</v>
      </c>
      <c r="D3797" t="str">
        <f>"9781800644069"</f>
        <v>9781800644069</v>
      </c>
      <c r="E3797" t="s">
        <v>1807</v>
      </c>
      <c r="F3797" t="s">
        <v>1807</v>
      </c>
      <c r="G3797" s="1">
        <v>44657</v>
      </c>
      <c r="H3797" s="1">
        <v>44762</v>
      </c>
      <c r="I3797" t="s">
        <v>189</v>
      </c>
      <c r="J3797">
        <v>1</v>
      </c>
      <c r="L3797" t="s">
        <v>10290</v>
      </c>
    </row>
    <row r="3798" spans="1:40" x14ac:dyDescent="0.35">
      <c r="A3798">
        <v>6997311</v>
      </c>
      <c r="B3798" t="s">
        <v>10291</v>
      </c>
      <c r="C3798" t="str">
        <f>"9781800644236"</f>
        <v>9781800644236</v>
      </c>
      <c r="D3798" t="str">
        <f>"9781800644243"</f>
        <v>9781800644243</v>
      </c>
      <c r="E3798" t="s">
        <v>1807</v>
      </c>
      <c r="F3798" t="s">
        <v>1807</v>
      </c>
      <c r="G3798" s="1">
        <v>44664</v>
      </c>
      <c r="H3798" s="1">
        <v>44706</v>
      </c>
      <c r="I3798" t="s">
        <v>189</v>
      </c>
      <c r="J3798">
        <v>1</v>
      </c>
      <c r="L3798" t="s">
        <v>10292</v>
      </c>
      <c r="M3798" t="s">
        <v>329</v>
      </c>
    </row>
    <row r="3799" spans="1:40" x14ac:dyDescent="0.35">
      <c r="A3799">
        <v>6997312</v>
      </c>
      <c r="B3799" t="s">
        <v>10293</v>
      </c>
      <c r="C3799" t="str">
        <f>"9781800643338"</f>
        <v>9781800643338</v>
      </c>
      <c r="D3799" t="str">
        <f>"9781800643345"</f>
        <v>9781800643345</v>
      </c>
      <c r="E3799" t="s">
        <v>1807</v>
      </c>
      <c r="F3799" t="s">
        <v>1807</v>
      </c>
      <c r="G3799" s="1">
        <v>44651</v>
      </c>
      <c r="H3799" s="1">
        <v>44706</v>
      </c>
      <c r="I3799" t="s">
        <v>189</v>
      </c>
      <c r="J3799">
        <v>1</v>
      </c>
      <c r="L3799" t="s">
        <v>2594</v>
      </c>
      <c r="M3799" t="s">
        <v>578</v>
      </c>
      <c r="Q3799" t="s">
        <v>260</v>
      </c>
      <c r="R3799" t="s">
        <v>261</v>
      </c>
      <c r="S3799" t="s">
        <v>261</v>
      </c>
      <c r="T3799" t="s">
        <v>261</v>
      </c>
      <c r="U3799" t="s">
        <v>261</v>
      </c>
      <c r="V3799" t="s">
        <v>262</v>
      </c>
      <c r="W3799" t="s">
        <v>261</v>
      </c>
      <c r="X3799" t="s">
        <v>261</v>
      </c>
      <c r="Y3799" t="s">
        <v>261</v>
      </c>
      <c r="Z3799" t="s">
        <v>409</v>
      </c>
      <c r="AA3799" t="s">
        <v>409</v>
      </c>
      <c r="AB3799" t="s">
        <v>409</v>
      </c>
      <c r="AC3799" t="s">
        <v>409</v>
      </c>
      <c r="AD3799" t="s">
        <v>261</v>
      </c>
      <c r="AH3799" t="s">
        <v>262</v>
      </c>
      <c r="AI3799" t="s">
        <v>262</v>
      </c>
      <c r="AJ3799" t="s">
        <v>261</v>
      </c>
      <c r="AK3799" t="s">
        <v>261</v>
      </c>
      <c r="AM3799" t="s">
        <v>262</v>
      </c>
      <c r="AN3799" t="s">
        <v>10294</v>
      </c>
    </row>
    <row r="3800" spans="1:40" x14ac:dyDescent="0.35">
      <c r="A3800">
        <v>6997687</v>
      </c>
      <c r="B3800" t="s">
        <v>10295</v>
      </c>
      <c r="C3800" t="str">
        <f>"9783658378028"</f>
        <v>9783658378028</v>
      </c>
      <c r="D3800" t="str">
        <f>"9783658378035"</f>
        <v>9783658378035</v>
      </c>
      <c r="E3800" t="s">
        <v>3972</v>
      </c>
      <c r="F3800" t="s">
        <v>3972</v>
      </c>
      <c r="G3800" s="1">
        <v>44750</v>
      </c>
      <c r="H3800" s="1">
        <v>44719</v>
      </c>
      <c r="I3800" t="s">
        <v>189</v>
      </c>
      <c r="L3800" t="s">
        <v>10296</v>
      </c>
      <c r="M3800" t="s">
        <v>249</v>
      </c>
      <c r="N3800" t="s">
        <v>4509</v>
      </c>
      <c r="Q3800" t="s">
        <v>408</v>
      </c>
      <c r="R3800" t="s">
        <v>261</v>
      </c>
      <c r="S3800" t="s">
        <v>261</v>
      </c>
      <c r="T3800" t="s">
        <v>261</v>
      </c>
      <c r="U3800" t="s">
        <v>261</v>
      </c>
      <c r="V3800" t="s">
        <v>262</v>
      </c>
      <c r="W3800" t="s">
        <v>261</v>
      </c>
      <c r="X3800" t="s">
        <v>261</v>
      </c>
      <c r="Y3800" t="s">
        <v>261</v>
      </c>
      <c r="Z3800" t="s">
        <v>409</v>
      </c>
      <c r="AA3800" t="s">
        <v>409</v>
      </c>
      <c r="AB3800" t="s">
        <v>409</v>
      </c>
      <c r="AC3800" t="s">
        <v>409</v>
      </c>
      <c r="AD3800" t="s">
        <v>261</v>
      </c>
      <c r="AH3800" t="s">
        <v>262</v>
      </c>
      <c r="AI3800" t="s">
        <v>262</v>
      </c>
      <c r="AJ3800" t="s">
        <v>261</v>
      </c>
      <c r="AK3800" t="s">
        <v>261</v>
      </c>
      <c r="AM3800" t="s">
        <v>262</v>
      </c>
      <c r="AN3800" t="s">
        <v>10297</v>
      </c>
    </row>
    <row r="3801" spans="1:40" x14ac:dyDescent="0.35">
      <c r="A3801">
        <v>6998216</v>
      </c>
      <c r="B3801" t="s">
        <v>10298</v>
      </c>
      <c r="C3801" t="str">
        <f>"9783030964535"</f>
        <v>9783030964535</v>
      </c>
      <c r="D3801" t="str">
        <f>"9783030964542"</f>
        <v>9783030964542</v>
      </c>
      <c r="E3801" t="s">
        <v>2289</v>
      </c>
      <c r="F3801" t="s">
        <v>2663</v>
      </c>
      <c r="G3801" s="1">
        <v>44706</v>
      </c>
      <c r="H3801" s="1">
        <v>44719</v>
      </c>
      <c r="I3801" t="s">
        <v>189</v>
      </c>
      <c r="K3801" t="s">
        <v>10299</v>
      </c>
      <c r="L3801" t="s">
        <v>10300</v>
      </c>
    </row>
    <row r="3802" spans="1:40" x14ac:dyDescent="0.35">
      <c r="A3802">
        <v>6998218</v>
      </c>
      <c r="B3802" t="s">
        <v>10301</v>
      </c>
      <c r="C3802" t="str">
        <f>"9783030998073"</f>
        <v>9783030998073</v>
      </c>
      <c r="D3802" t="str">
        <f>"9783030998080"</f>
        <v>9783030998080</v>
      </c>
      <c r="E3802" t="s">
        <v>2289</v>
      </c>
      <c r="F3802" t="s">
        <v>2290</v>
      </c>
      <c r="G3802" s="1">
        <v>44706</v>
      </c>
      <c r="H3802" s="1">
        <v>44719</v>
      </c>
      <c r="I3802" t="s">
        <v>189</v>
      </c>
      <c r="K3802" t="s">
        <v>10302</v>
      </c>
      <c r="L3802" t="s">
        <v>6924</v>
      </c>
      <c r="M3802" t="s">
        <v>249</v>
      </c>
      <c r="N3802" t="s">
        <v>10303</v>
      </c>
      <c r="Q3802" t="s">
        <v>260</v>
      </c>
      <c r="R3802" t="s">
        <v>261</v>
      </c>
      <c r="S3802" t="s">
        <v>261</v>
      </c>
      <c r="T3802" t="s">
        <v>261</v>
      </c>
      <c r="U3802" t="s">
        <v>261</v>
      </c>
      <c r="V3802" t="s">
        <v>262</v>
      </c>
      <c r="W3802" t="s">
        <v>261</v>
      </c>
      <c r="X3802" t="s">
        <v>261</v>
      </c>
      <c r="Y3802" t="s">
        <v>261</v>
      </c>
      <c r="Z3802" t="s">
        <v>409</v>
      </c>
      <c r="AA3802" t="s">
        <v>409</v>
      </c>
      <c r="AB3802" t="s">
        <v>409</v>
      </c>
      <c r="AC3802" t="s">
        <v>409</v>
      </c>
      <c r="AD3802" t="s">
        <v>261</v>
      </c>
      <c r="AH3802" t="s">
        <v>262</v>
      </c>
      <c r="AI3802" t="s">
        <v>262</v>
      </c>
      <c r="AJ3802" t="s">
        <v>261</v>
      </c>
      <c r="AK3802" t="s">
        <v>261</v>
      </c>
      <c r="AM3802" t="s">
        <v>262</v>
      </c>
      <c r="AN3802" t="s">
        <v>10304</v>
      </c>
    </row>
    <row r="3803" spans="1:40" x14ac:dyDescent="0.35">
      <c r="A3803">
        <v>6998224</v>
      </c>
      <c r="B3803" t="s">
        <v>10305</v>
      </c>
      <c r="C3803" t="str">
        <f>"9783030950996"</f>
        <v>9783030950996</v>
      </c>
      <c r="D3803" t="str">
        <f>"9783030951009"</f>
        <v>9783030951009</v>
      </c>
      <c r="E3803" t="s">
        <v>2289</v>
      </c>
      <c r="F3803" t="s">
        <v>2290</v>
      </c>
      <c r="G3803" s="1">
        <v>44706</v>
      </c>
      <c r="H3803" s="1">
        <v>44719</v>
      </c>
      <c r="I3803" t="s">
        <v>189</v>
      </c>
      <c r="L3803" t="s">
        <v>10306</v>
      </c>
    </row>
    <row r="3804" spans="1:40" x14ac:dyDescent="0.35">
      <c r="A3804">
        <v>6998234</v>
      </c>
      <c r="B3804" t="s">
        <v>10307</v>
      </c>
      <c r="C3804" t="str">
        <f>"9783030958794"</f>
        <v>9783030958794</v>
      </c>
      <c r="D3804" t="str">
        <f>"9783030958800"</f>
        <v>9783030958800</v>
      </c>
      <c r="E3804" t="s">
        <v>2289</v>
      </c>
      <c r="F3804" t="s">
        <v>2290</v>
      </c>
      <c r="G3804" s="1">
        <v>44764</v>
      </c>
      <c r="H3804" s="1">
        <v>44719</v>
      </c>
      <c r="I3804" t="s">
        <v>189</v>
      </c>
      <c r="K3804" t="s">
        <v>10308</v>
      </c>
      <c r="L3804" t="s">
        <v>10309</v>
      </c>
    </row>
    <row r="3805" spans="1:40" x14ac:dyDescent="0.35">
      <c r="A3805">
        <v>6998235</v>
      </c>
      <c r="B3805" t="s">
        <v>10310</v>
      </c>
      <c r="C3805" t="str">
        <f>"9783030952198"</f>
        <v>9783030952198</v>
      </c>
      <c r="D3805" t="str">
        <f>"9783030952204"</f>
        <v>9783030952204</v>
      </c>
      <c r="E3805" t="s">
        <v>2289</v>
      </c>
      <c r="F3805" t="s">
        <v>2663</v>
      </c>
      <c r="G3805" s="1">
        <v>44740</v>
      </c>
      <c r="H3805" s="1">
        <v>44719</v>
      </c>
      <c r="I3805" t="s">
        <v>189</v>
      </c>
      <c r="K3805" t="s">
        <v>10311</v>
      </c>
      <c r="L3805" t="s">
        <v>10312</v>
      </c>
    </row>
    <row r="3806" spans="1:40" x14ac:dyDescent="0.35">
      <c r="A3806">
        <v>7001398</v>
      </c>
      <c r="B3806" t="s">
        <v>10313</v>
      </c>
      <c r="C3806" t="str">
        <f>"9783030948955"</f>
        <v>9783030948955</v>
      </c>
      <c r="D3806" t="str">
        <f>"9783030948962"</f>
        <v>9783030948962</v>
      </c>
      <c r="E3806" t="s">
        <v>2289</v>
      </c>
      <c r="F3806" t="s">
        <v>2290</v>
      </c>
      <c r="G3806" s="1">
        <v>44710</v>
      </c>
      <c r="H3806" s="1">
        <v>44719</v>
      </c>
      <c r="I3806" t="s">
        <v>189</v>
      </c>
      <c r="K3806" t="s">
        <v>10314</v>
      </c>
      <c r="L3806" t="s">
        <v>10315</v>
      </c>
    </row>
    <row r="3807" spans="1:40" x14ac:dyDescent="0.35">
      <c r="A3807">
        <v>7001407</v>
      </c>
      <c r="B3807" t="s">
        <v>10316</v>
      </c>
      <c r="C3807" t="str">
        <f>"9789811917004"</f>
        <v>9789811917004</v>
      </c>
      <c r="D3807" t="str">
        <f>"9789811917011"</f>
        <v>9789811917011</v>
      </c>
      <c r="E3807" t="s">
        <v>2290</v>
      </c>
      <c r="F3807" t="s">
        <v>2290</v>
      </c>
      <c r="G3807" s="1">
        <v>44754</v>
      </c>
      <c r="H3807" s="1">
        <v>44719</v>
      </c>
      <c r="I3807" t="s">
        <v>189</v>
      </c>
      <c r="K3807" t="s">
        <v>10317</v>
      </c>
      <c r="L3807" t="s">
        <v>10318</v>
      </c>
    </row>
    <row r="3808" spans="1:40" x14ac:dyDescent="0.35">
      <c r="A3808">
        <v>7002520</v>
      </c>
      <c r="B3808" t="s">
        <v>10319</v>
      </c>
      <c r="C3808" t="str">
        <f>"9783030981747"</f>
        <v>9783030981747</v>
      </c>
      <c r="D3808" t="str">
        <f>"9783030981754"</f>
        <v>9783030981754</v>
      </c>
      <c r="E3808" t="s">
        <v>2289</v>
      </c>
      <c r="F3808" t="s">
        <v>2290</v>
      </c>
      <c r="G3808" s="1">
        <v>44742</v>
      </c>
      <c r="H3808" s="1">
        <v>44719</v>
      </c>
      <c r="I3808" t="s">
        <v>189</v>
      </c>
      <c r="L3808" t="s">
        <v>10320</v>
      </c>
    </row>
    <row r="3809" spans="1:40" x14ac:dyDescent="0.35">
      <c r="A3809">
        <v>7002530</v>
      </c>
      <c r="B3809" t="s">
        <v>10321</v>
      </c>
      <c r="C3809" t="str">
        <f>"9781783744626"</f>
        <v>9781783744626</v>
      </c>
      <c r="D3809" t="str">
        <f>"9781783744633"</f>
        <v>9781783744633</v>
      </c>
      <c r="E3809" t="s">
        <v>1807</v>
      </c>
      <c r="F3809" t="s">
        <v>1807</v>
      </c>
      <c r="G3809" s="1">
        <v>44693</v>
      </c>
      <c r="H3809" s="1">
        <v>44713</v>
      </c>
      <c r="I3809" t="s">
        <v>189</v>
      </c>
      <c r="J3809">
        <v>1</v>
      </c>
      <c r="L3809" t="s">
        <v>1878</v>
      </c>
    </row>
    <row r="3810" spans="1:40" x14ac:dyDescent="0.35">
      <c r="A3810">
        <v>7002531</v>
      </c>
      <c r="B3810" t="s">
        <v>10322</v>
      </c>
      <c r="C3810" t="str">
        <f>"9781800646919"</f>
        <v>9781800646919</v>
      </c>
      <c r="D3810" t="str">
        <f>"9781800646926"</f>
        <v>9781800646926</v>
      </c>
      <c r="E3810" t="s">
        <v>1807</v>
      </c>
      <c r="F3810" t="s">
        <v>1807</v>
      </c>
      <c r="G3810" s="1">
        <v>44708</v>
      </c>
      <c r="H3810" s="1">
        <v>44713</v>
      </c>
      <c r="I3810" t="s">
        <v>189</v>
      </c>
      <c r="J3810">
        <v>1</v>
      </c>
      <c r="L3810" t="s">
        <v>10323</v>
      </c>
      <c r="M3810" t="s">
        <v>578</v>
      </c>
    </row>
    <row r="3811" spans="1:40" x14ac:dyDescent="0.35">
      <c r="A3811">
        <v>7002610</v>
      </c>
      <c r="B3811" t="s">
        <v>10324</v>
      </c>
      <c r="C3811" t="str">
        <f>"9783031042331"</f>
        <v>9783031042331</v>
      </c>
      <c r="D3811" t="str">
        <f>"9783031042348"</f>
        <v>9783031042348</v>
      </c>
      <c r="E3811" t="s">
        <v>2289</v>
      </c>
      <c r="F3811" t="s">
        <v>2290</v>
      </c>
      <c r="G3811" s="1">
        <v>44746</v>
      </c>
      <c r="H3811" s="1">
        <v>44719</v>
      </c>
      <c r="I3811" t="s">
        <v>189</v>
      </c>
      <c r="L3811" t="s">
        <v>10325</v>
      </c>
    </row>
    <row r="3812" spans="1:40" x14ac:dyDescent="0.35">
      <c r="A3812">
        <v>7002616</v>
      </c>
      <c r="B3812" t="s">
        <v>10326</v>
      </c>
      <c r="C3812" t="str">
        <f>"9783030989842"</f>
        <v>9783030989842</v>
      </c>
      <c r="D3812" t="str">
        <f>"9783030989859"</f>
        <v>9783030989859</v>
      </c>
      <c r="E3812" t="s">
        <v>2289</v>
      </c>
      <c r="F3812" t="s">
        <v>2663</v>
      </c>
      <c r="G3812" s="1">
        <v>44747</v>
      </c>
      <c r="H3812" s="1">
        <v>44719</v>
      </c>
      <c r="I3812" t="s">
        <v>189</v>
      </c>
      <c r="K3812" t="s">
        <v>10327</v>
      </c>
      <c r="L3812" t="s">
        <v>10328</v>
      </c>
    </row>
    <row r="3813" spans="1:40" x14ac:dyDescent="0.35">
      <c r="A3813">
        <v>7002626</v>
      </c>
      <c r="B3813" t="s">
        <v>10329</v>
      </c>
      <c r="C3813" t="str">
        <f>"9789811696398"</f>
        <v>9789811696398</v>
      </c>
      <c r="D3813" t="str">
        <f>"9789811696404"</f>
        <v>9789811696404</v>
      </c>
      <c r="E3813" t="s">
        <v>2662</v>
      </c>
      <c r="F3813" t="s">
        <v>2663</v>
      </c>
      <c r="G3813" s="1">
        <v>44746</v>
      </c>
      <c r="H3813" s="1">
        <v>44719</v>
      </c>
      <c r="I3813" t="s">
        <v>189</v>
      </c>
      <c r="K3813" t="s">
        <v>10330</v>
      </c>
      <c r="L3813" t="s">
        <v>10331</v>
      </c>
    </row>
    <row r="3814" spans="1:40" x14ac:dyDescent="0.35">
      <c r="A3814">
        <v>7007371</v>
      </c>
      <c r="B3814" t="s">
        <v>10332</v>
      </c>
      <c r="C3814" t="str">
        <f>"9789811916038"</f>
        <v>9789811916038</v>
      </c>
      <c r="D3814" t="str">
        <f>"9789811916045"</f>
        <v>9789811916045</v>
      </c>
      <c r="E3814" t="s">
        <v>2662</v>
      </c>
      <c r="F3814" t="s">
        <v>2663</v>
      </c>
      <c r="G3814" s="1">
        <v>44713</v>
      </c>
      <c r="H3814" s="1">
        <v>44719</v>
      </c>
      <c r="I3814" t="s">
        <v>189</v>
      </c>
      <c r="K3814" t="s">
        <v>10330</v>
      </c>
      <c r="L3814" t="s">
        <v>10333</v>
      </c>
    </row>
    <row r="3815" spans="1:40" x14ac:dyDescent="0.35">
      <c r="A3815">
        <v>7007849</v>
      </c>
      <c r="B3815" t="s">
        <v>10334</v>
      </c>
      <c r="C3815" t="str">
        <f>"9780472117833"</f>
        <v>9780472117833</v>
      </c>
      <c r="D3815" t="str">
        <f>"9780472900749"</f>
        <v>9780472900749</v>
      </c>
      <c r="E3815" t="s">
        <v>2090</v>
      </c>
      <c r="F3815" t="s">
        <v>2090</v>
      </c>
      <c r="G3815" s="1">
        <v>40864</v>
      </c>
      <c r="H3815" s="1">
        <v>44719</v>
      </c>
      <c r="I3815" t="s">
        <v>189</v>
      </c>
      <c r="K3815" t="s">
        <v>10335</v>
      </c>
      <c r="L3815" t="s">
        <v>10336</v>
      </c>
      <c r="M3815" t="s">
        <v>389</v>
      </c>
      <c r="N3815" t="s">
        <v>8271</v>
      </c>
      <c r="O3815" t="s">
        <v>10337</v>
      </c>
      <c r="Q3815" t="s">
        <v>260</v>
      </c>
      <c r="R3815" t="s">
        <v>261</v>
      </c>
      <c r="S3815" t="s">
        <v>261</v>
      </c>
      <c r="T3815" t="s">
        <v>261</v>
      </c>
      <c r="U3815" t="s">
        <v>261</v>
      </c>
      <c r="V3815" t="s">
        <v>262</v>
      </c>
      <c r="W3815" t="s">
        <v>261</v>
      </c>
      <c r="X3815" t="s">
        <v>261</v>
      </c>
      <c r="Y3815" t="s">
        <v>261</v>
      </c>
      <c r="AA3815" t="s">
        <v>409</v>
      </c>
      <c r="AB3815" t="s">
        <v>409</v>
      </c>
      <c r="AC3815" t="s">
        <v>409</v>
      </c>
      <c r="AD3815" t="s">
        <v>261</v>
      </c>
      <c r="AH3815" t="s">
        <v>262</v>
      </c>
      <c r="AI3815" t="s">
        <v>262</v>
      </c>
      <c r="AJ3815" t="s">
        <v>261</v>
      </c>
      <c r="AK3815" t="s">
        <v>261</v>
      </c>
      <c r="AM3815" t="s">
        <v>262</v>
      </c>
      <c r="AN3815" t="s">
        <v>10338</v>
      </c>
    </row>
    <row r="3816" spans="1:40" x14ac:dyDescent="0.35">
      <c r="A3816">
        <v>7007850</v>
      </c>
      <c r="B3816" t="s">
        <v>10339</v>
      </c>
      <c r="C3816" t="str">
        <f>"9780939512539"</f>
        <v>9780939512539</v>
      </c>
      <c r="D3816" t="str">
        <f>"9780472902156"</f>
        <v>9780472902156</v>
      </c>
      <c r="E3816" t="s">
        <v>6163</v>
      </c>
      <c r="F3816" t="s">
        <v>6163</v>
      </c>
      <c r="G3816" s="1">
        <v>33846</v>
      </c>
      <c r="H3816" s="1">
        <v>44719</v>
      </c>
      <c r="I3816" t="s">
        <v>189</v>
      </c>
      <c r="K3816" t="s">
        <v>8197</v>
      </c>
      <c r="L3816" t="s">
        <v>10340</v>
      </c>
      <c r="M3816" t="s">
        <v>219</v>
      </c>
      <c r="N3816" t="s">
        <v>10341</v>
      </c>
      <c r="O3816" s="2">
        <v>895114408</v>
      </c>
      <c r="Q3816" t="s">
        <v>260</v>
      </c>
      <c r="R3816" t="s">
        <v>261</v>
      </c>
      <c r="S3816" t="s">
        <v>261</v>
      </c>
      <c r="T3816" t="s">
        <v>261</v>
      </c>
      <c r="U3816" t="s">
        <v>261</v>
      </c>
      <c r="V3816" t="s">
        <v>262</v>
      </c>
      <c r="W3816" t="s">
        <v>261</v>
      </c>
      <c r="X3816" t="s">
        <v>261</v>
      </c>
      <c r="Y3816" t="s">
        <v>261</v>
      </c>
      <c r="AB3816" t="s">
        <v>409</v>
      </c>
      <c r="AD3816" t="s">
        <v>261</v>
      </c>
      <c r="AH3816" t="s">
        <v>262</v>
      </c>
      <c r="AI3816" t="s">
        <v>262</v>
      </c>
      <c r="AJ3816" t="s">
        <v>261</v>
      </c>
      <c r="AK3816" t="s">
        <v>261</v>
      </c>
      <c r="AM3816" t="s">
        <v>262</v>
      </c>
      <c r="AN3816" t="s">
        <v>10342</v>
      </c>
    </row>
    <row r="3817" spans="1:40" x14ac:dyDescent="0.35">
      <c r="A3817">
        <v>7007851</v>
      </c>
      <c r="B3817" t="s">
        <v>10343</v>
      </c>
      <c r="C3817" t="str">
        <f>"9781929280490"</f>
        <v>9781929280490</v>
      </c>
      <c r="D3817" t="str">
        <f>"9780472901968"</f>
        <v>9780472901968</v>
      </c>
      <c r="E3817" t="s">
        <v>6163</v>
      </c>
      <c r="F3817" t="s">
        <v>6163</v>
      </c>
      <c r="G3817" s="1">
        <v>39843</v>
      </c>
      <c r="H3817" s="1">
        <v>44719</v>
      </c>
      <c r="I3817" t="s">
        <v>189</v>
      </c>
      <c r="K3817" t="s">
        <v>8197</v>
      </c>
      <c r="L3817" t="s">
        <v>10344</v>
      </c>
      <c r="M3817" t="s">
        <v>249</v>
      </c>
    </row>
    <row r="3818" spans="1:40" x14ac:dyDescent="0.35">
      <c r="A3818">
        <v>7007852</v>
      </c>
      <c r="B3818" t="s">
        <v>10345</v>
      </c>
      <c r="C3818" t="str">
        <f>"9780891480136"</f>
        <v>9780891480136</v>
      </c>
      <c r="D3818" t="str">
        <f>"9780472901722"</f>
        <v>9780472901722</v>
      </c>
      <c r="E3818" t="s">
        <v>6145</v>
      </c>
      <c r="F3818" t="s">
        <v>6145</v>
      </c>
      <c r="G3818" s="1">
        <v>28491</v>
      </c>
      <c r="H3818" s="1">
        <v>44719</v>
      </c>
      <c r="I3818" t="s">
        <v>189</v>
      </c>
      <c r="K3818" t="s">
        <v>6146</v>
      </c>
      <c r="L3818" t="s">
        <v>10346</v>
      </c>
      <c r="M3818" t="s">
        <v>329</v>
      </c>
      <c r="N3818" t="s">
        <v>6148</v>
      </c>
      <c r="Q3818" t="s">
        <v>260</v>
      </c>
      <c r="R3818" t="s">
        <v>261</v>
      </c>
      <c r="S3818" t="s">
        <v>261</v>
      </c>
      <c r="T3818" t="s">
        <v>261</v>
      </c>
      <c r="U3818" t="s">
        <v>261</v>
      </c>
      <c r="V3818" t="s">
        <v>262</v>
      </c>
      <c r="W3818" t="s">
        <v>261</v>
      </c>
      <c r="X3818" t="s">
        <v>261</v>
      </c>
      <c r="Y3818" t="s">
        <v>261</v>
      </c>
      <c r="AB3818" t="s">
        <v>409</v>
      </c>
      <c r="AD3818" t="s">
        <v>261</v>
      </c>
      <c r="AH3818" t="s">
        <v>262</v>
      </c>
      <c r="AI3818" t="s">
        <v>262</v>
      </c>
      <c r="AJ3818" t="s">
        <v>261</v>
      </c>
      <c r="AK3818" t="s">
        <v>261</v>
      </c>
      <c r="AM3818" t="s">
        <v>262</v>
      </c>
      <c r="AN3818" t="s">
        <v>10347</v>
      </c>
    </row>
    <row r="3819" spans="1:40" x14ac:dyDescent="0.35">
      <c r="A3819">
        <v>7007853</v>
      </c>
      <c r="B3819" t="s">
        <v>10348</v>
      </c>
      <c r="C3819" t="str">
        <f>"9780472119097"</f>
        <v>9780472119097</v>
      </c>
      <c r="D3819" t="str">
        <f>"9780472900022"</f>
        <v>9780472900022</v>
      </c>
      <c r="E3819" t="s">
        <v>2090</v>
      </c>
      <c r="F3819" t="s">
        <v>2090</v>
      </c>
      <c r="G3819" s="1">
        <v>41897</v>
      </c>
      <c r="H3819" s="1">
        <v>44719</v>
      </c>
      <c r="I3819" t="s">
        <v>189</v>
      </c>
      <c r="L3819" t="s">
        <v>10349</v>
      </c>
      <c r="M3819" t="s">
        <v>329</v>
      </c>
    </row>
    <row r="3820" spans="1:40" x14ac:dyDescent="0.35">
      <c r="A3820">
        <v>7007855</v>
      </c>
      <c r="B3820" t="s">
        <v>10350</v>
      </c>
      <c r="C3820" t="str">
        <f>"9780891480648"</f>
        <v>9780891480648</v>
      </c>
      <c r="D3820" t="str">
        <f>"9780472901692"</f>
        <v>9780472901692</v>
      </c>
      <c r="E3820" t="s">
        <v>6145</v>
      </c>
      <c r="F3820" t="s">
        <v>6145</v>
      </c>
      <c r="G3820" s="1">
        <v>33239</v>
      </c>
      <c r="H3820" s="1">
        <v>44719</v>
      </c>
      <c r="I3820" t="s">
        <v>189</v>
      </c>
      <c r="K3820" t="s">
        <v>6146</v>
      </c>
      <c r="L3820" t="s">
        <v>10351</v>
      </c>
    </row>
    <row r="3821" spans="1:40" x14ac:dyDescent="0.35">
      <c r="A3821">
        <v>7007856</v>
      </c>
      <c r="B3821" t="s">
        <v>10352</v>
      </c>
      <c r="C3821" t="str">
        <f>"9780891480853"</f>
        <v>9780891480853</v>
      </c>
      <c r="D3821" t="str">
        <f>"9780472901739"</f>
        <v>9780472901739</v>
      </c>
      <c r="E3821" t="s">
        <v>6145</v>
      </c>
      <c r="F3821" t="s">
        <v>6145</v>
      </c>
      <c r="G3821" s="1">
        <v>36921</v>
      </c>
      <c r="H3821" s="1">
        <v>44719</v>
      </c>
      <c r="I3821" t="s">
        <v>189</v>
      </c>
      <c r="K3821" t="s">
        <v>6146</v>
      </c>
      <c r="L3821" t="s">
        <v>10353</v>
      </c>
    </row>
    <row r="3822" spans="1:40" x14ac:dyDescent="0.35">
      <c r="A3822">
        <v>7007857</v>
      </c>
      <c r="B3822" t="s">
        <v>10354</v>
      </c>
      <c r="C3822" t="str">
        <f>"9780892640355"</f>
        <v>9780892640355</v>
      </c>
      <c r="D3822" t="str">
        <f>"9780472901326"</f>
        <v>9780472901326</v>
      </c>
      <c r="E3822" t="s">
        <v>6151</v>
      </c>
      <c r="F3822" t="s">
        <v>6151</v>
      </c>
      <c r="G3822" s="1">
        <v>28491</v>
      </c>
      <c r="H3822" s="1">
        <v>44719</v>
      </c>
      <c r="I3822" t="s">
        <v>189</v>
      </c>
      <c r="K3822" t="s">
        <v>6152</v>
      </c>
      <c r="L3822" t="s">
        <v>10355</v>
      </c>
    </row>
    <row r="3823" spans="1:40" x14ac:dyDescent="0.35">
      <c r="A3823">
        <v>7007860</v>
      </c>
      <c r="B3823" t="s">
        <v>10356</v>
      </c>
      <c r="C3823" t="str">
        <f>"9780472115723"</f>
        <v>9780472115723</v>
      </c>
      <c r="D3823" t="str">
        <f>"9780472900886"</f>
        <v>9780472900886</v>
      </c>
      <c r="E3823" t="s">
        <v>2090</v>
      </c>
      <c r="F3823" t="s">
        <v>2090</v>
      </c>
      <c r="G3823" s="1">
        <v>39932</v>
      </c>
      <c r="H3823" s="1">
        <v>44719</v>
      </c>
      <c r="I3823" t="s">
        <v>189</v>
      </c>
      <c r="L3823" t="s">
        <v>10357</v>
      </c>
    </row>
    <row r="3824" spans="1:40" x14ac:dyDescent="0.35">
      <c r="A3824">
        <v>7007863</v>
      </c>
      <c r="B3824" t="s">
        <v>10358</v>
      </c>
      <c r="C3824" t="str">
        <f>"9780939512904"</f>
        <v>9780939512904</v>
      </c>
      <c r="D3824" t="str">
        <f>"9780472902163"</f>
        <v>9780472902163</v>
      </c>
      <c r="E3824" t="s">
        <v>6163</v>
      </c>
      <c r="F3824" t="s">
        <v>6163</v>
      </c>
      <c r="G3824" s="1">
        <v>36190</v>
      </c>
      <c r="H3824" s="1">
        <v>44719</v>
      </c>
      <c r="I3824" t="s">
        <v>189</v>
      </c>
      <c r="K3824" t="s">
        <v>8197</v>
      </c>
      <c r="L3824" t="s">
        <v>10359</v>
      </c>
    </row>
    <row r="3825" spans="1:40" x14ac:dyDescent="0.35">
      <c r="A3825">
        <v>7007864</v>
      </c>
      <c r="B3825" t="s">
        <v>10360</v>
      </c>
      <c r="C3825" t="str">
        <f>"9780472070800"</f>
        <v>9780472070800</v>
      </c>
      <c r="D3825" t="str">
        <f>"9780472900459"</f>
        <v>9780472900459</v>
      </c>
      <c r="E3825" t="s">
        <v>2090</v>
      </c>
      <c r="F3825" t="s">
        <v>2090</v>
      </c>
      <c r="G3825" s="1">
        <v>40149</v>
      </c>
      <c r="H3825" s="1">
        <v>44719</v>
      </c>
      <c r="I3825" t="s">
        <v>189</v>
      </c>
      <c r="K3825" t="s">
        <v>10361</v>
      </c>
      <c r="L3825" t="s">
        <v>10362</v>
      </c>
      <c r="M3825" t="s">
        <v>207</v>
      </c>
    </row>
    <row r="3826" spans="1:40" x14ac:dyDescent="0.35">
      <c r="A3826">
        <v>7007865</v>
      </c>
      <c r="B3826" t="s">
        <v>10363</v>
      </c>
      <c r="C3826" t="str">
        <f>"9780892641345"</f>
        <v>9780892641345</v>
      </c>
      <c r="D3826" t="str">
        <f>"9780472901753"</f>
        <v>9780472901753</v>
      </c>
      <c r="E3826" t="s">
        <v>6151</v>
      </c>
      <c r="F3826" t="s">
        <v>6151</v>
      </c>
      <c r="G3826" s="1">
        <v>36646</v>
      </c>
      <c r="H3826" s="1">
        <v>44719</v>
      </c>
      <c r="I3826" t="s">
        <v>189</v>
      </c>
      <c r="K3826" t="s">
        <v>6152</v>
      </c>
      <c r="L3826" t="s">
        <v>10364</v>
      </c>
    </row>
    <row r="3827" spans="1:40" x14ac:dyDescent="0.35">
      <c r="A3827">
        <v>7007867</v>
      </c>
      <c r="B3827" t="s">
        <v>10365</v>
      </c>
      <c r="C3827" t="str">
        <f>"9780892640249"</f>
        <v>9780892640249</v>
      </c>
      <c r="D3827" t="str">
        <f>"9780472901838"</f>
        <v>9780472901838</v>
      </c>
      <c r="E3827" t="s">
        <v>6151</v>
      </c>
      <c r="F3827" t="s">
        <v>6151</v>
      </c>
      <c r="G3827" s="1">
        <v>27760</v>
      </c>
      <c r="H3827" s="1">
        <v>44719</v>
      </c>
      <c r="I3827" t="s">
        <v>189</v>
      </c>
      <c r="K3827" t="s">
        <v>6152</v>
      </c>
      <c r="L3827" t="s">
        <v>10366</v>
      </c>
    </row>
    <row r="3828" spans="1:40" x14ac:dyDescent="0.35">
      <c r="A3828">
        <v>7007868</v>
      </c>
      <c r="B3828" t="s">
        <v>10367</v>
      </c>
      <c r="C3828" t="str">
        <f>"9781929280209"</f>
        <v>9781929280209</v>
      </c>
      <c r="D3828" t="str">
        <f>"9780472901937"</f>
        <v>9780472901937</v>
      </c>
      <c r="E3828" t="s">
        <v>6163</v>
      </c>
      <c r="F3828" t="s">
        <v>6163</v>
      </c>
      <c r="G3828" s="1">
        <v>37286</v>
      </c>
      <c r="H3828" s="1">
        <v>44719</v>
      </c>
      <c r="I3828" t="s">
        <v>189</v>
      </c>
      <c r="K3828" t="s">
        <v>10368</v>
      </c>
      <c r="L3828" t="s">
        <v>10369</v>
      </c>
      <c r="M3828" t="s">
        <v>389</v>
      </c>
      <c r="N3828" t="s">
        <v>10370</v>
      </c>
      <c r="Q3828" t="s">
        <v>260</v>
      </c>
      <c r="R3828" t="s">
        <v>261</v>
      </c>
      <c r="S3828" t="s">
        <v>261</v>
      </c>
      <c r="T3828" t="s">
        <v>261</v>
      </c>
      <c r="U3828" t="s">
        <v>261</v>
      </c>
      <c r="V3828" t="s">
        <v>262</v>
      </c>
      <c r="W3828" t="s">
        <v>261</v>
      </c>
      <c r="X3828" t="s">
        <v>261</v>
      </c>
      <c r="Y3828" t="s">
        <v>261</v>
      </c>
      <c r="AB3828" t="s">
        <v>409</v>
      </c>
      <c r="AD3828" t="s">
        <v>261</v>
      </c>
      <c r="AH3828" t="s">
        <v>262</v>
      </c>
      <c r="AI3828" t="s">
        <v>262</v>
      </c>
      <c r="AJ3828" t="s">
        <v>261</v>
      </c>
      <c r="AK3828" t="s">
        <v>261</v>
      </c>
      <c r="AM3828" t="s">
        <v>262</v>
      </c>
      <c r="AN3828" t="s">
        <v>10371</v>
      </c>
    </row>
    <row r="3829" spans="1:40" x14ac:dyDescent="0.35">
      <c r="A3829">
        <v>7007873</v>
      </c>
      <c r="B3829" t="s">
        <v>10372</v>
      </c>
      <c r="C3829" t="str">
        <f>"9780892640089"</f>
        <v>9780892640089</v>
      </c>
      <c r="D3829" t="str">
        <f>"9780472901548"</f>
        <v>9780472901548</v>
      </c>
      <c r="E3829" t="s">
        <v>6151</v>
      </c>
      <c r="F3829" t="s">
        <v>6151</v>
      </c>
      <c r="G3829" s="1">
        <v>25569</v>
      </c>
      <c r="H3829" s="1">
        <v>44719</v>
      </c>
      <c r="I3829" t="s">
        <v>189</v>
      </c>
      <c r="K3829" t="s">
        <v>6152</v>
      </c>
      <c r="L3829" t="s">
        <v>10373</v>
      </c>
      <c r="M3829" t="s">
        <v>578</v>
      </c>
      <c r="N3829" t="s">
        <v>10374</v>
      </c>
      <c r="O3829" s="2">
        <v>759951</v>
      </c>
      <c r="Q3829" t="s">
        <v>260</v>
      </c>
      <c r="R3829" t="s">
        <v>261</v>
      </c>
      <c r="S3829" t="s">
        <v>261</v>
      </c>
      <c r="T3829" t="s">
        <v>261</v>
      </c>
      <c r="U3829" t="s">
        <v>261</v>
      </c>
      <c r="V3829" t="s">
        <v>262</v>
      </c>
      <c r="W3829" t="s">
        <v>261</v>
      </c>
      <c r="X3829" t="s">
        <v>261</v>
      </c>
      <c r="Y3829" t="s">
        <v>261</v>
      </c>
      <c r="AB3829" t="s">
        <v>409</v>
      </c>
      <c r="AD3829" t="s">
        <v>261</v>
      </c>
      <c r="AH3829" t="s">
        <v>262</v>
      </c>
      <c r="AI3829" t="s">
        <v>262</v>
      </c>
      <c r="AJ3829" t="s">
        <v>261</v>
      </c>
      <c r="AK3829" t="s">
        <v>261</v>
      </c>
      <c r="AM3829" t="s">
        <v>262</v>
      </c>
      <c r="AN3829" t="s">
        <v>10375</v>
      </c>
    </row>
    <row r="3830" spans="1:40" x14ac:dyDescent="0.35">
      <c r="A3830">
        <v>7007874</v>
      </c>
      <c r="B3830" t="s">
        <v>10376</v>
      </c>
      <c r="C3830" t="str">
        <f>"9780892641260"</f>
        <v>9780892641260</v>
      </c>
      <c r="D3830" t="str">
        <f>"9780472901487"</f>
        <v>9780472901487</v>
      </c>
      <c r="E3830" t="s">
        <v>6151</v>
      </c>
      <c r="F3830" t="s">
        <v>6151</v>
      </c>
      <c r="G3830" s="1">
        <v>35825</v>
      </c>
      <c r="H3830" s="1">
        <v>44719</v>
      </c>
      <c r="I3830" t="s">
        <v>189</v>
      </c>
      <c r="K3830" t="s">
        <v>6152</v>
      </c>
      <c r="L3830" t="s">
        <v>10377</v>
      </c>
      <c r="M3830" t="s">
        <v>578</v>
      </c>
      <c r="N3830" t="s">
        <v>10378</v>
      </c>
      <c r="O3830" s="2">
        <v>7599510904</v>
      </c>
      <c r="Q3830" t="s">
        <v>260</v>
      </c>
      <c r="R3830" t="s">
        <v>261</v>
      </c>
      <c r="S3830" t="s">
        <v>261</v>
      </c>
      <c r="T3830" t="s">
        <v>261</v>
      </c>
      <c r="U3830" t="s">
        <v>261</v>
      </c>
      <c r="V3830" t="s">
        <v>262</v>
      </c>
      <c r="W3830" t="s">
        <v>261</v>
      </c>
      <c r="X3830" t="s">
        <v>261</v>
      </c>
      <c r="Y3830" t="s">
        <v>261</v>
      </c>
      <c r="AB3830" t="s">
        <v>409</v>
      </c>
      <c r="AD3830" t="s">
        <v>261</v>
      </c>
      <c r="AH3830" t="s">
        <v>262</v>
      </c>
      <c r="AI3830" t="s">
        <v>262</v>
      </c>
      <c r="AJ3830" t="s">
        <v>261</v>
      </c>
      <c r="AK3830" t="s">
        <v>261</v>
      </c>
      <c r="AM3830" t="s">
        <v>262</v>
      </c>
      <c r="AN3830" t="s">
        <v>10379</v>
      </c>
    </row>
    <row r="3831" spans="1:40" x14ac:dyDescent="0.35">
      <c r="A3831">
        <v>7007877</v>
      </c>
      <c r="B3831" t="s">
        <v>10380</v>
      </c>
      <c r="C3831" t="str">
        <f>"9780472116355"</f>
        <v>9780472116355</v>
      </c>
      <c r="D3831" t="str">
        <f>"9780472900527"</f>
        <v>9780472900527</v>
      </c>
      <c r="E3831" t="s">
        <v>2090</v>
      </c>
      <c r="F3831" t="s">
        <v>2090</v>
      </c>
      <c r="G3831" s="1">
        <v>39597</v>
      </c>
      <c r="H3831" s="1">
        <v>44719</v>
      </c>
      <c r="I3831" t="s">
        <v>189</v>
      </c>
      <c r="L3831" t="s">
        <v>10381</v>
      </c>
      <c r="M3831" t="s">
        <v>207</v>
      </c>
    </row>
    <row r="3832" spans="1:40" x14ac:dyDescent="0.35">
      <c r="A3832">
        <v>7007878</v>
      </c>
      <c r="B3832" t="s">
        <v>10382</v>
      </c>
      <c r="C3832" t="str">
        <f>"9780891480099"</f>
        <v>9780891480099</v>
      </c>
      <c r="D3832" t="str">
        <f>"9780472901944"</f>
        <v>9780472901944</v>
      </c>
      <c r="E3832" t="s">
        <v>6145</v>
      </c>
      <c r="F3832" t="s">
        <v>6145</v>
      </c>
      <c r="G3832" s="1">
        <v>27395</v>
      </c>
      <c r="H3832" s="1">
        <v>44719</v>
      </c>
      <c r="I3832" t="s">
        <v>189</v>
      </c>
      <c r="K3832" t="s">
        <v>6146</v>
      </c>
      <c r="L3832" t="s">
        <v>10383</v>
      </c>
      <c r="M3832" t="s">
        <v>316</v>
      </c>
      <c r="N3832" t="s">
        <v>10384</v>
      </c>
      <c r="Q3832" t="s">
        <v>260</v>
      </c>
      <c r="R3832" t="s">
        <v>261</v>
      </c>
      <c r="S3832" t="s">
        <v>261</v>
      </c>
      <c r="T3832" t="s">
        <v>261</v>
      </c>
      <c r="U3832" t="s">
        <v>261</v>
      </c>
      <c r="V3832" t="s">
        <v>262</v>
      </c>
      <c r="W3832" t="s">
        <v>261</v>
      </c>
      <c r="X3832" t="s">
        <v>261</v>
      </c>
      <c r="Y3832" t="s">
        <v>261</v>
      </c>
      <c r="AB3832" t="s">
        <v>409</v>
      </c>
      <c r="AD3832" t="s">
        <v>261</v>
      </c>
      <c r="AH3832" t="s">
        <v>262</v>
      </c>
      <c r="AI3832" t="s">
        <v>262</v>
      </c>
      <c r="AJ3832" t="s">
        <v>261</v>
      </c>
      <c r="AK3832" t="s">
        <v>261</v>
      </c>
      <c r="AM3832" t="s">
        <v>262</v>
      </c>
      <c r="AN3832" t="s">
        <v>10385</v>
      </c>
    </row>
    <row r="3833" spans="1:40" x14ac:dyDescent="0.35">
      <c r="A3833">
        <v>7007879</v>
      </c>
      <c r="B3833" t="s">
        <v>10386</v>
      </c>
      <c r="C3833" t="str">
        <f>"9780472118502"</f>
        <v>9780472118502</v>
      </c>
      <c r="D3833" t="str">
        <f>"9780472901050"</f>
        <v>9780472901050</v>
      </c>
      <c r="E3833" t="s">
        <v>2090</v>
      </c>
      <c r="F3833" t="s">
        <v>2090</v>
      </c>
      <c r="G3833" s="1">
        <v>41333</v>
      </c>
      <c r="H3833" s="1">
        <v>44719</v>
      </c>
      <c r="I3833" t="s">
        <v>189</v>
      </c>
      <c r="L3833" t="s">
        <v>10387</v>
      </c>
      <c r="M3833" t="s">
        <v>219</v>
      </c>
      <c r="N3833" t="s">
        <v>10388</v>
      </c>
      <c r="O3833" t="s">
        <v>10389</v>
      </c>
      <c r="Q3833" t="s">
        <v>260</v>
      </c>
      <c r="R3833" t="s">
        <v>261</v>
      </c>
      <c r="S3833" t="s">
        <v>261</v>
      </c>
      <c r="T3833" t="s">
        <v>261</v>
      </c>
      <c r="U3833" t="s">
        <v>261</v>
      </c>
      <c r="V3833" t="s">
        <v>262</v>
      </c>
      <c r="W3833" t="s">
        <v>261</v>
      </c>
      <c r="X3833" t="s">
        <v>261</v>
      </c>
      <c r="Y3833" t="s">
        <v>261</v>
      </c>
      <c r="AA3833" t="s">
        <v>409</v>
      </c>
      <c r="AB3833" t="s">
        <v>409</v>
      </c>
      <c r="AC3833" t="s">
        <v>409</v>
      </c>
      <c r="AD3833" t="s">
        <v>261</v>
      </c>
      <c r="AH3833" t="s">
        <v>262</v>
      </c>
      <c r="AI3833" t="s">
        <v>262</v>
      </c>
      <c r="AJ3833" t="s">
        <v>261</v>
      </c>
      <c r="AK3833" t="s">
        <v>261</v>
      </c>
      <c r="AM3833" t="s">
        <v>262</v>
      </c>
      <c r="AN3833" t="s">
        <v>10390</v>
      </c>
    </row>
    <row r="3834" spans="1:40" x14ac:dyDescent="0.35">
      <c r="A3834">
        <v>7007880</v>
      </c>
      <c r="B3834" t="s">
        <v>10391</v>
      </c>
      <c r="C3834" t="str">
        <f>"9780472099825"</f>
        <v>9780472099825</v>
      </c>
      <c r="D3834" t="str">
        <f>"9780472901135"</f>
        <v>9780472901135</v>
      </c>
      <c r="E3834" t="s">
        <v>2090</v>
      </c>
      <c r="F3834" t="s">
        <v>2090</v>
      </c>
      <c r="G3834" s="1">
        <v>39293</v>
      </c>
      <c r="H3834" s="1">
        <v>44719</v>
      </c>
      <c r="I3834" t="s">
        <v>189</v>
      </c>
      <c r="K3834" t="s">
        <v>10392</v>
      </c>
      <c r="L3834" t="s">
        <v>10393</v>
      </c>
      <c r="M3834" t="s">
        <v>329</v>
      </c>
      <c r="N3834" t="s">
        <v>10394</v>
      </c>
      <c r="O3834" s="2">
        <v>364601</v>
      </c>
      <c r="Q3834" t="s">
        <v>260</v>
      </c>
      <c r="R3834" t="s">
        <v>261</v>
      </c>
      <c r="S3834" t="s">
        <v>261</v>
      </c>
      <c r="T3834" t="s">
        <v>261</v>
      </c>
      <c r="U3834" t="s">
        <v>261</v>
      </c>
      <c r="V3834" t="s">
        <v>262</v>
      </c>
      <c r="W3834" t="s">
        <v>261</v>
      </c>
      <c r="X3834" t="s">
        <v>261</v>
      </c>
      <c r="Y3834" t="s">
        <v>261</v>
      </c>
      <c r="AA3834" t="s">
        <v>409</v>
      </c>
      <c r="AB3834" t="s">
        <v>409</v>
      </c>
      <c r="AC3834" t="s">
        <v>409</v>
      </c>
      <c r="AD3834" t="s">
        <v>261</v>
      </c>
      <c r="AH3834" t="s">
        <v>262</v>
      </c>
      <c r="AI3834" t="s">
        <v>262</v>
      </c>
      <c r="AJ3834" t="s">
        <v>261</v>
      </c>
      <c r="AK3834" t="s">
        <v>261</v>
      </c>
      <c r="AM3834" t="s">
        <v>262</v>
      </c>
      <c r="AN3834" t="s">
        <v>10395</v>
      </c>
    </row>
    <row r="3835" spans="1:40" x14ac:dyDescent="0.35">
      <c r="A3835">
        <v>7007882</v>
      </c>
      <c r="B3835" t="s">
        <v>10396</v>
      </c>
      <c r="C3835" t="str">
        <f>"9780891480433"</f>
        <v>9780891480433</v>
      </c>
      <c r="D3835" t="str">
        <f>"9780472902309"</f>
        <v>9780472902309</v>
      </c>
      <c r="E3835" t="s">
        <v>6145</v>
      </c>
      <c r="F3835" t="s">
        <v>6145</v>
      </c>
      <c r="G3835" s="1">
        <v>32172</v>
      </c>
      <c r="H3835" s="1">
        <v>44719</v>
      </c>
      <c r="I3835" t="s">
        <v>189</v>
      </c>
      <c r="K3835" t="s">
        <v>6146</v>
      </c>
      <c r="L3835" t="s">
        <v>10397</v>
      </c>
      <c r="M3835" t="s">
        <v>239</v>
      </c>
      <c r="N3835" t="s">
        <v>10398</v>
      </c>
      <c r="Q3835" t="s">
        <v>260</v>
      </c>
      <c r="R3835" t="s">
        <v>261</v>
      </c>
      <c r="S3835" t="s">
        <v>261</v>
      </c>
      <c r="T3835" t="s">
        <v>261</v>
      </c>
      <c r="U3835" t="s">
        <v>261</v>
      </c>
      <c r="V3835" t="s">
        <v>262</v>
      </c>
      <c r="W3835" t="s">
        <v>261</v>
      </c>
      <c r="X3835" t="s">
        <v>261</v>
      </c>
      <c r="Y3835" t="s">
        <v>261</v>
      </c>
      <c r="AB3835" t="s">
        <v>409</v>
      </c>
      <c r="AD3835" t="s">
        <v>261</v>
      </c>
      <c r="AH3835" t="s">
        <v>262</v>
      </c>
      <c r="AI3835" t="s">
        <v>262</v>
      </c>
      <c r="AJ3835" t="s">
        <v>261</v>
      </c>
      <c r="AK3835" t="s">
        <v>261</v>
      </c>
      <c r="AM3835" t="s">
        <v>262</v>
      </c>
      <c r="AN3835" t="s">
        <v>10399</v>
      </c>
    </row>
    <row r="3836" spans="1:40" x14ac:dyDescent="0.35">
      <c r="A3836">
        <v>7007883</v>
      </c>
      <c r="B3836" t="s">
        <v>10400</v>
      </c>
      <c r="C3836" t="str">
        <f>"9780892640171"</f>
        <v>9780892640171</v>
      </c>
      <c r="D3836" t="str">
        <f>"9780472902224"</f>
        <v>9780472902224</v>
      </c>
      <c r="E3836" t="s">
        <v>6151</v>
      </c>
      <c r="F3836" t="s">
        <v>6151</v>
      </c>
      <c r="G3836" s="1">
        <v>27030</v>
      </c>
      <c r="H3836" s="1">
        <v>44719</v>
      </c>
      <c r="I3836" t="s">
        <v>189</v>
      </c>
      <c r="K3836" t="s">
        <v>6152</v>
      </c>
      <c r="L3836" t="s">
        <v>6158</v>
      </c>
      <c r="M3836" t="s">
        <v>249</v>
      </c>
      <c r="N3836" t="s">
        <v>10401</v>
      </c>
      <c r="Q3836" t="s">
        <v>260</v>
      </c>
      <c r="R3836" t="s">
        <v>261</v>
      </c>
      <c r="S3836" t="s">
        <v>261</v>
      </c>
      <c r="T3836" t="s">
        <v>261</v>
      </c>
      <c r="U3836" t="s">
        <v>261</v>
      </c>
      <c r="V3836" t="s">
        <v>262</v>
      </c>
      <c r="W3836" t="s">
        <v>261</v>
      </c>
      <c r="X3836" t="s">
        <v>261</v>
      </c>
      <c r="Y3836" t="s">
        <v>261</v>
      </c>
      <c r="AB3836" t="s">
        <v>409</v>
      </c>
      <c r="AD3836" t="s">
        <v>261</v>
      </c>
      <c r="AH3836" t="s">
        <v>262</v>
      </c>
      <c r="AI3836" t="s">
        <v>262</v>
      </c>
      <c r="AJ3836" t="s">
        <v>261</v>
      </c>
      <c r="AK3836" t="s">
        <v>261</v>
      </c>
      <c r="AM3836" t="s">
        <v>262</v>
      </c>
      <c r="AN3836" t="s">
        <v>10402</v>
      </c>
    </row>
    <row r="3837" spans="1:40" x14ac:dyDescent="0.35">
      <c r="A3837">
        <v>7007884</v>
      </c>
      <c r="B3837" t="s">
        <v>10403</v>
      </c>
      <c r="C3837" t="str">
        <f>"9780892641109"</f>
        <v>9780892641109</v>
      </c>
      <c r="D3837" t="str">
        <f>"9780472901357"</f>
        <v>9780472901357</v>
      </c>
      <c r="E3837" t="s">
        <v>6151</v>
      </c>
      <c r="F3837" t="s">
        <v>6151</v>
      </c>
      <c r="G3837" s="1">
        <v>34730</v>
      </c>
      <c r="H3837" s="1">
        <v>44719</v>
      </c>
      <c r="I3837" t="s">
        <v>189</v>
      </c>
      <c r="K3837" t="s">
        <v>6152</v>
      </c>
      <c r="L3837" t="s">
        <v>10404</v>
      </c>
      <c r="M3837" t="s">
        <v>219</v>
      </c>
      <c r="N3837" t="s">
        <v>10405</v>
      </c>
      <c r="O3837" s="2">
        <v>89511009</v>
      </c>
      <c r="Q3837" t="s">
        <v>260</v>
      </c>
      <c r="R3837" t="s">
        <v>261</v>
      </c>
      <c r="S3837" t="s">
        <v>261</v>
      </c>
      <c r="T3837" t="s">
        <v>261</v>
      </c>
      <c r="U3837" t="s">
        <v>261</v>
      </c>
      <c r="V3837" t="s">
        <v>262</v>
      </c>
      <c r="W3837" t="s">
        <v>261</v>
      </c>
      <c r="X3837" t="s">
        <v>261</v>
      </c>
      <c r="Y3837" t="s">
        <v>261</v>
      </c>
      <c r="AB3837" t="s">
        <v>409</v>
      </c>
      <c r="AD3837" t="s">
        <v>261</v>
      </c>
      <c r="AH3837" t="s">
        <v>262</v>
      </c>
      <c r="AI3837" t="s">
        <v>262</v>
      </c>
      <c r="AJ3837" t="s">
        <v>261</v>
      </c>
      <c r="AK3837" t="s">
        <v>261</v>
      </c>
      <c r="AM3837" t="s">
        <v>262</v>
      </c>
      <c r="AN3837" t="s">
        <v>10406</v>
      </c>
    </row>
    <row r="3838" spans="1:40" x14ac:dyDescent="0.35">
      <c r="A3838">
        <v>7007886</v>
      </c>
      <c r="B3838" t="s">
        <v>10407</v>
      </c>
      <c r="C3838" t="str">
        <f>"9780939512485"</f>
        <v>9780939512485</v>
      </c>
      <c r="D3838" t="str">
        <f>"9780472901593"</f>
        <v>9780472901593</v>
      </c>
      <c r="E3838" t="s">
        <v>6163</v>
      </c>
      <c r="F3838" t="s">
        <v>6163</v>
      </c>
      <c r="G3838" s="1">
        <v>33662</v>
      </c>
      <c r="H3838" s="1">
        <v>44719</v>
      </c>
      <c r="I3838" t="s">
        <v>189</v>
      </c>
      <c r="K3838" t="s">
        <v>8197</v>
      </c>
      <c r="L3838" t="s">
        <v>10408</v>
      </c>
      <c r="M3838" t="s">
        <v>219</v>
      </c>
      <c r="N3838" t="s">
        <v>10409</v>
      </c>
      <c r="O3838" s="2">
        <v>8956322</v>
      </c>
      <c r="Q3838" t="s">
        <v>260</v>
      </c>
      <c r="R3838" t="s">
        <v>261</v>
      </c>
      <c r="S3838" t="s">
        <v>261</v>
      </c>
      <c r="T3838" t="s">
        <v>261</v>
      </c>
      <c r="U3838" t="s">
        <v>261</v>
      </c>
      <c r="V3838" t="s">
        <v>262</v>
      </c>
      <c r="W3838" t="s">
        <v>261</v>
      </c>
      <c r="X3838" t="s">
        <v>261</v>
      </c>
      <c r="Y3838" t="s">
        <v>261</v>
      </c>
      <c r="AB3838" t="s">
        <v>409</v>
      </c>
      <c r="AD3838" t="s">
        <v>261</v>
      </c>
      <c r="AH3838" t="s">
        <v>262</v>
      </c>
      <c r="AI3838" t="s">
        <v>262</v>
      </c>
      <c r="AJ3838" t="s">
        <v>261</v>
      </c>
      <c r="AK3838" t="s">
        <v>261</v>
      </c>
      <c r="AM3838" t="s">
        <v>262</v>
      </c>
      <c r="AN3838" t="s">
        <v>10410</v>
      </c>
    </row>
    <row r="3839" spans="1:40" x14ac:dyDescent="0.35">
      <c r="A3839">
        <v>7007887</v>
      </c>
      <c r="B3839" t="s">
        <v>10411</v>
      </c>
      <c r="C3839" t="str">
        <f>"9780892640263"</f>
        <v>9780892640263</v>
      </c>
      <c r="D3839" t="str">
        <f>"9780472902149"</f>
        <v>9780472902149</v>
      </c>
      <c r="E3839" t="s">
        <v>6151</v>
      </c>
      <c r="F3839" t="s">
        <v>6151</v>
      </c>
      <c r="G3839" s="1">
        <v>27760</v>
      </c>
      <c r="H3839" s="1">
        <v>44719</v>
      </c>
      <c r="I3839" t="s">
        <v>189</v>
      </c>
      <c r="K3839" t="s">
        <v>6152</v>
      </c>
      <c r="L3839" t="s">
        <v>10412</v>
      </c>
      <c r="M3839" t="s">
        <v>239</v>
      </c>
      <c r="N3839" t="s">
        <v>10413</v>
      </c>
      <c r="Q3839" t="s">
        <v>260</v>
      </c>
      <c r="R3839" t="s">
        <v>261</v>
      </c>
      <c r="S3839" t="s">
        <v>261</v>
      </c>
      <c r="T3839" t="s">
        <v>261</v>
      </c>
      <c r="U3839" t="s">
        <v>261</v>
      </c>
      <c r="V3839" t="s">
        <v>262</v>
      </c>
      <c r="W3839" t="s">
        <v>261</v>
      </c>
      <c r="X3839" t="s">
        <v>261</v>
      </c>
      <c r="Y3839" t="s">
        <v>261</v>
      </c>
      <c r="AB3839" t="s">
        <v>409</v>
      </c>
      <c r="AD3839" t="s">
        <v>261</v>
      </c>
      <c r="AH3839" t="s">
        <v>262</v>
      </c>
      <c r="AI3839" t="s">
        <v>262</v>
      </c>
      <c r="AJ3839" t="s">
        <v>261</v>
      </c>
      <c r="AK3839" t="s">
        <v>261</v>
      </c>
      <c r="AM3839" t="s">
        <v>262</v>
      </c>
      <c r="AN3839" t="s">
        <v>10414</v>
      </c>
    </row>
    <row r="3840" spans="1:40" x14ac:dyDescent="0.35">
      <c r="A3840">
        <v>7007888</v>
      </c>
      <c r="B3840" t="s">
        <v>10415</v>
      </c>
      <c r="C3840" t="str">
        <f>"9780891480624"</f>
        <v>9780891480624</v>
      </c>
      <c r="D3840" t="str">
        <f>"9780472901715"</f>
        <v>9780472901715</v>
      </c>
      <c r="E3840" t="s">
        <v>6145</v>
      </c>
      <c r="F3840" t="s">
        <v>6145</v>
      </c>
      <c r="G3840" s="1">
        <v>33239</v>
      </c>
      <c r="H3840" s="1">
        <v>44719</v>
      </c>
      <c r="I3840" t="s">
        <v>189</v>
      </c>
      <c r="K3840" t="s">
        <v>6146</v>
      </c>
      <c r="L3840" t="s">
        <v>10416</v>
      </c>
    </row>
    <row r="3841" spans="1:40" x14ac:dyDescent="0.35">
      <c r="A3841">
        <v>7007889</v>
      </c>
      <c r="B3841" t="s">
        <v>10417</v>
      </c>
      <c r="C3841" t="str">
        <f>"9780472119011"</f>
        <v>9780472119011</v>
      </c>
      <c r="D3841" t="str">
        <f>"9780472900015"</f>
        <v>9780472900015</v>
      </c>
      <c r="E3841" t="s">
        <v>2090</v>
      </c>
      <c r="F3841" t="s">
        <v>2090</v>
      </c>
      <c r="G3841" s="1">
        <v>41547</v>
      </c>
      <c r="H3841" s="1">
        <v>44719</v>
      </c>
      <c r="I3841" t="s">
        <v>189</v>
      </c>
      <c r="K3841" t="s">
        <v>10418</v>
      </c>
      <c r="L3841" t="s">
        <v>10419</v>
      </c>
      <c r="M3841" t="s">
        <v>210</v>
      </c>
      <c r="N3841" t="s">
        <v>10420</v>
      </c>
      <c r="O3841" s="2">
        <v>32873073455</v>
      </c>
      <c r="Q3841" t="s">
        <v>260</v>
      </c>
      <c r="R3841" t="s">
        <v>261</v>
      </c>
      <c r="S3841" t="s">
        <v>261</v>
      </c>
      <c r="T3841" t="s">
        <v>261</v>
      </c>
      <c r="U3841" t="s">
        <v>261</v>
      </c>
      <c r="V3841" t="s">
        <v>262</v>
      </c>
      <c r="W3841" t="s">
        <v>261</v>
      </c>
      <c r="X3841" t="s">
        <v>261</v>
      </c>
      <c r="Y3841" t="s">
        <v>261</v>
      </c>
      <c r="AA3841" t="s">
        <v>409</v>
      </c>
      <c r="AB3841" t="s">
        <v>409</v>
      </c>
      <c r="AC3841" t="s">
        <v>409</v>
      </c>
      <c r="AD3841" t="s">
        <v>261</v>
      </c>
      <c r="AH3841" t="s">
        <v>262</v>
      </c>
      <c r="AI3841" t="s">
        <v>262</v>
      </c>
      <c r="AJ3841" t="s">
        <v>261</v>
      </c>
      <c r="AK3841" t="s">
        <v>261</v>
      </c>
      <c r="AM3841" t="s">
        <v>262</v>
      </c>
      <c r="AN3841" t="s">
        <v>10421</v>
      </c>
    </row>
    <row r="3842" spans="1:40" x14ac:dyDescent="0.35">
      <c r="A3842">
        <v>7007890</v>
      </c>
      <c r="B3842" t="s">
        <v>10422</v>
      </c>
      <c r="C3842" t="str">
        <f>"9780472117338"</f>
        <v>9780472117338</v>
      </c>
      <c r="D3842" t="str">
        <f>"9780472901012"</f>
        <v>9780472901012</v>
      </c>
      <c r="E3842" t="s">
        <v>2090</v>
      </c>
      <c r="F3842" t="s">
        <v>2090</v>
      </c>
      <c r="G3842" s="1">
        <v>40812</v>
      </c>
      <c r="H3842" s="1">
        <v>44719</v>
      </c>
      <c r="I3842" t="s">
        <v>189</v>
      </c>
      <c r="L3842" t="s">
        <v>10423</v>
      </c>
      <c r="M3842" t="s">
        <v>219</v>
      </c>
      <c r="N3842" t="s">
        <v>10424</v>
      </c>
      <c r="O3842" t="s">
        <v>10425</v>
      </c>
      <c r="Q3842" t="s">
        <v>260</v>
      </c>
      <c r="R3842" t="s">
        <v>261</v>
      </c>
      <c r="S3842" t="s">
        <v>261</v>
      </c>
      <c r="T3842" t="s">
        <v>261</v>
      </c>
      <c r="U3842" t="s">
        <v>261</v>
      </c>
      <c r="V3842" t="s">
        <v>262</v>
      </c>
      <c r="W3842" t="s">
        <v>261</v>
      </c>
      <c r="X3842" t="s">
        <v>261</v>
      </c>
      <c r="Y3842" t="s">
        <v>261</v>
      </c>
      <c r="AA3842" t="s">
        <v>409</v>
      </c>
      <c r="AB3842" t="s">
        <v>409</v>
      </c>
      <c r="AC3842" t="s">
        <v>409</v>
      </c>
      <c r="AD3842" t="s">
        <v>261</v>
      </c>
      <c r="AH3842" t="s">
        <v>262</v>
      </c>
      <c r="AI3842" t="s">
        <v>261</v>
      </c>
      <c r="AJ3842" t="s">
        <v>261</v>
      </c>
      <c r="AK3842" t="s">
        <v>261</v>
      </c>
      <c r="AM3842" t="s">
        <v>262</v>
      </c>
      <c r="AN3842" t="s">
        <v>10426</v>
      </c>
    </row>
    <row r="3843" spans="1:40" x14ac:dyDescent="0.35">
      <c r="A3843">
        <v>7007891</v>
      </c>
      <c r="B3843" t="s">
        <v>10427</v>
      </c>
      <c r="C3843" t="str">
        <f>"9780939512089"</f>
        <v>9780939512089</v>
      </c>
      <c r="D3843" t="str">
        <f>"9780472902033"</f>
        <v>9780472902033</v>
      </c>
      <c r="E3843" t="s">
        <v>6163</v>
      </c>
      <c r="F3843" t="s">
        <v>6163</v>
      </c>
      <c r="G3843" s="1">
        <v>29587</v>
      </c>
      <c r="H3843" s="1">
        <v>44719</v>
      </c>
      <c r="I3843" t="s">
        <v>189</v>
      </c>
      <c r="K3843" t="s">
        <v>6164</v>
      </c>
      <c r="L3843" t="s">
        <v>6165</v>
      </c>
      <c r="M3843" t="s">
        <v>249</v>
      </c>
      <c r="N3843" t="s">
        <v>6166</v>
      </c>
      <c r="Q3843" t="s">
        <v>260</v>
      </c>
      <c r="R3843" t="s">
        <v>261</v>
      </c>
      <c r="S3843" t="s">
        <v>261</v>
      </c>
      <c r="T3843" t="s">
        <v>261</v>
      </c>
      <c r="U3843" t="s">
        <v>261</v>
      </c>
      <c r="V3843" t="s">
        <v>262</v>
      </c>
      <c r="W3843" t="s">
        <v>261</v>
      </c>
      <c r="X3843" t="s">
        <v>261</v>
      </c>
      <c r="Y3843" t="s">
        <v>261</v>
      </c>
      <c r="AB3843" t="s">
        <v>409</v>
      </c>
      <c r="AD3843" t="s">
        <v>261</v>
      </c>
      <c r="AH3843" t="s">
        <v>262</v>
      </c>
      <c r="AI3843" t="s">
        <v>262</v>
      </c>
      <c r="AJ3843" t="s">
        <v>261</v>
      </c>
      <c r="AK3843" t="s">
        <v>261</v>
      </c>
      <c r="AM3843" t="s">
        <v>262</v>
      </c>
      <c r="AN3843" t="s">
        <v>10428</v>
      </c>
    </row>
    <row r="3844" spans="1:40" x14ac:dyDescent="0.35">
      <c r="A3844">
        <v>7007892</v>
      </c>
      <c r="B3844" t="s">
        <v>10429</v>
      </c>
      <c r="C3844" t="str">
        <f>"9780472118632"</f>
        <v>9780472118632</v>
      </c>
      <c r="D3844" t="str">
        <f>"9780472900992"</f>
        <v>9780472900992</v>
      </c>
      <c r="E3844" t="s">
        <v>2090</v>
      </c>
      <c r="F3844" t="s">
        <v>2090</v>
      </c>
      <c r="G3844" s="1">
        <v>41313</v>
      </c>
      <c r="H3844" s="1">
        <v>44719</v>
      </c>
      <c r="I3844" t="s">
        <v>189</v>
      </c>
      <c r="K3844" t="s">
        <v>10430</v>
      </c>
      <c r="L3844" t="s">
        <v>10431</v>
      </c>
    </row>
    <row r="3845" spans="1:40" x14ac:dyDescent="0.35">
      <c r="A3845">
        <v>7007893</v>
      </c>
      <c r="B3845" t="s">
        <v>10432</v>
      </c>
      <c r="C3845" t="str">
        <f>"9780472119172"</f>
        <v>9780472119172</v>
      </c>
      <c r="D3845" t="str">
        <f>"9780472900961"</f>
        <v>9780472900961</v>
      </c>
      <c r="E3845" t="s">
        <v>2090</v>
      </c>
      <c r="F3845" t="s">
        <v>2090</v>
      </c>
      <c r="G3845" s="1">
        <v>41806</v>
      </c>
      <c r="H3845" s="1">
        <v>44719</v>
      </c>
      <c r="I3845" t="s">
        <v>189</v>
      </c>
      <c r="L3845" t="s">
        <v>10433</v>
      </c>
      <c r="M3845" t="s">
        <v>578</v>
      </c>
      <c r="N3845" t="s">
        <v>10434</v>
      </c>
      <c r="O3845" t="s">
        <v>10435</v>
      </c>
      <c r="Q3845" t="s">
        <v>260</v>
      </c>
      <c r="R3845" t="s">
        <v>261</v>
      </c>
      <c r="S3845" t="s">
        <v>261</v>
      </c>
      <c r="T3845" t="s">
        <v>261</v>
      </c>
      <c r="U3845" t="s">
        <v>261</v>
      </c>
      <c r="V3845" t="s">
        <v>262</v>
      </c>
      <c r="W3845" t="s">
        <v>261</v>
      </c>
      <c r="X3845" t="s">
        <v>261</v>
      </c>
      <c r="Y3845" t="s">
        <v>261</v>
      </c>
      <c r="AA3845" t="s">
        <v>409</v>
      </c>
      <c r="AB3845" t="s">
        <v>409</v>
      </c>
      <c r="AC3845" t="s">
        <v>409</v>
      </c>
      <c r="AD3845" t="s">
        <v>261</v>
      </c>
      <c r="AH3845" t="s">
        <v>262</v>
      </c>
      <c r="AI3845" t="s">
        <v>262</v>
      </c>
      <c r="AJ3845" t="s">
        <v>261</v>
      </c>
      <c r="AK3845" t="s">
        <v>261</v>
      </c>
      <c r="AM3845" t="s">
        <v>262</v>
      </c>
      <c r="AN3845" t="s">
        <v>10436</v>
      </c>
    </row>
    <row r="3846" spans="1:40" x14ac:dyDescent="0.35">
      <c r="A3846">
        <v>7007894</v>
      </c>
      <c r="B3846" t="s">
        <v>10437</v>
      </c>
      <c r="C3846" t="str">
        <f>"9780939512126"</f>
        <v>9780939512126</v>
      </c>
      <c r="D3846" t="str">
        <f>"9780472902040"</f>
        <v>9780472902040</v>
      </c>
      <c r="E3846" t="s">
        <v>6163</v>
      </c>
      <c r="F3846" t="s">
        <v>6163</v>
      </c>
      <c r="G3846" s="1">
        <v>29952</v>
      </c>
      <c r="H3846" s="1">
        <v>44719</v>
      </c>
      <c r="I3846" t="s">
        <v>189</v>
      </c>
      <c r="K3846" t="s">
        <v>6164</v>
      </c>
      <c r="L3846" t="s">
        <v>6165</v>
      </c>
      <c r="M3846" t="s">
        <v>282</v>
      </c>
    </row>
    <row r="3847" spans="1:40" x14ac:dyDescent="0.35">
      <c r="A3847">
        <v>7007896</v>
      </c>
      <c r="B3847" t="s">
        <v>10438</v>
      </c>
      <c r="C3847" t="str">
        <f>"9780891480112"</f>
        <v>9780891480112</v>
      </c>
      <c r="D3847" t="str">
        <f>"9780472901951"</f>
        <v>9780472901951</v>
      </c>
      <c r="E3847" t="s">
        <v>6145</v>
      </c>
      <c r="F3847" t="s">
        <v>6145</v>
      </c>
      <c r="G3847" s="1">
        <v>27760</v>
      </c>
      <c r="H3847" s="1">
        <v>44719</v>
      </c>
      <c r="I3847" t="s">
        <v>189</v>
      </c>
      <c r="K3847" t="s">
        <v>6146</v>
      </c>
      <c r="L3847" t="s">
        <v>10439</v>
      </c>
    </row>
    <row r="3848" spans="1:40" x14ac:dyDescent="0.35">
      <c r="A3848">
        <v>7007897</v>
      </c>
      <c r="B3848" t="s">
        <v>10440</v>
      </c>
      <c r="C3848" t="str">
        <f>"9780892640515"</f>
        <v>9780892640515</v>
      </c>
      <c r="D3848" t="str">
        <f>"9780472902231"</f>
        <v>9780472902231</v>
      </c>
      <c r="E3848" t="s">
        <v>6151</v>
      </c>
      <c r="F3848" t="s">
        <v>6151</v>
      </c>
      <c r="G3848" s="1">
        <v>30711</v>
      </c>
      <c r="H3848" s="1">
        <v>44719</v>
      </c>
      <c r="I3848" t="s">
        <v>189</v>
      </c>
      <c r="K3848" t="s">
        <v>6152</v>
      </c>
      <c r="L3848" t="s">
        <v>10441</v>
      </c>
      <c r="M3848" t="s">
        <v>329</v>
      </c>
      <c r="N3848" t="s">
        <v>10442</v>
      </c>
      <c r="Q3848" t="s">
        <v>260</v>
      </c>
      <c r="R3848" t="s">
        <v>261</v>
      </c>
      <c r="S3848" t="s">
        <v>261</v>
      </c>
      <c r="T3848" t="s">
        <v>261</v>
      </c>
      <c r="U3848" t="s">
        <v>261</v>
      </c>
      <c r="V3848" t="s">
        <v>262</v>
      </c>
      <c r="W3848" t="s">
        <v>261</v>
      </c>
      <c r="X3848" t="s">
        <v>261</v>
      </c>
      <c r="Y3848" t="s">
        <v>261</v>
      </c>
      <c r="AB3848" t="s">
        <v>409</v>
      </c>
      <c r="AD3848" t="s">
        <v>261</v>
      </c>
      <c r="AH3848" t="s">
        <v>262</v>
      </c>
      <c r="AI3848" t="s">
        <v>262</v>
      </c>
      <c r="AJ3848" t="s">
        <v>261</v>
      </c>
      <c r="AK3848" t="s">
        <v>261</v>
      </c>
      <c r="AM3848" t="s">
        <v>262</v>
      </c>
      <c r="AN3848" t="s">
        <v>10443</v>
      </c>
    </row>
    <row r="3849" spans="1:40" x14ac:dyDescent="0.35">
      <c r="A3849">
        <v>7007898</v>
      </c>
      <c r="B3849" t="s">
        <v>10444</v>
      </c>
      <c r="C3849" t="str">
        <f>"9780939512959"</f>
        <v>9780939512959</v>
      </c>
      <c r="D3849" t="str">
        <f>"9780472901920"</f>
        <v>9780472901920</v>
      </c>
      <c r="E3849" t="s">
        <v>6163</v>
      </c>
      <c r="F3849" t="s">
        <v>6163</v>
      </c>
      <c r="G3849" s="1">
        <v>36980</v>
      </c>
      <c r="H3849" s="1">
        <v>44719</v>
      </c>
      <c r="I3849" t="s">
        <v>189</v>
      </c>
      <c r="L3849" t="s">
        <v>10445</v>
      </c>
      <c r="M3849" t="s">
        <v>239</v>
      </c>
      <c r="N3849" t="s">
        <v>10446</v>
      </c>
      <c r="Q3849" t="s">
        <v>260</v>
      </c>
      <c r="R3849" t="s">
        <v>261</v>
      </c>
      <c r="S3849" t="s">
        <v>261</v>
      </c>
      <c r="T3849" t="s">
        <v>261</v>
      </c>
      <c r="U3849" t="s">
        <v>261</v>
      </c>
      <c r="V3849" t="s">
        <v>262</v>
      </c>
      <c r="W3849" t="s">
        <v>261</v>
      </c>
      <c r="X3849" t="s">
        <v>261</v>
      </c>
      <c r="Y3849" t="s">
        <v>261</v>
      </c>
      <c r="AB3849" t="s">
        <v>409</v>
      </c>
      <c r="AD3849" t="s">
        <v>261</v>
      </c>
      <c r="AH3849" t="s">
        <v>262</v>
      </c>
      <c r="AI3849" t="s">
        <v>262</v>
      </c>
      <c r="AJ3849" t="s">
        <v>261</v>
      </c>
      <c r="AK3849" t="s">
        <v>261</v>
      </c>
      <c r="AM3849" t="s">
        <v>262</v>
      </c>
      <c r="AN3849" t="s">
        <v>10447</v>
      </c>
    </row>
    <row r="3850" spans="1:40" x14ac:dyDescent="0.35">
      <c r="A3850">
        <v>7007900</v>
      </c>
      <c r="B3850" t="s">
        <v>10448</v>
      </c>
      <c r="C3850" t="str">
        <f>"9780472117680"</f>
        <v>9780472117680</v>
      </c>
      <c r="D3850" t="str">
        <f>"9780472901197"</f>
        <v>9780472901197</v>
      </c>
      <c r="E3850" t="s">
        <v>2090</v>
      </c>
      <c r="F3850" t="s">
        <v>2090</v>
      </c>
      <c r="G3850" s="1">
        <v>40765</v>
      </c>
      <c r="H3850" s="1">
        <v>44719</v>
      </c>
      <c r="I3850" t="s">
        <v>189</v>
      </c>
      <c r="K3850" t="s">
        <v>10449</v>
      </c>
      <c r="L3850" t="s">
        <v>10450</v>
      </c>
    </row>
    <row r="3851" spans="1:40" x14ac:dyDescent="0.35">
      <c r="A3851">
        <v>7007903</v>
      </c>
      <c r="B3851" t="s">
        <v>10451</v>
      </c>
      <c r="C3851" t="str">
        <f>"9780939512805"</f>
        <v>9780939512805</v>
      </c>
      <c r="D3851" t="str">
        <f>"9780472901401"</f>
        <v>9780472901401</v>
      </c>
      <c r="E3851" t="s">
        <v>6163</v>
      </c>
      <c r="F3851" t="s">
        <v>6163</v>
      </c>
      <c r="G3851" s="1">
        <v>35672</v>
      </c>
      <c r="H3851" s="1">
        <v>44719</v>
      </c>
      <c r="I3851" t="s">
        <v>189</v>
      </c>
      <c r="K3851" t="s">
        <v>8197</v>
      </c>
      <c r="L3851" t="s">
        <v>10452</v>
      </c>
      <c r="M3851" t="s">
        <v>219</v>
      </c>
      <c r="N3851" t="s">
        <v>8199</v>
      </c>
      <c r="O3851" t="s">
        <v>10453</v>
      </c>
      <c r="Q3851" t="s">
        <v>260</v>
      </c>
      <c r="R3851" t="s">
        <v>261</v>
      </c>
      <c r="S3851" t="s">
        <v>261</v>
      </c>
      <c r="T3851" t="s">
        <v>261</v>
      </c>
      <c r="U3851" t="s">
        <v>261</v>
      </c>
      <c r="V3851" t="s">
        <v>262</v>
      </c>
      <c r="W3851" t="s">
        <v>261</v>
      </c>
      <c r="X3851" t="s">
        <v>261</v>
      </c>
      <c r="Y3851" t="s">
        <v>261</v>
      </c>
      <c r="AB3851" t="s">
        <v>409</v>
      </c>
      <c r="AD3851" t="s">
        <v>261</v>
      </c>
      <c r="AH3851" t="s">
        <v>262</v>
      </c>
      <c r="AI3851" t="s">
        <v>262</v>
      </c>
      <c r="AJ3851" t="s">
        <v>261</v>
      </c>
      <c r="AK3851" t="s">
        <v>261</v>
      </c>
      <c r="AM3851" t="s">
        <v>262</v>
      </c>
      <c r="AN3851" t="s">
        <v>10454</v>
      </c>
    </row>
    <row r="3852" spans="1:40" x14ac:dyDescent="0.35">
      <c r="A3852">
        <v>7007905</v>
      </c>
      <c r="B3852" t="s">
        <v>10455</v>
      </c>
      <c r="C3852" t="str">
        <f>"9780472117932"</f>
        <v>9780472117932</v>
      </c>
      <c r="D3852" t="str">
        <f>"9780472900794"</f>
        <v>9780472900794</v>
      </c>
      <c r="E3852" t="s">
        <v>2090</v>
      </c>
      <c r="F3852" t="s">
        <v>2090</v>
      </c>
      <c r="G3852" s="1">
        <v>40816</v>
      </c>
      <c r="H3852" s="1">
        <v>44719</v>
      </c>
      <c r="I3852" t="s">
        <v>189</v>
      </c>
      <c r="K3852" t="s">
        <v>10456</v>
      </c>
      <c r="L3852" t="s">
        <v>10457</v>
      </c>
      <c r="M3852" t="s">
        <v>316</v>
      </c>
      <c r="N3852" t="s">
        <v>10458</v>
      </c>
      <c r="O3852" s="2">
        <v>3412422</v>
      </c>
      <c r="Q3852" t="s">
        <v>260</v>
      </c>
      <c r="R3852" t="s">
        <v>261</v>
      </c>
      <c r="S3852" t="s">
        <v>261</v>
      </c>
      <c r="T3852" t="s">
        <v>261</v>
      </c>
      <c r="U3852" t="s">
        <v>261</v>
      </c>
      <c r="V3852" t="s">
        <v>262</v>
      </c>
      <c r="W3852" t="s">
        <v>261</v>
      </c>
      <c r="X3852" t="s">
        <v>261</v>
      </c>
      <c r="Y3852" t="s">
        <v>261</v>
      </c>
      <c r="AA3852" t="s">
        <v>409</v>
      </c>
      <c r="AB3852" t="s">
        <v>409</v>
      </c>
      <c r="AC3852" t="s">
        <v>409</v>
      </c>
      <c r="AD3852" t="s">
        <v>261</v>
      </c>
      <c r="AH3852" t="s">
        <v>262</v>
      </c>
      <c r="AI3852" t="s">
        <v>262</v>
      </c>
      <c r="AJ3852" t="s">
        <v>261</v>
      </c>
      <c r="AK3852" t="s">
        <v>261</v>
      </c>
      <c r="AM3852" t="s">
        <v>262</v>
      </c>
      <c r="AN3852" t="s">
        <v>10459</v>
      </c>
    </row>
    <row r="3853" spans="1:40" x14ac:dyDescent="0.35">
      <c r="A3853">
        <v>7007907</v>
      </c>
      <c r="B3853" t="s">
        <v>10460</v>
      </c>
      <c r="C3853" t="str">
        <f>"9780472131402"</f>
        <v>9780472131402</v>
      </c>
      <c r="D3853" t="str">
        <f>"9780472901272"</f>
        <v>9780472901272</v>
      </c>
      <c r="E3853" t="s">
        <v>2090</v>
      </c>
      <c r="F3853" t="s">
        <v>2090</v>
      </c>
      <c r="G3853" s="1">
        <v>43622</v>
      </c>
      <c r="H3853" s="1">
        <v>44719</v>
      </c>
      <c r="I3853" t="s">
        <v>189</v>
      </c>
      <c r="L3853" t="s">
        <v>10461</v>
      </c>
    </row>
    <row r="3854" spans="1:40" x14ac:dyDescent="0.35">
      <c r="A3854">
        <v>7007908</v>
      </c>
      <c r="B3854" t="s">
        <v>10462</v>
      </c>
      <c r="C3854" t="str">
        <f>"9780892641635"</f>
        <v>9780892641635</v>
      </c>
      <c r="D3854" t="str">
        <f>"9780472901456"</f>
        <v>9780472901456</v>
      </c>
      <c r="E3854" t="s">
        <v>6151</v>
      </c>
      <c r="F3854" t="s">
        <v>6151</v>
      </c>
      <c r="G3854" s="1">
        <v>38168</v>
      </c>
      <c r="H3854" s="1">
        <v>44719</v>
      </c>
      <c r="I3854" t="s">
        <v>189</v>
      </c>
      <c r="K3854" t="s">
        <v>6152</v>
      </c>
      <c r="L3854" t="s">
        <v>10463</v>
      </c>
      <c r="M3854" t="s">
        <v>249</v>
      </c>
    </row>
    <row r="3855" spans="1:40" x14ac:dyDescent="0.35">
      <c r="A3855">
        <v>7007911</v>
      </c>
      <c r="B3855" t="s">
        <v>10464</v>
      </c>
      <c r="C3855" t="str">
        <f>"9780472118823"</f>
        <v>9780472118823</v>
      </c>
      <c r="D3855" t="str">
        <f>"9780472900985"</f>
        <v>9780472900985</v>
      </c>
      <c r="E3855" t="s">
        <v>2090</v>
      </c>
      <c r="F3855" t="s">
        <v>2090</v>
      </c>
      <c r="G3855" s="1">
        <v>41435</v>
      </c>
      <c r="H3855" s="1">
        <v>44719</v>
      </c>
      <c r="I3855" t="s">
        <v>189</v>
      </c>
      <c r="L3855" t="s">
        <v>10465</v>
      </c>
      <c r="M3855" t="s">
        <v>339</v>
      </c>
      <c r="N3855" t="s">
        <v>10466</v>
      </c>
      <c r="O3855" s="2">
        <v>61699449</v>
      </c>
      <c r="Q3855" t="s">
        <v>260</v>
      </c>
      <c r="R3855" t="s">
        <v>261</v>
      </c>
      <c r="S3855" t="s">
        <v>261</v>
      </c>
      <c r="T3855" t="s">
        <v>261</v>
      </c>
      <c r="U3855" t="s">
        <v>261</v>
      </c>
      <c r="V3855" t="s">
        <v>262</v>
      </c>
      <c r="W3855" t="s">
        <v>261</v>
      </c>
      <c r="X3855" t="s">
        <v>261</v>
      </c>
      <c r="Y3855" t="s">
        <v>261</v>
      </c>
      <c r="AA3855" t="s">
        <v>409</v>
      </c>
      <c r="AB3855" t="s">
        <v>409</v>
      </c>
      <c r="AC3855" t="s">
        <v>409</v>
      </c>
      <c r="AD3855" t="s">
        <v>261</v>
      </c>
      <c r="AH3855" t="s">
        <v>262</v>
      </c>
      <c r="AI3855" t="s">
        <v>262</v>
      </c>
      <c r="AJ3855" t="s">
        <v>261</v>
      </c>
      <c r="AK3855" t="s">
        <v>261</v>
      </c>
      <c r="AM3855" t="s">
        <v>262</v>
      </c>
      <c r="AN3855" t="s">
        <v>10467</v>
      </c>
    </row>
    <row r="3856" spans="1:40" x14ac:dyDescent="0.35">
      <c r="A3856">
        <v>7007912</v>
      </c>
      <c r="B3856" t="s">
        <v>10468</v>
      </c>
      <c r="C3856" t="str">
        <f>"9780939512119"</f>
        <v>9780939512119</v>
      </c>
      <c r="D3856" t="str">
        <f>"9780472901906"</f>
        <v>9780472901906</v>
      </c>
      <c r="E3856" t="s">
        <v>6163</v>
      </c>
      <c r="F3856" t="s">
        <v>6163</v>
      </c>
      <c r="G3856" s="1">
        <v>29952</v>
      </c>
      <c r="H3856" s="1">
        <v>44719</v>
      </c>
      <c r="I3856" t="s">
        <v>189</v>
      </c>
      <c r="K3856" t="s">
        <v>6164</v>
      </c>
      <c r="L3856" t="s">
        <v>10469</v>
      </c>
      <c r="M3856" t="s">
        <v>578</v>
      </c>
      <c r="N3856" t="s">
        <v>10470</v>
      </c>
      <c r="Q3856" t="s">
        <v>260</v>
      </c>
      <c r="R3856" t="s">
        <v>261</v>
      </c>
      <c r="S3856" t="s">
        <v>261</v>
      </c>
      <c r="T3856" t="s">
        <v>261</v>
      </c>
      <c r="U3856" t="s">
        <v>261</v>
      </c>
      <c r="V3856" t="s">
        <v>262</v>
      </c>
      <c r="W3856" t="s">
        <v>261</v>
      </c>
      <c r="X3856" t="s">
        <v>261</v>
      </c>
      <c r="Y3856" t="s">
        <v>261</v>
      </c>
      <c r="AB3856" t="s">
        <v>409</v>
      </c>
      <c r="AD3856" t="s">
        <v>261</v>
      </c>
      <c r="AH3856" t="s">
        <v>262</v>
      </c>
      <c r="AI3856" t="s">
        <v>262</v>
      </c>
      <c r="AJ3856" t="s">
        <v>261</v>
      </c>
      <c r="AK3856" t="s">
        <v>261</v>
      </c>
      <c r="AM3856" t="s">
        <v>262</v>
      </c>
      <c r="AN3856" t="s">
        <v>10471</v>
      </c>
    </row>
    <row r="3857" spans="1:40" x14ac:dyDescent="0.35">
      <c r="A3857">
        <v>7007913</v>
      </c>
      <c r="B3857" t="s">
        <v>10472</v>
      </c>
      <c r="C3857" t="str">
        <f>"9780891480532"</f>
        <v>9780891480532</v>
      </c>
      <c r="D3857" t="str">
        <f>"9780472902187"</f>
        <v>9780472902187</v>
      </c>
      <c r="E3857" t="s">
        <v>6145</v>
      </c>
      <c r="F3857" t="s">
        <v>6145</v>
      </c>
      <c r="G3857" s="1">
        <v>27760</v>
      </c>
      <c r="H3857" s="1">
        <v>44719</v>
      </c>
      <c r="I3857" t="s">
        <v>189</v>
      </c>
      <c r="K3857" t="s">
        <v>10473</v>
      </c>
      <c r="L3857" t="s">
        <v>10474</v>
      </c>
      <c r="M3857" t="s">
        <v>676</v>
      </c>
      <c r="N3857" t="s">
        <v>10475</v>
      </c>
      <c r="Q3857" t="s">
        <v>260</v>
      </c>
      <c r="R3857" t="s">
        <v>261</v>
      </c>
      <c r="S3857" t="s">
        <v>261</v>
      </c>
      <c r="T3857" t="s">
        <v>261</v>
      </c>
      <c r="U3857" t="s">
        <v>261</v>
      </c>
      <c r="V3857" t="s">
        <v>262</v>
      </c>
      <c r="W3857" t="s">
        <v>261</v>
      </c>
      <c r="X3857" t="s">
        <v>261</v>
      </c>
      <c r="Y3857" t="s">
        <v>261</v>
      </c>
      <c r="AB3857" t="s">
        <v>409</v>
      </c>
      <c r="AD3857" t="s">
        <v>261</v>
      </c>
      <c r="AH3857" t="s">
        <v>262</v>
      </c>
      <c r="AI3857" t="s">
        <v>262</v>
      </c>
      <c r="AJ3857" t="s">
        <v>261</v>
      </c>
      <c r="AK3857" t="s">
        <v>261</v>
      </c>
      <c r="AM3857" t="s">
        <v>262</v>
      </c>
      <c r="AN3857" t="s">
        <v>10476</v>
      </c>
    </row>
    <row r="3858" spans="1:40" x14ac:dyDescent="0.35">
      <c r="A3858">
        <v>7007914</v>
      </c>
      <c r="B3858" t="s">
        <v>10477</v>
      </c>
      <c r="C3858" t="str">
        <f>"9780892640447"</f>
        <v>9780892640447</v>
      </c>
      <c r="D3858" t="str">
        <f>"9780472901777"</f>
        <v>9780472901777</v>
      </c>
      <c r="E3858" t="s">
        <v>6151</v>
      </c>
      <c r="F3858" t="s">
        <v>6151</v>
      </c>
      <c r="G3858" s="1">
        <v>29982</v>
      </c>
      <c r="H3858" s="1">
        <v>44719</v>
      </c>
      <c r="I3858" t="s">
        <v>189</v>
      </c>
      <c r="K3858" t="s">
        <v>6152</v>
      </c>
      <c r="L3858" t="s">
        <v>10478</v>
      </c>
      <c r="M3858" t="s">
        <v>1831</v>
      </c>
      <c r="N3858" t="s">
        <v>10479</v>
      </c>
      <c r="Q3858" t="s">
        <v>260</v>
      </c>
      <c r="R3858" t="s">
        <v>261</v>
      </c>
      <c r="S3858" t="s">
        <v>261</v>
      </c>
      <c r="T3858" t="s">
        <v>261</v>
      </c>
      <c r="U3858" t="s">
        <v>261</v>
      </c>
      <c r="V3858" t="s">
        <v>262</v>
      </c>
      <c r="W3858" t="s">
        <v>261</v>
      </c>
      <c r="X3858" t="s">
        <v>261</v>
      </c>
      <c r="Y3858" t="s">
        <v>261</v>
      </c>
      <c r="AB3858" t="s">
        <v>409</v>
      </c>
      <c r="AD3858" t="s">
        <v>261</v>
      </c>
      <c r="AH3858" t="s">
        <v>262</v>
      </c>
      <c r="AI3858" t="s">
        <v>262</v>
      </c>
      <c r="AJ3858" t="s">
        <v>261</v>
      </c>
      <c r="AK3858" t="s">
        <v>261</v>
      </c>
      <c r="AM3858" t="s">
        <v>262</v>
      </c>
      <c r="AN3858" t="s">
        <v>10480</v>
      </c>
    </row>
    <row r="3859" spans="1:40" x14ac:dyDescent="0.35">
      <c r="A3859">
        <v>7008482</v>
      </c>
      <c r="B3859" t="s">
        <v>10481</v>
      </c>
      <c r="C3859" t="str">
        <f>"9783030980719"</f>
        <v>9783030980719</v>
      </c>
      <c r="D3859" t="str">
        <f>"9783030980726"</f>
        <v>9783030980726</v>
      </c>
      <c r="E3859" t="s">
        <v>2289</v>
      </c>
      <c r="F3859" t="s">
        <v>2663</v>
      </c>
      <c r="G3859" s="1">
        <v>44715</v>
      </c>
      <c r="H3859" s="1">
        <v>44719</v>
      </c>
      <c r="I3859" t="s">
        <v>189</v>
      </c>
      <c r="L3859" t="s">
        <v>10482</v>
      </c>
    </row>
    <row r="3860" spans="1:40" x14ac:dyDescent="0.35">
      <c r="A3860">
        <v>7009591</v>
      </c>
      <c r="B3860" t="s">
        <v>10483</v>
      </c>
      <c r="C3860" t="str">
        <f>"9780975747520"</f>
        <v>9780975747520</v>
      </c>
      <c r="D3860" t="str">
        <f>"9780975747537"</f>
        <v>9780975747537</v>
      </c>
      <c r="E3860" t="s">
        <v>1803</v>
      </c>
      <c r="F3860" t="s">
        <v>1804</v>
      </c>
      <c r="G3860" s="1">
        <v>38596</v>
      </c>
      <c r="H3860" s="1">
        <v>44726</v>
      </c>
      <c r="I3860" t="s">
        <v>189</v>
      </c>
      <c r="J3860">
        <v>1</v>
      </c>
      <c r="L3860" t="s">
        <v>10484</v>
      </c>
    </row>
    <row r="3861" spans="1:40" x14ac:dyDescent="0.35">
      <c r="A3861">
        <v>7009592</v>
      </c>
      <c r="B3861" t="s">
        <v>10485</v>
      </c>
      <c r="C3861" t="str">
        <f>"9780980361605"</f>
        <v>9780980361605</v>
      </c>
      <c r="D3861" t="str">
        <f>"9780980361612"</f>
        <v>9780980361612</v>
      </c>
      <c r="E3861" t="s">
        <v>1803</v>
      </c>
      <c r="F3861" t="s">
        <v>1804</v>
      </c>
      <c r="G3861" s="1">
        <v>39326</v>
      </c>
      <c r="H3861" s="1">
        <v>44726</v>
      </c>
      <c r="I3861" t="s">
        <v>189</v>
      </c>
      <c r="J3861">
        <v>1</v>
      </c>
      <c r="L3861" t="s">
        <v>10486</v>
      </c>
      <c r="M3861" t="s">
        <v>578</v>
      </c>
      <c r="N3861" t="s">
        <v>10487</v>
      </c>
      <c r="O3861">
        <v>701</v>
      </c>
      <c r="Q3861" t="s">
        <v>260</v>
      </c>
      <c r="R3861" t="s">
        <v>261</v>
      </c>
      <c r="S3861" t="s">
        <v>261</v>
      </c>
      <c r="T3861" t="s">
        <v>261</v>
      </c>
      <c r="U3861" t="s">
        <v>261</v>
      </c>
      <c r="V3861" t="s">
        <v>262</v>
      </c>
      <c r="W3861" t="s">
        <v>261</v>
      </c>
      <c r="X3861" t="s">
        <v>261</v>
      </c>
      <c r="Y3861" t="s">
        <v>261</v>
      </c>
      <c r="AC3861" t="s">
        <v>409</v>
      </c>
      <c r="AD3861" t="s">
        <v>261</v>
      </c>
      <c r="AH3861" t="s">
        <v>262</v>
      </c>
      <c r="AI3861" t="s">
        <v>262</v>
      </c>
      <c r="AJ3861" t="s">
        <v>261</v>
      </c>
      <c r="AK3861" t="s">
        <v>261</v>
      </c>
      <c r="AM3861" t="s">
        <v>262</v>
      </c>
      <c r="AN3861" t="s">
        <v>10488</v>
      </c>
    </row>
    <row r="3862" spans="1:40" x14ac:dyDescent="0.35">
      <c r="A3862">
        <v>7013142</v>
      </c>
      <c r="B3862" t="s">
        <v>10489</v>
      </c>
      <c r="C3862" t="str">
        <f>"9783658376802"</f>
        <v>9783658376802</v>
      </c>
      <c r="D3862" t="str">
        <f>"9783658376819"</f>
        <v>9783658376819</v>
      </c>
      <c r="E3862" t="s">
        <v>3972</v>
      </c>
      <c r="F3862" t="s">
        <v>3998</v>
      </c>
      <c r="G3862" s="1">
        <v>44758</v>
      </c>
      <c r="H3862" s="1">
        <v>44726</v>
      </c>
      <c r="I3862" t="s">
        <v>189</v>
      </c>
      <c r="K3862" t="s">
        <v>10490</v>
      </c>
      <c r="L3862" t="s">
        <v>10491</v>
      </c>
      <c r="M3862" t="s">
        <v>329</v>
      </c>
      <c r="N3862" t="s">
        <v>10492</v>
      </c>
      <c r="Q3862" t="s">
        <v>260</v>
      </c>
      <c r="R3862" t="s">
        <v>261</v>
      </c>
      <c r="S3862" t="s">
        <v>261</v>
      </c>
      <c r="T3862" t="s">
        <v>261</v>
      </c>
      <c r="U3862" t="s">
        <v>261</v>
      </c>
      <c r="V3862" t="s">
        <v>262</v>
      </c>
      <c r="W3862" t="s">
        <v>261</v>
      </c>
      <c r="X3862" t="s">
        <v>261</v>
      </c>
      <c r="Y3862" t="s">
        <v>261</v>
      </c>
      <c r="Z3862" t="s">
        <v>409</v>
      </c>
      <c r="AA3862" t="s">
        <v>409</v>
      </c>
      <c r="AB3862" t="s">
        <v>409</v>
      </c>
      <c r="AC3862" t="s">
        <v>409</v>
      </c>
      <c r="AD3862" t="s">
        <v>261</v>
      </c>
      <c r="AH3862" t="s">
        <v>262</v>
      </c>
      <c r="AI3862" t="s">
        <v>262</v>
      </c>
      <c r="AJ3862" t="s">
        <v>261</v>
      </c>
      <c r="AK3862" t="s">
        <v>261</v>
      </c>
      <c r="AM3862" t="s">
        <v>262</v>
      </c>
      <c r="AN3862" t="s">
        <v>10493</v>
      </c>
    </row>
    <row r="3863" spans="1:40" x14ac:dyDescent="0.35">
      <c r="A3863">
        <v>7013146</v>
      </c>
      <c r="B3863" t="s">
        <v>10494</v>
      </c>
      <c r="C3863" t="str">
        <f>"9783031009273"</f>
        <v>9783031009273</v>
      </c>
      <c r="D3863" t="str">
        <f>"9783031009280"</f>
        <v>9783031009280</v>
      </c>
      <c r="E3863" t="s">
        <v>2289</v>
      </c>
      <c r="F3863" t="s">
        <v>2290</v>
      </c>
      <c r="G3863" s="1">
        <v>44751</v>
      </c>
      <c r="H3863" s="1">
        <v>44726</v>
      </c>
      <c r="I3863" t="s">
        <v>189</v>
      </c>
      <c r="K3863" t="s">
        <v>4593</v>
      </c>
      <c r="L3863" t="s">
        <v>10495</v>
      </c>
      <c r="M3863" t="s">
        <v>1318</v>
      </c>
      <c r="N3863" t="s">
        <v>10496</v>
      </c>
      <c r="Q3863" t="s">
        <v>260</v>
      </c>
      <c r="R3863" t="s">
        <v>261</v>
      </c>
      <c r="S3863" t="s">
        <v>261</v>
      </c>
      <c r="T3863" t="s">
        <v>261</v>
      </c>
      <c r="U3863" t="s">
        <v>261</v>
      </c>
      <c r="V3863" t="s">
        <v>262</v>
      </c>
      <c r="W3863" t="s">
        <v>261</v>
      </c>
      <c r="X3863" t="s">
        <v>261</v>
      </c>
      <c r="Y3863" t="s">
        <v>261</v>
      </c>
      <c r="Z3863" t="s">
        <v>409</v>
      </c>
      <c r="AA3863" t="s">
        <v>409</v>
      </c>
      <c r="AB3863" t="s">
        <v>409</v>
      </c>
      <c r="AC3863" t="s">
        <v>409</v>
      </c>
      <c r="AD3863" t="s">
        <v>261</v>
      </c>
      <c r="AH3863" t="s">
        <v>262</v>
      </c>
      <c r="AI3863" t="s">
        <v>262</v>
      </c>
      <c r="AJ3863" t="s">
        <v>261</v>
      </c>
      <c r="AK3863" t="s">
        <v>261</v>
      </c>
      <c r="AM3863" t="s">
        <v>262</v>
      </c>
      <c r="AN3863" t="s">
        <v>10497</v>
      </c>
    </row>
    <row r="3864" spans="1:40" x14ac:dyDescent="0.35">
      <c r="A3864">
        <v>7013184</v>
      </c>
      <c r="B3864" t="s">
        <v>10498</v>
      </c>
      <c r="C3864" t="str">
        <f>"9783030990060"</f>
        <v>9783030990060</v>
      </c>
      <c r="D3864" t="str">
        <f>"9783030990077"</f>
        <v>9783030990077</v>
      </c>
      <c r="E3864" t="s">
        <v>2289</v>
      </c>
      <c r="F3864" t="s">
        <v>2663</v>
      </c>
      <c r="G3864" s="1">
        <v>44721</v>
      </c>
      <c r="H3864" s="1">
        <v>44726</v>
      </c>
      <c r="I3864" t="s">
        <v>189</v>
      </c>
      <c r="K3864" t="s">
        <v>10499</v>
      </c>
      <c r="L3864" t="s">
        <v>10500</v>
      </c>
    </row>
    <row r="3865" spans="1:40" x14ac:dyDescent="0.35">
      <c r="A3865">
        <v>7013930</v>
      </c>
      <c r="B3865" t="s">
        <v>10501</v>
      </c>
      <c r="C3865" t="str">
        <f>"9789811915512"</f>
        <v>9789811915512</v>
      </c>
      <c r="D3865" t="str">
        <f>"9789811915529"</f>
        <v>9789811915529</v>
      </c>
      <c r="E3865" t="s">
        <v>2290</v>
      </c>
      <c r="F3865" t="s">
        <v>2290</v>
      </c>
      <c r="G3865" s="1">
        <v>44706</v>
      </c>
      <c r="H3865" s="1">
        <v>44726</v>
      </c>
      <c r="I3865" t="s">
        <v>189</v>
      </c>
      <c r="K3865" t="s">
        <v>10502</v>
      </c>
      <c r="L3865" t="s">
        <v>10503</v>
      </c>
    </row>
    <row r="3866" spans="1:40" x14ac:dyDescent="0.35">
      <c r="A3866">
        <v>7014256</v>
      </c>
      <c r="B3866" t="s">
        <v>10504</v>
      </c>
      <c r="C3866" t="str">
        <f>""</f>
        <v/>
      </c>
      <c r="D3866" t="str">
        <f>"9788366675643"</f>
        <v>9788366675643</v>
      </c>
      <c r="E3866" t="s">
        <v>415</v>
      </c>
      <c r="F3866" t="s">
        <v>3134</v>
      </c>
      <c r="G3866" s="1">
        <v>44561</v>
      </c>
      <c r="H3866" s="1">
        <v>44726</v>
      </c>
      <c r="I3866" t="s">
        <v>189</v>
      </c>
      <c r="J3866">
        <v>1</v>
      </c>
      <c r="L3866" t="s">
        <v>10505</v>
      </c>
      <c r="M3866" t="s">
        <v>323</v>
      </c>
    </row>
    <row r="3867" spans="1:40" x14ac:dyDescent="0.35">
      <c r="A3867">
        <v>7014806</v>
      </c>
      <c r="B3867" t="s">
        <v>10506</v>
      </c>
      <c r="C3867" t="str">
        <f>"9783486563955"</f>
        <v>9783486563955</v>
      </c>
      <c r="D3867" t="str">
        <f>"9783486594423"</f>
        <v>9783486594423</v>
      </c>
      <c r="E3867" t="s">
        <v>415</v>
      </c>
      <c r="F3867" t="s">
        <v>665</v>
      </c>
      <c r="G3867" s="1">
        <v>36439</v>
      </c>
      <c r="H3867" s="1">
        <v>44726</v>
      </c>
      <c r="I3867" t="s">
        <v>189</v>
      </c>
      <c r="J3867">
        <v>1</v>
      </c>
      <c r="K3867" t="s">
        <v>1387</v>
      </c>
      <c r="L3867" t="s">
        <v>10507</v>
      </c>
      <c r="M3867" t="s">
        <v>239</v>
      </c>
      <c r="Q3867" t="s">
        <v>408</v>
      </c>
      <c r="R3867" t="s">
        <v>261</v>
      </c>
      <c r="S3867" t="s">
        <v>261</v>
      </c>
      <c r="T3867" t="s">
        <v>261</v>
      </c>
      <c r="U3867" t="s">
        <v>261</v>
      </c>
      <c r="V3867" t="s">
        <v>262</v>
      </c>
      <c r="W3867" t="s">
        <v>261</v>
      </c>
      <c r="X3867" t="s">
        <v>261</v>
      </c>
      <c r="Y3867" t="s">
        <v>261</v>
      </c>
      <c r="Z3867" t="s">
        <v>409</v>
      </c>
      <c r="AA3867" t="s">
        <v>409</v>
      </c>
      <c r="AB3867" t="s">
        <v>409</v>
      </c>
      <c r="AC3867" t="s">
        <v>409</v>
      </c>
      <c r="AD3867" t="s">
        <v>261</v>
      </c>
      <c r="AH3867" t="s">
        <v>262</v>
      </c>
      <c r="AI3867" t="s">
        <v>262</v>
      </c>
      <c r="AJ3867" t="s">
        <v>261</v>
      </c>
      <c r="AK3867" t="s">
        <v>261</v>
      </c>
      <c r="AM3867" t="s">
        <v>262</v>
      </c>
      <c r="AN3867" t="s">
        <v>10508</v>
      </c>
    </row>
    <row r="3868" spans="1:40" x14ac:dyDescent="0.35">
      <c r="A3868">
        <v>7014807</v>
      </c>
      <c r="B3868" t="s">
        <v>10509</v>
      </c>
      <c r="C3868" t="str">
        <f>""</f>
        <v/>
      </c>
      <c r="D3868" t="str">
        <f>"9783110758009"</f>
        <v>9783110758009</v>
      </c>
      <c r="E3868" t="s">
        <v>415</v>
      </c>
      <c r="F3868" t="s">
        <v>415</v>
      </c>
      <c r="G3868" s="1">
        <v>44550</v>
      </c>
      <c r="H3868" s="1">
        <v>44726</v>
      </c>
      <c r="I3868" t="s">
        <v>189</v>
      </c>
      <c r="J3868">
        <v>1</v>
      </c>
      <c r="L3868" t="s">
        <v>10510</v>
      </c>
      <c r="M3868" t="s">
        <v>676</v>
      </c>
    </row>
    <row r="3869" spans="1:40" x14ac:dyDescent="0.35">
      <c r="A3869">
        <v>7014808</v>
      </c>
      <c r="B3869" t="s">
        <v>10511</v>
      </c>
      <c r="C3869" t="str">
        <f>"9783486545111"</f>
        <v>9783486545111</v>
      </c>
      <c r="D3869" t="str">
        <f>"9783486595550"</f>
        <v>9783486595550</v>
      </c>
      <c r="E3869" t="s">
        <v>415</v>
      </c>
      <c r="F3869" t="s">
        <v>665</v>
      </c>
      <c r="G3869" s="1">
        <v>32491</v>
      </c>
      <c r="H3869" s="1">
        <v>44726</v>
      </c>
      <c r="I3869" t="s">
        <v>189</v>
      </c>
      <c r="J3869">
        <v>1</v>
      </c>
      <c r="K3869" t="s">
        <v>1387</v>
      </c>
      <c r="L3869" t="s">
        <v>10512</v>
      </c>
    </row>
    <row r="3870" spans="1:40" x14ac:dyDescent="0.35">
      <c r="A3870">
        <v>7014809</v>
      </c>
      <c r="B3870" t="s">
        <v>10513</v>
      </c>
      <c r="C3870" t="str">
        <f>""</f>
        <v/>
      </c>
      <c r="D3870" t="str">
        <f>"9783111574066"</f>
        <v>9783111574066</v>
      </c>
      <c r="E3870" t="s">
        <v>415</v>
      </c>
      <c r="F3870" t="s">
        <v>415</v>
      </c>
      <c r="G3870" s="1">
        <v>1187</v>
      </c>
      <c r="H3870" s="1">
        <v>44726</v>
      </c>
      <c r="I3870" t="s">
        <v>189</v>
      </c>
      <c r="J3870">
        <v>1</v>
      </c>
      <c r="K3870" t="s">
        <v>10514</v>
      </c>
      <c r="L3870" t="s">
        <v>10515</v>
      </c>
      <c r="M3870" t="s">
        <v>389</v>
      </c>
      <c r="Q3870" t="s">
        <v>408</v>
      </c>
      <c r="R3870" t="s">
        <v>261</v>
      </c>
      <c r="S3870" t="s">
        <v>261</v>
      </c>
      <c r="T3870" t="s">
        <v>261</v>
      </c>
      <c r="U3870" t="s">
        <v>261</v>
      </c>
      <c r="V3870" t="s">
        <v>262</v>
      </c>
      <c r="W3870" t="s">
        <v>261</v>
      </c>
      <c r="X3870" t="s">
        <v>261</v>
      </c>
      <c r="Y3870" t="s">
        <v>261</v>
      </c>
      <c r="Z3870" t="s">
        <v>409</v>
      </c>
      <c r="AA3870" t="s">
        <v>409</v>
      </c>
      <c r="AB3870" t="s">
        <v>409</v>
      </c>
      <c r="AC3870" t="s">
        <v>409</v>
      </c>
      <c r="AD3870" t="s">
        <v>261</v>
      </c>
      <c r="AH3870" t="s">
        <v>262</v>
      </c>
      <c r="AI3870" t="s">
        <v>262</v>
      </c>
      <c r="AJ3870" t="s">
        <v>261</v>
      </c>
      <c r="AK3870" t="s">
        <v>261</v>
      </c>
      <c r="AM3870" t="s">
        <v>262</v>
      </c>
      <c r="AN3870" t="s">
        <v>10516</v>
      </c>
    </row>
    <row r="3871" spans="1:40" x14ac:dyDescent="0.35">
      <c r="A3871">
        <v>7014810</v>
      </c>
      <c r="B3871" t="s">
        <v>10517</v>
      </c>
      <c r="C3871" t="str">
        <f>""</f>
        <v/>
      </c>
      <c r="D3871" t="str">
        <f>"9783110720341"</f>
        <v>9783110720341</v>
      </c>
      <c r="E3871" t="s">
        <v>415</v>
      </c>
      <c r="F3871" t="s">
        <v>6576</v>
      </c>
      <c r="G3871" s="1">
        <v>43025</v>
      </c>
      <c r="H3871" s="1">
        <v>44726</v>
      </c>
      <c r="I3871" t="s">
        <v>189</v>
      </c>
      <c r="J3871">
        <v>1</v>
      </c>
      <c r="K3871" t="s">
        <v>10518</v>
      </c>
      <c r="L3871" t="s">
        <v>10519</v>
      </c>
      <c r="M3871" t="s">
        <v>239</v>
      </c>
      <c r="Q3871" t="s">
        <v>408</v>
      </c>
      <c r="R3871" t="s">
        <v>261</v>
      </c>
      <c r="S3871" t="s">
        <v>261</v>
      </c>
      <c r="T3871" t="s">
        <v>261</v>
      </c>
      <c r="U3871" t="s">
        <v>261</v>
      </c>
      <c r="V3871" t="s">
        <v>262</v>
      </c>
      <c r="W3871" t="s">
        <v>261</v>
      </c>
      <c r="X3871" t="s">
        <v>261</v>
      </c>
      <c r="Y3871" t="s">
        <v>261</v>
      </c>
      <c r="Z3871" t="s">
        <v>409</v>
      </c>
      <c r="AA3871" t="s">
        <v>409</v>
      </c>
      <c r="AB3871" t="s">
        <v>409</v>
      </c>
      <c r="AC3871" t="s">
        <v>409</v>
      </c>
      <c r="AD3871" t="s">
        <v>261</v>
      </c>
      <c r="AH3871" t="s">
        <v>262</v>
      </c>
      <c r="AI3871" t="s">
        <v>262</v>
      </c>
      <c r="AJ3871" t="s">
        <v>261</v>
      </c>
      <c r="AK3871" t="s">
        <v>261</v>
      </c>
      <c r="AM3871" t="s">
        <v>262</v>
      </c>
      <c r="AN3871" t="s">
        <v>10520</v>
      </c>
    </row>
    <row r="3872" spans="1:40" x14ac:dyDescent="0.35">
      <c r="A3872">
        <v>7014812</v>
      </c>
      <c r="B3872" t="s">
        <v>10521</v>
      </c>
      <c r="C3872" t="str">
        <f>""</f>
        <v/>
      </c>
      <c r="D3872" t="str">
        <f>"9783110720136"</f>
        <v>9783110720136</v>
      </c>
      <c r="E3872" t="s">
        <v>415</v>
      </c>
      <c r="F3872" t="s">
        <v>6576</v>
      </c>
      <c r="G3872" s="1">
        <v>42265</v>
      </c>
      <c r="H3872" s="1">
        <v>44726</v>
      </c>
      <c r="I3872" t="s">
        <v>189</v>
      </c>
      <c r="J3872">
        <v>1</v>
      </c>
      <c r="K3872" t="s">
        <v>10518</v>
      </c>
      <c r="L3872" t="s">
        <v>10522</v>
      </c>
      <c r="M3872" t="s">
        <v>239</v>
      </c>
      <c r="Q3872" t="s">
        <v>408</v>
      </c>
      <c r="R3872" t="s">
        <v>261</v>
      </c>
      <c r="S3872" t="s">
        <v>261</v>
      </c>
      <c r="T3872" t="s">
        <v>261</v>
      </c>
      <c r="U3872" t="s">
        <v>261</v>
      </c>
      <c r="V3872" t="s">
        <v>262</v>
      </c>
      <c r="W3872" t="s">
        <v>261</v>
      </c>
      <c r="X3872" t="s">
        <v>261</v>
      </c>
      <c r="Y3872" t="s">
        <v>261</v>
      </c>
      <c r="Z3872" t="s">
        <v>409</v>
      </c>
      <c r="AA3872" t="s">
        <v>409</v>
      </c>
      <c r="AB3872" t="s">
        <v>409</v>
      </c>
      <c r="AC3872" t="s">
        <v>409</v>
      </c>
      <c r="AD3872" t="s">
        <v>261</v>
      </c>
      <c r="AH3872" t="s">
        <v>262</v>
      </c>
      <c r="AI3872" t="s">
        <v>262</v>
      </c>
      <c r="AJ3872" t="s">
        <v>261</v>
      </c>
      <c r="AK3872" t="s">
        <v>261</v>
      </c>
      <c r="AM3872" t="s">
        <v>262</v>
      </c>
      <c r="AN3872" t="s">
        <v>10523</v>
      </c>
    </row>
    <row r="3873" spans="1:40" x14ac:dyDescent="0.35">
      <c r="A3873">
        <v>7014813</v>
      </c>
      <c r="B3873" t="s">
        <v>10524</v>
      </c>
      <c r="C3873" t="str">
        <f>""</f>
        <v/>
      </c>
      <c r="D3873" t="str">
        <f>"9783110705805"</f>
        <v>9783110705805</v>
      </c>
      <c r="E3873" t="s">
        <v>415</v>
      </c>
      <c r="F3873" t="s">
        <v>415</v>
      </c>
      <c r="G3873" s="1">
        <v>44214</v>
      </c>
      <c r="H3873" s="1">
        <v>44726</v>
      </c>
      <c r="I3873" t="s">
        <v>189</v>
      </c>
      <c r="J3873">
        <v>1</v>
      </c>
      <c r="K3873" t="s">
        <v>2214</v>
      </c>
      <c r="L3873" t="s">
        <v>10525</v>
      </c>
      <c r="M3873" t="s">
        <v>239</v>
      </c>
      <c r="O3873">
        <v>936</v>
      </c>
      <c r="Q3873" t="s">
        <v>260</v>
      </c>
      <c r="R3873" t="s">
        <v>261</v>
      </c>
      <c r="S3873" t="s">
        <v>261</v>
      </c>
      <c r="T3873" t="s">
        <v>261</v>
      </c>
      <c r="U3873" t="s">
        <v>261</v>
      </c>
      <c r="V3873" t="s">
        <v>262</v>
      </c>
      <c r="W3873" t="s">
        <v>261</v>
      </c>
      <c r="X3873" t="s">
        <v>261</v>
      </c>
      <c r="Y3873" t="s">
        <v>261</v>
      </c>
      <c r="Z3873" t="s">
        <v>409</v>
      </c>
      <c r="AA3873" t="s">
        <v>409</v>
      </c>
      <c r="AB3873" t="s">
        <v>409</v>
      </c>
      <c r="AC3873" t="s">
        <v>409</v>
      </c>
      <c r="AD3873" t="s">
        <v>261</v>
      </c>
      <c r="AH3873" t="s">
        <v>262</v>
      </c>
      <c r="AI3873" t="s">
        <v>262</v>
      </c>
      <c r="AJ3873" t="s">
        <v>261</v>
      </c>
      <c r="AK3873" t="s">
        <v>261</v>
      </c>
      <c r="AM3873" t="s">
        <v>262</v>
      </c>
      <c r="AN3873" t="s">
        <v>10526</v>
      </c>
    </row>
    <row r="3874" spans="1:40" x14ac:dyDescent="0.35">
      <c r="A3874">
        <v>7014814</v>
      </c>
      <c r="B3874" t="s">
        <v>10527</v>
      </c>
      <c r="C3874" t="str">
        <f>""</f>
        <v/>
      </c>
      <c r="D3874" t="str">
        <f>"9783110703443"</f>
        <v>9783110703443</v>
      </c>
      <c r="E3874" t="s">
        <v>415</v>
      </c>
      <c r="F3874" t="s">
        <v>415</v>
      </c>
      <c r="G3874" s="1">
        <v>44446</v>
      </c>
      <c r="H3874" s="1">
        <v>44726</v>
      </c>
      <c r="I3874" t="s">
        <v>189</v>
      </c>
      <c r="J3874">
        <v>1</v>
      </c>
      <c r="L3874" t="s">
        <v>3873</v>
      </c>
      <c r="M3874" t="s">
        <v>219</v>
      </c>
      <c r="Q3874" t="s">
        <v>408</v>
      </c>
      <c r="R3874" t="s">
        <v>261</v>
      </c>
      <c r="S3874" t="s">
        <v>261</v>
      </c>
      <c r="T3874" t="s">
        <v>261</v>
      </c>
      <c r="U3874" t="s">
        <v>261</v>
      </c>
      <c r="V3874" t="s">
        <v>262</v>
      </c>
      <c r="W3874" t="s">
        <v>261</v>
      </c>
      <c r="X3874" t="s">
        <v>261</v>
      </c>
      <c r="Y3874" t="s">
        <v>261</v>
      </c>
      <c r="Z3874" t="s">
        <v>409</v>
      </c>
      <c r="AA3874" t="s">
        <v>409</v>
      </c>
      <c r="AB3874" t="s">
        <v>409</v>
      </c>
      <c r="AC3874" t="s">
        <v>409</v>
      </c>
      <c r="AD3874" t="s">
        <v>261</v>
      </c>
      <c r="AH3874" t="s">
        <v>262</v>
      </c>
      <c r="AI3874" t="s">
        <v>262</v>
      </c>
      <c r="AJ3874" t="s">
        <v>261</v>
      </c>
      <c r="AK3874" t="s">
        <v>261</v>
      </c>
      <c r="AM3874" t="s">
        <v>262</v>
      </c>
      <c r="AN3874" t="s">
        <v>10528</v>
      </c>
    </row>
    <row r="3875" spans="1:40" x14ac:dyDescent="0.35">
      <c r="A3875">
        <v>7014815</v>
      </c>
      <c r="B3875" t="s">
        <v>10529</v>
      </c>
      <c r="C3875" t="str">
        <f>"9781501511400"</f>
        <v>9781501511400</v>
      </c>
      <c r="D3875" t="str">
        <f>"9781501503191"</f>
        <v>9781501503191</v>
      </c>
      <c r="E3875" t="s">
        <v>346</v>
      </c>
      <c r="F3875" t="s">
        <v>2637</v>
      </c>
      <c r="G3875" s="1">
        <v>44263</v>
      </c>
      <c r="H3875" s="1">
        <v>44726</v>
      </c>
      <c r="I3875" t="s">
        <v>189</v>
      </c>
      <c r="J3875">
        <v>1</v>
      </c>
      <c r="K3875" t="s">
        <v>2357</v>
      </c>
      <c r="L3875" t="s">
        <v>10530</v>
      </c>
    </row>
    <row r="3876" spans="1:40" x14ac:dyDescent="0.35">
      <c r="A3876">
        <v>7014816</v>
      </c>
      <c r="B3876" t="s">
        <v>10531</v>
      </c>
      <c r="C3876" t="str">
        <f>""</f>
        <v/>
      </c>
      <c r="D3876" t="str">
        <f>"9783110720051"</f>
        <v>9783110720051</v>
      </c>
      <c r="E3876" t="s">
        <v>415</v>
      </c>
      <c r="F3876" t="s">
        <v>6576</v>
      </c>
      <c r="G3876" s="1">
        <v>40648</v>
      </c>
      <c r="H3876" s="1">
        <v>44726</v>
      </c>
      <c r="I3876" t="s">
        <v>189</v>
      </c>
      <c r="J3876">
        <v>1</v>
      </c>
      <c r="L3876" t="s">
        <v>10532</v>
      </c>
      <c r="M3876" t="s">
        <v>323</v>
      </c>
      <c r="Q3876" t="s">
        <v>408</v>
      </c>
      <c r="R3876" t="s">
        <v>261</v>
      </c>
      <c r="S3876" t="s">
        <v>261</v>
      </c>
      <c r="T3876" t="s">
        <v>261</v>
      </c>
      <c r="U3876" t="s">
        <v>261</v>
      </c>
      <c r="V3876" t="s">
        <v>262</v>
      </c>
      <c r="W3876" t="s">
        <v>261</v>
      </c>
      <c r="X3876" t="s">
        <v>261</v>
      </c>
      <c r="Y3876" t="s">
        <v>261</v>
      </c>
      <c r="Z3876" t="s">
        <v>409</v>
      </c>
      <c r="AA3876" t="s">
        <v>409</v>
      </c>
      <c r="AB3876" t="s">
        <v>409</v>
      </c>
      <c r="AC3876" t="s">
        <v>409</v>
      </c>
      <c r="AD3876" t="s">
        <v>261</v>
      </c>
      <c r="AH3876" t="s">
        <v>262</v>
      </c>
      <c r="AI3876" t="s">
        <v>262</v>
      </c>
      <c r="AJ3876" t="s">
        <v>261</v>
      </c>
      <c r="AK3876" t="s">
        <v>261</v>
      </c>
      <c r="AM3876" t="s">
        <v>262</v>
      </c>
      <c r="AN3876" t="s">
        <v>10533</v>
      </c>
    </row>
    <row r="3877" spans="1:40" x14ac:dyDescent="0.35">
      <c r="A3877">
        <v>7014817</v>
      </c>
      <c r="B3877" t="s">
        <v>10534</v>
      </c>
      <c r="C3877" t="str">
        <f>"9783110526561"</f>
        <v>9783110526561</v>
      </c>
      <c r="D3877" t="str">
        <f>"9783110534696"</f>
        <v>9783110534696</v>
      </c>
      <c r="E3877" t="s">
        <v>415</v>
      </c>
      <c r="F3877" t="s">
        <v>665</v>
      </c>
      <c r="G3877" s="1">
        <v>43381</v>
      </c>
      <c r="H3877" s="1">
        <v>44726</v>
      </c>
      <c r="I3877" t="s">
        <v>189</v>
      </c>
      <c r="J3877">
        <v>1</v>
      </c>
      <c r="K3877" t="s">
        <v>10535</v>
      </c>
      <c r="L3877" t="s">
        <v>10536</v>
      </c>
    </row>
    <row r="3878" spans="1:40" x14ac:dyDescent="0.35">
      <c r="A3878">
        <v>7014818</v>
      </c>
      <c r="B3878" t="s">
        <v>10537</v>
      </c>
      <c r="C3878" t="str">
        <f>""</f>
        <v/>
      </c>
      <c r="D3878" t="str">
        <f>"9783110707151"</f>
        <v>9783110707151</v>
      </c>
      <c r="E3878" t="s">
        <v>415</v>
      </c>
      <c r="F3878" t="s">
        <v>415</v>
      </c>
      <c r="G3878" s="1">
        <v>44130</v>
      </c>
      <c r="H3878" s="1">
        <v>44726</v>
      </c>
      <c r="I3878" t="s">
        <v>189</v>
      </c>
      <c r="J3878">
        <v>1</v>
      </c>
      <c r="L3878" t="s">
        <v>10538</v>
      </c>
      <c r="M3878" t="s">
        <v>339</v>
      </c>
      <c r="Q3878" t="s">
        <v>408</v>
      </c>
      <c r="R3878" t="s">
        <v>261</v>
      </c>
      <c r="S3878" t="s">
        <v>261</v>
      </c>
      <c r="T3878" t="s">
        <v>261</v>
      </c>
      <c r="U3878" t="s">
        <v>261</v>
      </c>
      <c r="V3878" t="s">
        <v>262</v>
      </c>
      <c r="W3878" t="s">
        <v>261</v>
      </c>
      <c r="X3878" t="s">
        <v>261</v>
      </c>
      <c r="Y3878" t="s">
        <v>261</v>
      </c>
      <c r="Z3878" t="s">
        <v>409</v>
      </c>
      <c r="AA3878" t="s">
        <v>409</v>
      </c>
      <c r="AB3878" t="s">
        <v>409</v>
      </c>
      <c r="AC3878" t="s">
        <v>409</v>
      </c>
      <c r="AD3878" t="s">
        <v>261</v>
      </c>
      <c r="AH3878" t="s">
        <v>262</v>
      </c>
      <c r="AI3878" t="s">
        <v>262</v>
      </c>
      <c r="AJ3878" t="s">
        <v>261</v>
      </c>
      <c r="AK3878" t="s">
        <v>261</v>
      </c>
      <c r="AM3878" t="s">
        <v>262</v>
      </c>
      <c r="AN3878" t="s">
        <v>10539</v>
      </c>
    </row>
    <row r="3879" spans="1:40" x14ac:dyDescent="0.35">
      <c r="A3879">
        <v>7014819</v>
      </c>
      <c r="B3879" t="s">
        <v>10540</v>
      </c>
      <c r="C3879" t="str">
        <f>""</f>
        <v/>
      </c>
      <c r="D3879" t="str">
        <f>"9783110716207"</f>
        <v>9783110716207</v>
      </c>
      <c r="E3879" t="s">
        <v>415</v>
      </c>
      <c r="F3879" t="s">
        <v>415</v>
      </c>
      <c r="G3879" s="1">
        <v>44522</v>
      </c>
      <c r="H3879" s="1">
        <v>44726</v>
      </c>
      <c r="I3879" t="s">
        <v>189</v>
      </c>
      <c r="J3879">
        <v>1</v>
      </c>
      <c r="K3879" t="s">
        <v>6679</v>
      </c>
      <c r="L3879" t="s">
        <v>10541</v>
      </c>
    </row>
    <row r="3880" spans="1:40" x14ac:dyDescent="0.35">
      <c r="A3880">
        <v>7014820</v>
      </c>
      <c r="B3880" t="s">
        <v>10542</v>
      </c>
      <c r="C3880" t="str">
        <f>""</f>
        <v/>
      </c>
      <c r="D3880" t="str">
        <f>"9783035624373"</f>
        <v>9783035624373</v>
      </c>
      <c r="E3880" t="s">
        <v>415</v>
      </c>
      <c r="F3880" t="s">
        <v>1107</v>
      </c>
      <c r="G3880" s="1">
        <v>44561</v>
      </c>
      <c r="H3880" s="1">
        <v>44726</v>
      </c>
      <c r="I3880" t="s">
        <v>189</v>
      </c>
      <c r="J3880">
        <v>1</v>
      </c>
      <c r="K3880" t="s">
        <v>6849</v>
      </c>
      <c r="L3880" t="s">
        <v>119</v>
      </c>
    </row>
    <row r="3881" spans="1:40" x14ac:dyDescent="0.35">
      <c r="A3881">
        <v>7014821</v>
      </c>
      <c r="B3881" t="s">
        <v>10543</v>
      </c>
      <c r="C3881" t="str">
        <f>""</f>
        <v/>
      </c>
      <c r="D3881" t="str">
        <f>"9783110688719"</f>
        <v>9783110688719</v>
      </c>
      <c r="E3881" t="s">
        <v>415</v>
      </c>
      <c r="F3881" t="s">
        <v>415</v>
      </c>
      <c r="G3881" s="1">
        <v>44277</v>
      </c>
      <c r="H3881" s="1">
        <v>44726</v>
      </c>
      <c r="I3881" t="s">
        <v>189</v>
      </c>
      <c r="J3881">
        <v>1</v>
      </c>
      <c r="K3881" t="s">
        <v>10544</v>
      </c>
      <c r="L3881" t="s">
        <v>10545</v>
      </c>
    </row>
    <row r="3882" spans="1:40" x14ac:dyDescent="0.35">
      <c r="A3882">
        <v>7014822</v>
      </c>
      <c r="B3882" t="s">
        <v>10546</v>
      </c>
      <c r="C3882" t="str">
        <f>""</f>
        <v/>
      </c>
      <c r="D3882" t="str">
        <f>"9783110440577"</f>
        <v>9783110440577</v>
      </c>
      <c r="E3882" t="s">
        <v>346</v>
      </c>
      <c r="F3882" t="s">
        <v>2637</v>
      </c>
      <c r="G3882" s="1">
        <v>43941</v>
      </c>
      <c r="H3882" s="1">
        <v>44726</v>
      </c>
      <c r="I3882" t="s">
        <v>189</v>
      </c>
      <c r="J3882">
        <v>1</v>
      </c>
      <c r="K3882" t="s">
        <v>10547</v>
      </c>
      <c r="L3882" t="s">
        <v>10548</v>
      </c>
    </row>
    <row r="3883" spans="1:40" x14ac:dyDescent="0.35">
      <c r="A3883">
        <v>7014823</v>
      </c>
      <c r="B3883" t="s">
        <v>10549</v>
      </c>
      <c r="C3883" t="str">
        <f>""</f>
        <v/>
      </c>
      <c r="D3883" t="str">
        <f>"9783110720372"</f>
        <v>9783110720372</v>
      </c>
      <c r="E3883" t="s">
        <v>415</v>
      </c>
      <c r="F3883" t="s">
        <v>6576</v>
      </c>
      <c r="G3883" s="1">
        <v>43276</v>
      </c>
      <c r="H3883" s="1">
        <v>44726</v>
      </c>
      <c r="I3883" t="s">
        <v>189</v>
      </c>
      <c r="J3883">
        <v>1</v>
      </c>
      <c r="K3883" t="s">
        <v>10550</v>
      </c>
      <c r="L3883" t="s">
        <v>10551</v>
      </c>
    </row>
    <row r="3884" spans="1:40" x14ac:dyDescent="0.35">
      <c r="A3884">
        <v>7014824</v>
      </c>
      <c r="B3884" t="s">
        <v>10552</v>
      </c>
      <c r="C3884" t="str">
        <f>""</f>
        <v/>
      </c>
      <c r="D3884" t="str">
        <f>"9783111685328"</f>
        <v>9783111685328</v>
      </c>
      <c r="E3884" t="s">
        <v>415</v>
      </c>
      <c r="F3884" t="s">
        <v>415</v>
      </c>
      <c r="G3884" t="s">
        <v>10553</v>
      </c>
      <c r="H3884" s="1">
        <v>44726</v>
      </c>
      <c r="I3884" t="s">
        <v>189</v>
      </c>
      <c r="J3884">
        <v>1</v>
      </c>
      <c r="L3884" t="s">
        <v>10554</v>
      </c>
      <c r="M3884" t="s">
        <v>389</v>
      </c>
      <c r="Q3884" t="s">
        <v>408</v>
      </c>
      <c r="R3884" t="s">
        <v>261</v>
      </c>
      <c r="S3884" t="s">
        <v>261</v>
      </c>
      <c r="T3884" t="s">
        <v>261</v>
      </c>
      <c r="U3884" t="s">
        <v>261</v>
      </c>
      <c r="V3884" t="s">
        <v>262</v>
      </c>
      <c r="W3884" t="s">
        <v>261</v>
      </c>
      <c r="X3884" t="s">
        <v>261</v>
      </c>
      <c r="Y3884" t="s">
        <v>261</v>
      </c>
      <c r="Z3884" t="s">
        <v>409</v>
      </c>
      <c r="AA3884" t="s">
        <v>409</v>
      </c>
      <c r="AB3884" t="s">
        <v>409</v>
      </c>
      <c r="AC3884" t="s">
        <v>409</v>
      </c>
      <c r="AD3884" t="s">
        <v>261</v>
      </c>
      <c r="AH3884" t="s">
        <v>262</v>
      </c>
      <c r="AI3884" t="s">
        <v>262</v>
      </c>
      <c r="AJ3884" t="s">
        <v>261</v>
      </c>
      <c r="AK3884" t="s">
        <v>261</v>
      </c>
      <c r="AM3884" t="s">
        <v>262</v>
      </c>
      <c r="AN3884" t="s">
        <v>10555</v>
      </c>
    </row>
    <row r="3885" spans="1:40" x14ac:dyDescent="0.35">
      <c r="A3885">
        <v>7014825</v>
      </c>
      <c r="B3885" t="s">
        <v>10556</v>
      </c>
      <c r="C3885" t="str">
        <f>""</f>
        <v/>
      </c>
      <c r="D3885" t="str">
        <f>"9783486767797"</f>
        <v>9783486767797</v>
      </c>
      <c r="E3885" t="s">
        <v>415</v>
      </c>
      <c r="F3885" t="s">
        <v>665</v>
      </c>
      <c r="G3885" s="1">
        <v>12055</v>
      </c>
      <c r="H3885" s="1">
        <v>44726</v>
      </c>
      <c r="I3885" t="s">
        <v>189</v>
      </c>
      <c r="J3885">
        <v>2</v>
      </c>
      <c r="K3885" t="s">
        <v>10557</v>
      </c>
      <c r="L3885" t="s">
        <v>10558</v>
      </c>
      <c r="M3885" t="s">
        <v>219</v>
      </c>
      <c r="Q3885" t="s">
        <v>408</v>
      </c>
      <c r="R3885" t="s">
        <v>261</v>
      </c>
      <c r="S3885" t="s">
        <v>261</v>
      </c>
      <c r="T3885" t="s">
        <v>261</v>
      </c>
      <c r="U3885" t="s">
        <v>261</v>
      </c>
      <c r="V3885" t="s">
        <v>262</v>
      </c>
      <c r="W3885" t="s">
        <v>261</v>
      </c>
      <c r="X3885" t="s">
        <v>261</v>
      </c>
      <c r="Y3885" t="s">
        <v>261</v>
      </c>
      <c r="Z3885" t="s">
        <v>409</v>
      </c>
      <c r="AA3885" t="s">
        <v>409</v>
      </c>
      <c r="AB3885" t="s">
        <v>409</v>
      </c>
      <c r="AC3885" t="s">
        <v>409</v>
      </c>
      <c r="AD3885" t="s">
        <v>261</v>
      </c>
      <c r="AH3885" t="s">
        <v>262</v>
      </c>
      <c r="AI3885" t="s">
        <v>262</v>
      </c>
      <c r="AJ3885" t="s">
        <v>261</v>
      </c>
      <c r="AK3885" t="s">
        <v>261</v>
      </c>
      <c r="AM3885" t="s">
        <v>262</v>
      </c>
      <c r="AN3885" t="s">
        <v>10559</v>
      </c>
    </row>
    <row r="3886" spans="1:40" x14ac:dyDescent="0.35">
      <c r="A3886">
        <v>7014826</v>
      </c>
      <c r="B3886" t="s">
        <v>10560</v>
      </c>
      <c r="C3886" t="str">
        <f>""</f>
        <v/>
      </c>
      <c r="D3886" t="str">
        <f>"9783110720310"</f>
        <v>9783110720310</v>
      </c>
      <c r="E3886" t="s">
        <v>415</v>
      </c>
      <c r="F3886" t="s">
        <v>6576</v>
      </c>
      <c r="G3886" s="1">
        <v>42551</v>
      </c>
      <c r="H3886" s="1">
        <v>44726</v>
      </c>
      <c r="I3886" t="s">
        <v>189</v>
      </c>
      <c r="J3886">
        <v>1</v>
      </c>
      <c r="K3886" t="s">
        <v>10518</v>
      </c>
      <c r="L3886" t="s">
        <v>10519</v>
      </c>
      <c r="M3886" t="s">
        <v>329</v>
      </c>
      <c r="Q3886" t="s">
        <v>408</v>
      </c>
      <c r="R3886" t="s">
        <v>261</v>
      </c>
      <c r="S3886" t="s">
        <v>261</v>
      </c>
      <c r="T3886" t="s">
        <v>261</v>
      </c>
      <c r="U3886" t="s">
        <v>261</v>
      </c>
      <c r="V3886" t="s">
        <v>262</v>
      </c>
      <c r="W3886" t="s">
        <v>261</v>
      </c>
      <c r="X3886" t="s">
        <v>261</v>
      </c>
      <c r="Y3886" t="s">
        <v>261</v>
      </c>
      <c r="Z3886" t="s">
        <v>409</v>
      </c>
      <c r="AA3886" t="s">
        <v>409</v>
      </c>
      <c r="AB3886" t="s">
        <v>409</v>
      </c>
      <c r="AC3886" t="s">
        <v>409</v>
      </c>
      <c r="AD3886" t="s">
        <v>261</v>
      </c>
      <c r="AH3886" t="s">
        <v>262</v>
      </c>
      <c r="AI3886" t="s">
        <v>262</v>
      </c>
      <c r="AJ3886" t="s">
        <v>261</v>
      </c>
      <c r="AK3886" t="s">
        <v>261</v>
      </c>
      <c r="AM3886" t="s">
        <v>262</v>
      </c>
      <c r="AN3886" t="s">
        <v>10561</v>
      </c>
    </row>
    <row r="3887" spans="1:40" x14ac:dyDescent="0.35">
      <c r="A3887">
        <v>7014827</v>
      </c>
      <c r="B3887" t="s">
        <v>10562</v>
      </c>
      <c r="C3887" t="str">
        <f>""</f>
        <v/>
      </c>
      <c r="D3887" t="str">
        <f>"9783110740202"</f>
        <v>9783110740202</v>
      </c>
      <c r="E3887" t="s">
        <v>415</v>
      </c>
      <c r="F3887" t="s">
        <v>665</v>
      </c>
      <c r="G3887" s="1">
        <v>44446</v>
      </c>
      <c r="H3887" s="1">
        <v>44726</v>
      </c>
      <c r="I3887" t="s">
        <v>189</v>
      </c>
      <c r="J3887">
        <v>1</v>
      </c>
      <c r="K3887" t="s">
        <v>10563</v>
      </c>
      <c r="L3887" t="s">
        <v>10564</v>
      </c>
    </row>
    <row r="3888" spans="1:40" x14ac:dyDescent="0.35">
      <c r="A3888">
        <v>7014828</v>
      </c>
      <c r="B3888" t="s">
        <v>10565</v>
      </c>
      <c r="C3888" t="str">
        <f>""</f>
        <v/>
      </c>
      <c r="D3888" t="str">
        <f>"9783110693461"</f>
        <v>9783110693461</v>
      </c>
      <c r="E3888" t="s">
        <v>415</v>
      </c>
      <c r="F3888" t="s">
        <v>415</v>
      </c>
      <c r="G3888" s="1">
        <v>44053</v>
      </c>
      <c r="H3888" s="1">
        <v>44726</v>
      </c>
      <c r="I3888" t="s">
        <v>189</v>
      </c>
      <c r="J3888">
        <v>1</v>
      </c>
      <c r="K3888" t="s">
        <v>10566</v>
      </c>
      <c r="L3888" t="s">
        <v>10567</v>
      </c>
    </row>
    <row r="3889" spans="1:40" x14ac:dyDescent="0.35">
      <c r="A3889">
        <v>7014829</v>
      </c>
      <c r="B3889" t="s">
        <v>10568</v>
      </c>
      <c r="C3889" t="str">
        <f>""</f>
        <v/>
      </c>
      <c r="D3889" t="str">
        <f>"9783486594249"</f>
        <v>9783486594249</v>
      </c>
      <c r="E3889" t="s">
        <v>415</v>
      </c>
      <c r="F3889" t="s">
        <v>665</v>
      </c>
      <c r="G3889" s="1">
        <v>35459</v>
      </c>
      <c r="H3889" s="1">
        <v>44726</v>
      </c>
      <c r="I3889" t="s">
        <v>189</v>
      </c>
      <c r="J3889">
        <v>1</v>
      </c>
      <c r="K3889" t="s">
        <v>1387</v>
      </c>
      <c r="L3889" t="s">
        <v>10569</v>
      </c>
      <c r="M3889" t="s">
        <v>239</v>
      </c>
      <c r="Q3889" t="s">
        <v>408</v>
      </c>
      <c r="R3889" t="s">
        <v>261</v>
      </c>
      <c r="S3889" t="s">
        <v>261</v>
      </c>
      <c r="T3889" t="s">
        <v>261</v>
      </c>
      <c r="U3889" t="s">
        <v>261</v>
      </c>
      <c r="V3889" t="s">
        <v>262</v>
      </c>
      <c r="W3889" t="s">
        <v>261</v>
      </c>
      <c r="X3889" t="s">
        <v>261</v>
      </c>
      <c r="Y3889" t="s">
        <v>261</v>
      </c>
      <c r="Z3889" t="s">
        <v>409</v>
      </c>
      <c r="AA3889" t="s">
        <v>409</v>
      </c>
      <c r="AB3889" t="s">
        <v>409</v>
      </c>
      <c r="AC3889" t="s">
        <v>409</v>
      </c>
      <c r="AD3889" t="s">
        <v>261</v>
      </c>
      <c r="AH3889" t="s">
        <v>262</v>
      </c>
      <c r="AI3889" t="s">
        <v>262</v>
      </c>
      <c r="AJ3889" t="s">
        <v>261</v>
      </c>
      <c r="AK3889" t="s">
        <v>261</v>
      </c>
      <c r="AM3889" t="s">
        <v>262</v>
      </c>
      <c r="AN3889" t="s">
        <v>10570</v>
      </c>
    </row>
    <row r="3890" spans="1:40" x14ac:dyDescent="0.35">
      <c r="A3890">
        <v>7014830</v>
      </c>
      <c r="B3890" t="s">
        <v>10571</v>
      </c>
      <c r="C3890" t="str">
        <f>""</f>
        <v/>
      </c>
      <c r="D3890" t="str">
        <f>"9783111342429"</f>
        <v>9783111342429</v>
      </c>
      <c r="E3890" t="s">
        <v>346</v>
      </c>
      <c r="F3890" t="s">
        <v>2637</v>
      </c>
      <c r="G3890" s="1">
        <v>27120</v>
      </c>
      <c r="H3890" s="1">
        <v>44726</v>
      </c>
      <c r="I3890" t="s">
        <v>189</v>
      </c>
      <c r="J3890">
        <v>1</v>
      </c>
      <c r="K3890" t="s">
        <v>10572</v>
      </c>
      <c r="L3890" t="s">
        <v>10573</v>
      </c>
      <c r="M3890" t="s">
        <v>676</v>
      </c>
    </row>
    <row r="3891" spans="1:40" x14ac:dyDescent="0.35">
      <c r="A3891">
        <v>7014831</v>
      </c>
      <c r="B3891" t="s">
        <v>10574</v>
      </c>
      <c r="C3891" t="str">
        <f>""</f>
        <v/>
      </c>
      <c r="D3891" t="str">
        <f>"9788395815041"</f>
        <v>9788395815041</v>
      </c>
      <c r="E3891" t="s">
        <v>415</v>
      </c>
      <c r="F3891" t="s">
        <v>659</v>
      </c>
      <c r="G3891" s="1">
        <v>44249</v>
      </c>
      <c r="H3891" s="1">
        <v>44726</v>
      </c>
      <c r="I3891" t="s">
        <v>189</v>
      </c>
      <c r="J3891">
        <v>1</v>
      </c>
      <c r="L3891" t="s">
        <v>10575</v>
      </c>
    </row>
    <row r="3892" spans="1:40" x14ac:dyDescent="0.35">
      <c r="A3892">
        <v>7014832</v>
      </c>
      <c r="B3892" t="s">
        <v>10576</v>
      </c>
      <c r="C3892" t="str">
        <f>""</f>
        <v/>
      </c>
      <c r="D3892" t="str">
        <f>"9783110726305"</f>
        <v>9783110726305</v>
      </c>
      <c r="E3892" t="s">
        <v>415</v>
      </c>
      <c r="F3892" t="s">
        <v>415</v>
      </c>
      <c r="G3892" s="1">
        <v>44382</v>
      </c>
      <c r="H3892" s="1">
        <v>44726</v>
      </c>
      <c r="I3892" t="s">
        <v>189</v>
      </c>
      <c r="J3892">
        <v>1</v>
      </c>
      <c r="K3892" t="s">
        <v>10577</v>
      </c>
      <c r="L3892" t="s">
        <v>10578</v>
      </c>
    </row>
    <row r="3893" spans="1:40" x14ac:dyDescent="0.35">
      <c r="A3893">
        <v>7014833</v>
      </c>
      <c r="B3893" t="s">
        <v>10579</v>
      </c>
      <c r="C3893" t="str">
        <f>""</f>
        <v/>
      </c>
      <c r="D3893" t="str">
        <f>"9783111729107"</f>
        <v>9783111729107</v>
      </c>
      <c r="E3893" t="s">
        <v>346</v>
      </c>
      <c r="F3893" t="s">
        <v>2637</v>
      </c>
      <c r="G3893" s="1">
        <v>27485</v>
      </c>
      <c r="H3893" s="1">
        <v>44726</v>
      </c>
      <c r="I3893" t="s">
        <v>189</v>
      </c>
      <c r="J3893">
        <v>1</v>
      </c>
      <c r="K3893" t="s">
        <v>10580</v>
      </c>
      <c r="L3893" t="s">
        <v>10581</v>
      </c>
    </row>
    <row r="3894" spans="1:40" x14ac:dyDescent="0.35">
      <c r="A3894">
        <v>7014834</v>
      </c>
      <c r="B3894" t="s">
        <v>10582</v>
      </c>
      <c r="C3894" t="str">
        <f>""</f>
        <v/>
      </c>
      <c r="D3894" t="str">
        <f>"9783110713015"</f>
        <v>9783110713015</v>
      </c>
      <c r="E3894" t="s">
        <v>415</v>
      </c>
      <c r="F3894" t="s">
        <v>415</v>
      </c>
      <c r="G3894" s="1">
        <v>44181</v>
      </c>
      <c r="H3894" s="1">
        <v>44726</v>
      </c>
      <c r="I3894" t="s">
        <v>189</v>
      </c>
      <c r="J3894">
        <v>1</v>
      </c>
      <c r="K3894" t="s">
        <v>3327</v>
      </c>
      <c r="L3894" t="s">
        <v>3864</v>
      </c>
    </row>
    <row r="3895" spans="1:40" x14ac:dyDescent="0.35">
      <c r="A3895">
        <v>7014835</v>
      </c>
      <c r="B3895" t="s">
        <v>10583</v>
      </c>
      <c r="C3895" t="str">
        <f>""</f>
        <v/>
      </c>
      <c r="D3895" t="str">
        <f>"9788395669613"</f>
        <v>9788395669613</v>
      </c>
      <c r="E3895" t="s">
        <v>415</v>
      </c>
      <c r="F3895" t="s">
        <v>3134</v>
      </c>
      <c r="G3895" s="1">
        <v>44966</v>
      </c>
      <c r="H3895" s="1">
        <v>44726</v>
      </c>
      <c r="I3895" t="s">
        <v>189</v>
      </c>
      <c r="J3895">
        <v>1</v>
      </c>
      <c r="L3895" t="s">
        <v>52</v>
      </c>
      <c r="M3895" t="s">
        <v>323</v>
      </c>
      <c r="O3895" t="s">
        <v>10584</v>
      </c>
      <c r="Q3895" t="s">
        <v>260</v>
      </c>
      <c r="R3895" t="s">
        <v>261</v>
      </c>
      <c r="S3895" t="s">
        <v>261</v>
      </c>
      <c r="T3895" t="s">
        <v>261</v>
      </c>
      <c r="U3895" t="s">
        <v>261</v>
      </c>
      <c r="V3895" t="s">
        <v>262</v>
      </c>
      <c r="W3895" t="s">
        <v>261</v>
      </c>
      <c r="X3895" t="s">
        <v>261</v>
      </c>
      <c r="Y3895" t="s">
        <v>261</v>
      </c>
      <c r="Z3895" t="s">
        <v>409</v>
      </c>
      <c r="AA3895" t="s">
        <v>409</v>
      </c>
      <c r="AB3895" t="s">
        <v>409</v>
      </c>
      <c r="AC3895" t="s">
        <v>409</v>
      </c>
      <c r="AD3895" t="s">
        <v>261</v>
      </c>
      <c r="AH3895" t="s">
        <v>262</v>
      </c>
      <c r="AI3895" t="s">
        <v>262</v>
      </c>
      <c r="AJ3895" t="s">
        <v>261</v>
      </c>
      <c r="AK3895" t="s">
        <v>261</v>
      </c>
      <c r="AM3895" t="s">
        <v>262</v>
      </c>
      <c r="AN3895" t="s">
        <v>10585</v>
      </c>
    </row>
    <row r="3896" spans="1:40" x14ac:dyDescent="0.35">
      <c r="A3896">
        <v>7014836</v>
      </c>
      <c r="B3896" t="s">
        <v>10586</v>
      </c>
      <c r="C3896" t="str">
        <f>""</f>
        <v/>
      </c>
      <c r="D3896" t="str">
        <f>"9783111409832"</f>
        <v>9783111409832</v>
      </c>
      <c r="E3896" t="s">
        <v>415</v>
      </c>
      <c r="F3896" t="s">
        <v>415</v>
      </c>
      <c r="G3896" s="1">
        <v>26390</v>
      </c>
      <c r="H3896" s="1">
        <v>44726</v>
      </c>
      <c r="I3896" t="s">
        <v>189</v>
      </c>
      <c r="J3896">
        <v>1</v>
      </c>
      <c r="K3896" t="s">
        <v>10587</v>
      </c>
      <c r="L3896" t="s">
        <v>10588</v>
      </c>
    </row>
    <row r="3897" spans="1:40" x14ac:dyDescent="0.35">
      <c r="A3897">
        <v>7014837</v>
      </c>
      <c r="B3897" t="s">
        <v>10589</v>
      </c>
      <c r="C3897" t="str">
        <f>""</f>
        <v/>
      </c>
      <c r="D3897" t="str">
        <f>"9783110741124"</f>
        <v>9783110741124</v>
      </c>
      <c r="E3897" t="s">
        <v>415</v>
      </c>
      <c r="F3897" t="s">
        <v>415</v>
      </c>
      <c r="G3897" s="1">
        <v>44382</v>
      </c>
      <c r="H3897" s="1">
        <v>44726</v>
      </c>
      <c r="I3897" t="s">
        <v>189</v>
      </c>
      <c r="J3897">
        <v>1</v>
      </c>
      <c r="K3897" t="s">
        <v>2442</v>
      </c>
      <c r="L3897" t="s">
        <v>10590</v>
      </c>
    </row>
    <row r="3898" spans="1:40" x14ac:dyDescent="0.35">
      <c r="A3898">
        <v>7014838</v>
      </c>
      <c r="B3898" t="s">
        <v>10591</v>
      </c>
      <c r="C3898" t="str">
        <f>""</f>
        <v/>
      </c>
      <c r="D3898" t="str">
        <f>"9783110701319"</f>
        <v>9783110701319</v>
      </c>
      <c r="E3898" t="s">
        <v>415</v>
      </c>
      <c r="F3898" t="s">
        <v>415</v>
      </c>
      <c r="G3898" s="1">
        <v>44095</v>
      </c>
      <c r="H3898" s="1">
        <v>44726</v>
      </c>
      <c r="I3898" t="s">
        <v>189</v>
      </c>
      <c r="J3898">
        <v>1</v>
      </c>
      <c r="K3898" t="s">
        <v>1159</v>
      </c>
      <c r="L3898" t="s">
        <v>10592</v>
      </c>
    </row>
    <row r="3899" spans="1:40" x14ac:dyDescent="0.35">
      <c r="A3899">
        <v>7014839</v>
      </c>
      <c r="B3899" t="s">
        <v>10593</v>
      </c>
      <c r="C3899" t="str">
        <f>""</f>
        <v/>
      </c>
      <c r="D3899" t="str">
        <f>"9783111572840"</f>
        <v>9783111572840</v>
      </c>
      <c r="E3899" t="s">
        <v>415</v>
      </c>
      <c r="F3899" t="s">
        <v>415</v>
      </c>
      <c r="G3899" t="s">
        <v>10594</v>
      </c>
      <c r="H3899" s="1">
        <v>44726</v>
      </c>
      <c r="I3899" t="s">
        <v>189</v>
      </c>
      <c r="J3899">
        <v>1</v>
      </c>
      <c r="L3899" t="s">
        <v>10595</v>
      </c>
    </row>
    <row r="3900" spans="1:40" x14ac:dyDescent="0.35">
      <c r="A3900">
        <v>7014840</v>
      </c>
      <c r="B3900" t="s">
        <v>10596</v>
      </c>
      <c r="C3900" t="str">
        <f>""</f>
        <v/>
      </c>
      <c r="D3900" t="str">
        <f>"9783110731958"</f>
        <v>9783110731958</v>
      </c>
      <c r="E3900" t="s">
        <v>415</v>
      </c>
      <c r="F3900" t="s">
        <v>415</v>
      </c>
      <c r="G3900" s="1">
        <v>44446</v>
      </c>
      <c r="H3900" s="1">
        <v>44726</v>
      </c>
      <c r="I3900" t="s">
        <v>189</v>
      </c>
      <c r="J3900">
        <v>1</v>
      </c>
      <c r="K3900" t="s">
        <v>10597</v>
      </c>
      <c r="L3900" t="s">
        <v>10598</v>
      </c>
    </row>
    <row r="3901" spans="1:40" x14ac:dyDescent="0.35">
      <c r="A3901">
        <v>7014841</v>
      </c>
      <c r="B3901" t="s">
        <v>10599</v>
      </c>
      <c r="C3901" t="str">
        <f>""</f>
        <v/>
      </c>
      <c r="D3901" t="str">
        <f>"9783486754728"</f>
        <v>9783486754728</v>
      </c>
      <c r="E3901" t="s">
        <v>415</v>
      </c>
      <c r="F3901" t="s">
        <v>665</v>
      </c>
      <c r="G3901" s="1">
        <v>9863</v>
      </c>
      <c r="H3901" s="1">
        <v>44726</v>
      </c>
      <c r="I3901" t="s">
        <v>189</v>
      </c>
      <c r="J3901">
        <v>1</v>
      </c>
      <c r="L3901" t="s">
        <v>10600</v>
      </c>
      <c r="M3901" t="s">
        <v>210</v>
      </c>
      <c r="Q3901" t="s">
        <v>408</v>
      </c>
      <c r="R3901" t="s">
        <v>261</v>
      </c>
      <c r="S3901" t="s">
        <v>261</v>
      </c>
      <c r="T3901" t="s">
        <v>261</v>
      </c>
      <c r="U3901" t="s">
        <v>261</v>
      </c>
      <c r="V3901" t="s">
        <v>262</v>
      </c>
      <c r="W3901" t="s">
        <v>261</v>
      </c>
      <c r="X3901" t="s">
        <v>261</v>
      </c>
      <c r="Y3901" t="s">
        <v>261</v>
      </c>
      <c r="Z3901" t="s">
        <v>409</v>
      </c>
      <c r="AA3901" t="s">
        <v>409</v>
      </c>
      <c r="AB3901" t="s">
        <v>409</v>
      </c>
      <c r="AC3901" t="s">
        <v>409</v>
      </c>
      <c r="AD3901" t="s">
        <v>261</v>
      </c>
      <c r="AH3901" t="s">
        <v>262</v>
      </c>
      <c r="AI3901" t="s">
        <v>262</v>
      </c>
      <c r="AJ3901" t="s">
        <v>261</v>
      </c>
      <c r="AK3901" t="s">
        <v>261</v>
      </c>
      <c r="AM3901" t="s">
        <v>262</v>
      </c>
      <c r="AN3901" t="s">
        <v>10601</v>
      </c>
    </row>
    <row r="3902" spans="1:40" x14ac:dyDescent="0.35">
      <c r="A3902">
        <v>7014842</v>
      </c>
      <c r="B3902" t="s">
        <v>10602</v>
      </c>
      <c r="C3902" t="str">
        <f>""</f>
        <v/>
      </c>
      <c r="D3902" t="str">
        <f>"9783110670523"</f>
        <v>9783110670523</v>
      </c>
      <c r="E3902" t="s">
        <v>415</v>
      </c>
      <c r="F3902" t="s">
        <v>665</v>
      </c>
      <c r="G3902" s="1">
        <v>44067</v>
      </c>
      <c r="H3902" s="1">
        <v>44726</v>
      </c>
      <c r="I3902" t="s">
        <v>189</v>
      </c>
      <c r="J3902">
        <v>1</v>
      </c>
      <c r="K3902" t="s">
        <v>6873</v>
      </c>
      <c r="L3902" t="s">
        <v>10603</v>
      </c>
    </row>
    <row r="3903" spans="1:40" x14ac:dyDescent="0.35">
      <c r="A3903">
        <v>7014843</v>
      </c>
      <c r="B3903" t="s">
        <v>10604</v>
      </c>
      <c r="C3903" t="str">
        <f>"9783110601282"</f>
        <v>9783110601282</v>
      </c>
      <c r="D3903" t="str">
        <f>"9783110601299"</f>
        <v>9783110601299</v>
      </c>
      <c r="E3903" t="s">
        <v>415</v>
      </c>
      <c r="F3903" t="s">
        <v>3134</v>
      </c>
      <c r="G3903" s="1">
        <v>43300</v>
      </c>
      <c r="H3903" s="1">
        <v>44726</v>
      </c>
      <c r="I3903" t="s">
        <v>189</v>
      </c>
      <c r="J3903">
        <v>1</v>
      </c>
      <c r="L3903" t="s">
        <v>10605</v>
      </c>
      <c r="M3903" t="s">
        <v>578</v>
      </c>
    </row>
    <row r="3904" spans="1:40" x14ac:dyDescent="0.35">
      <c r="A3904">
        <v>7014844</v>
      </c>
      <c r="B3904" t="s">
        <v>10606</v>
      </c>
      <c r="C3904" t="str">
        <f>""</f>
        <v/>
      </c>
      <c r="D3904" t="str">
        <f>"9783110572933"</f>
        <v>9783110572933</v>
      </c>
      <c r="E3904" t="s">
        <v>415</v>
      </c>
      <c r="F3904" t="s">
        <v>415</v>
      </c>
      <c r="G3904" s="1">
        <v>44508</v>
      </c>
      <c r="H3904" s="1">
        <v>44726</v>
      </c>
      <c r="I3904" t="s">
        <v>189</v>
      </c>
      <c r="J3904">
        <v>1</v>
      </c>
      <c r="K3904" t="s">
        <v>3243</v>
      </c>
      <c r="L3904" t="s">
        <v>10607</v>
      </c>
      <c r="M3904" t="s">
        <v>676</v>
      </c>
      <c r="Q3904" t="s">
        <v>408</v>
      </c>
      <c r="R3904" t="s">
        <v>261</v>
      </c>
      <c r="S3904" t="s">
        <v>261</v>
      </c>
      <c r="T3904" t="s">
        <v>261</v>
      </c>
      <c r="U3904" t="s">
        <v>261</v>
      </c>
      <c r="V3904" t="s">
        <v>262</v>
      </c>
      <c r="W3904" t="s">
        <v>261</v>
      </c>
      <c r="X3904" t="s">
        <v>261</v>
      </c>
      <c r="Y3904" t="s">
        <v>261</v>
      </c>
      <c r="Z3904" t="s">
        <v>409</v>
      </c>
      <c r="AA3904" t="s">
        <v>409</v>
      </c>
      <c r="AB3904" t="s">
        <v>409</v>
      </c>
      <c r="AC3904" t="s">
        <v>409</v>
      </c>
      <c r="AD3904" t="s">
        <v>261</v>
      </c>
      <c r="AH3904" t="s">
        <v>262</v>
      </c>
      <c r="AI3904" t="s">
        <v>262</v>
      </c>
      <c r="AJ3904" t="s">
        <v>261</v>
      </c>
      <c r="AK3904" t="s">
        <v>261</v>
      </c>
      <c r="AM3904" t="s">
        <v>262</v>
      </c>
      <c r="AN3904" t="s">
        <v>10608</v>
      </c>
    </row>
    <row r="3905" spans="1:40" x14ac:dyDescent="0.35">
      <c r="A3905">
        <v>7014845</v>
      </c>
      <c r="B3905" t="s">
        <v>10609</v>
      </c>
      <c r="C3905" t="str">
        <f>""</f>
        <v/>
      </c>
      <c r="D3905" t="str">
        <f>"9783110671971"</f>
        <v>9783110671971</v>
      </c>
      <c r="E3905" t="s">
        <v>415</v>
      </c>
      <c r="F3905" t="s">
        <v>415</v>
      </c>
      <c r="G3905" s="1">
        <v>44522</v>
      </c>
      <c r="H3905" s="1">
        <v>44726</v>
      </c>
      <c r="I3905" t="s">
        <v>189</v>
      </c>
      <c r="J3905">
        <v>1</v>
      </c>
      <c r="L3905" t="s">
        <v>3882</v>
      </c>
    </row>
    <row r="3906" spans="1:40" x14ac:dyDescent="0.35">
      <c r="A3906">
        <v>7014846</v>
      </c>
      <c r="B3906" t="s">
        <v>10610</v>
      </c>
      <c r="C3906" t="str">
        <f>""</f>
        <v/>
      </c>
      <c r="D3906" t="str">
        <f>"9783035622751"</f>
        <v>9783035622751</v>
      </c>
      <c r="E3906" t="s">
        <v>415</v>
      </c>
      <c r="F3906" t="s">
        <v>1107</v>
      </c>
      <c r="G3906" s="1">
        <v>44186</v>
      </c>
      <c r="H3906" s="1">
        <v>44726</v>
      </c>
      <c r="I3906" t="s">
        <v>189</v>
      </c>
      <c r="J3906">
        <v>1</v>
      </c>
      <c r="L3906" t="s">
        <v>10611</v>
      </c>
    </row>
    <row r="3907" spans="1:40" x14ac:dyDescent="0.35">
      <c r="A3907">
        <v>7014847</v>
      </c>
      <c r="B3907" t="s">
        <v>10612</v>
      </c>
      <c r="C3907" t="str">
        <f>""</f>
        <v/>
      </c>
      <c r="D3907" t="str">
        <f>"9783110697667"</f>
        <v>9783110697667</v>
      </c>
      <c r="E3907" t="s">
        <v>415</v>
      </c>
      <c r="F3907" t="s">
        <v>415</v>
      </c>
      <c r="G3907" s="1">
        <v>44158</v>
      </c>
      <c r="H3907" s="1">
        <v>44726</v>
      </c>
      <c r="I3907" t="s">
        <v>189</v>
      </c>
      <c r="J3907">
        <v>1</v>
      </c>
      <c r="K3907" t="s">
        <v>6797</v>
      </c>
      <c r="L3907" t="s">
        <v>10613</v>
      </c>
      <c r="M3907" t="s">
        <v>239</v>
      </c>
    </row>
    <row r="3908" spans="1:40" x14ac:dyDescent="0.35">
      <c r="A3908">
        <v>7014848</v>
      </c>
      <c r="B3908" t="s">
        <v>10614</v>
      </c>
      <c r="C3908" t="str">
        <f>""</f>
        <v/>
      </c>
      <c r="D3908" t="str">
        <f>"9783110476958"</f>
        <v>9783110476958</v>
      </c>
      <c r="E3908" t="s">
        <v>415</v>
      </c>
      <c r="F3908" t="s">
        <v>415</v>
      </c>
      <c r="G3908" s="1">
        <v>43451</v>
      </c>
      <c r="H3908" s="1">
        <v>44726</v>
      </c>
      <c r="I3908" t="s">
        <v>189</v>
      </c>
      <c r="J3908">
        <v>1</v>
      </c>
      <c r="K3908" t="s">
        <v>3923</v>
      </c>
      <c r="L3908" t="s">
        <v>10615</v>
      </c>
    </row>
    <row r="3909" spans="1:40" x14ac:dyDescent="0.35">
      <c r="A3909">
        <v>7014849</v>
      </c>
      <c r="B3909" t="s">
        <v>10616</v>
      </c>
      <c r="C3909" t="str">
        <f>""</f>
        <v/>
      </c>
      <c r="D3909" t="str">
        <f>"9783110592153"</f>
        <v>9783110592153</v>
      </c>
      <c r="E3909" t="s">
        <v>415</v>
      </c>
      <c r="F3909" t="s">
        <v>415</v>
      </c>
      <c r="G3909" s="1">
        <v>44473</v>
      </c>
      <c r="H3909" s="1">
        <v>44726</v>
      </c>
      <c r="I3909" t="s">
        <v>189</v>
      </c>
      <c r="K3909" t="s">
        <v>10617</v>
      </c>
      <c r="L3909" t="s">
        <v>10618</v>
      </c>
    </row>
    <row r="3910" spans="1:40" x14ac:dyDescent="0.35">
      <c r="A3910">
        <v>7014850</v>
      </c>
      <c r="B3910" t="s">
        <v>10619</v>
      </c>
      <c r="C3910" t="str">
        <f>""</f>
        <v/>
      </c>
      <c r="D3910" t="str">
        <f>"9783110720280"</f>
        <v>9783110720280</v>
      </c>
      <c r="E3910" t="s">
        <v>415</v>
      </c>
      <c r="F3910" t="s">
        <v>6576</v>
      </c>
      <c r="G3910" s="1">
        <v>42576</v>
      </c>
      <c r="H3910" s="1">
        <v>44726</v>
      </c>
      <c r="I3910" t="s">
        <v>189</v>
      </c>
      <c r="J3910">
        <v>1</v>
      </c>
      <c r="K3910" t="s">
        <v>10620</v>
      </c>
      <c r="L3910" t="s">
        <v>10621</v>
      </c>
    </row>
    <row r="3911" spans="1:40" x14ac:dyDescent="0.35">
      <c r="A3911">
        <v>7014851</v>
      </c>
      <c r="B3911" t="s">
        <v>10622</v>
      </c>
      <c r="C3911" t="str">
        <f>""</f>
        <v/>
      </c>
      <c r="D3911" t="str">
        <f>"9783110740516"</f>
        <v>9783110740516</v>
      </c>
      <c r="E3911" t="s">
        <v>415</v>
      </c>
      <c r="F3911" t="s">
        <v>665</v>
      </c>
      <c r="G3911" s="1">
        <v>44522</v>
      </c>
      <c r="H3911" s="1">
        <v>44726</v>
      </c>
      <c r="I3911" t="s">
        <v>189</v>
      </c>
      <c r="J3911">
        <v>1</v>
      </c>
      <c r="K3911" t="s">
        <v>10623</v>
      </c>
      <c r="L3911" t="s">
        <v>10624</v>
      </c>
      <c r="M3911" t="s">
        <v>239</v>
      </c>
      <c r="Q3911" t="s">
        <v>408</v>
      </c>
      <c r="R3911" t="s">
        <v>261</v>
      </c>
      <c r="S3911" t="s">
        <v>261</v>
      </c>
      <c r="T3911" t="s">
        <v>261</v>
      </c>
      <c r="U3911" t="s">
        <v>261</v>
      </c>
      <c r="V3911" t="s">
        <v>262</v>
      </c>
      <c r="W3911" t="s">
        <v>261</v>
      </c>
      <c r="X3911" t="s">
        <v>261</v>
      </c>
      <c r="Y3911" t="s">
        <v>261</v>
      </c>
      <c r="Z3911" t="s">
        <v>409</v>
      </c>
      <c r="AA3911" t="s">
        <v>409</v>
      </c>
      <c r="AB3911" t="s">
        <v>409</v>
      </c>
      <c r="AC3911" t="s">
        <v>409</v>
      </c>
      <c r="AD3911" t="s">
        <v>261</v>
      </c>
      <c r="AH3911" t="s">
        <v>262</v>
      </c>
      <c r="AI3911" t="s">
        <v>262</v>
      </c>
      <c r="AJ3911" t="s">
        <v>261</v>
      </c>
      <c r="AK3911" t="s">
        <v>261</v>
      </c>
      <c r="AM3911" t="s">
        <v>262</v>
      </c>
      <c r="AN3911" t="s">
        <v>10625</v>
      </c>
    </row>
    <row r="3912" spans="1:40" x14ac:dyDescent="0.35">
      <c r="A3912">
        <v>7014852</v>
      </c>
      <c r="B3912" t="s">
        <v>10626</v>
      </c>
      <c r="C3912" t="str">
        <f>""</f>
        <v/>
      </c>
      <c r="D3912" t="str">
        <f>"9783110722383"</f>
        <v>9783110722383</v>
      </c>
      <c r="E3912" t="s">
        <v>415</v>
      </c>
      <c r="F3912" t="s">
        <v>415</v>
      </c>
      <c r="G3912" s="1">
        <v>44473</v>
      </c>
      <c r="H3912" s="1">
        <v>44726</v>
      </c>
      <c r="I3912" t="s">
        <v>189</v>
      </c>
      <c r="J3912">
        <v>1</v>
      </c>
      <c r="L3912" t="s">
        <v>10627</v>
      </c>
      <c r="M3912" t="s">
        <v>676</v>
      </c>
      <c r="Q3912" t="s">
        <v>6636</v>
      </c>
    </row>
    <row r="3913" spans="1:40" x14ac:dyDescent="0.35">
      <c r="A3913">
        <v>7014853</v>
      </c>
      <c r="B3913" t="s">
        <v>10628</v>
      </c>
      <c r="C3913" t="str">
        <f>"9783486568172"</f>
        <v>9783486568172</v>
      </c>
      <c r="D3913" t="str">
        <f>"9783486594614"</f>
        <v>9783486594614</v>
      </c>
      <c r="E3913" t="s">
        <v>415</v>
      </c>
      <c r="F3913" t="s">
        <v>665</v>
      </c>
      <c r="G3913" s="1">
        <v>38217</v>
      </c>
      <c r="H3913" s="1">
        <v>44726</v>
      </c>
      <c r="I3913" t="s">
        <v>189</v>
      </c>
      <c r="J3913">
        <v>1</v>
      </c>
      <c r="K3913" t="s">
        <v>1387</v>
      </c>
      <c r="L3913" t="s">
        <v>10629</v>
      </c>
    </row>
    <row r="3914" spans="1:40" x14ac:dyDescent="0.35">
      <c r="A3914">
        <v>7014854</v>
      </c>
      <c r="B3914" t="s">
        <v>10630</v>
      </c>
      <c r="C3914" t="str">
        <f>""</f>
        <v/>
      </c>
      <c r="D3914" t="str">
        <f>"9783110679403"</f>
        <v>9783110679403</v>
      </c>
      <c r="E3914" t="s">
        <v>415</v>
      </c>
      <c r="F3914" t="s">
        <v>665</v>
      </c>
      <c r="G3914" s="1">
        <v>44172</v>
      </c>
      <c r="H3914" s="1">
        <v>44726</v>
      </c>
      <c r="I3914" t="s">
        <v>189</v>
      </c>
      <c r="J3914">
        <v>1</v>
      </c>
      <c r="L3914" t="s">
        <v>6874</v>
      </c>
      <c r="M3914" t="s">
        <v>329</v>
      </c>
    </row>
    <row r="3915" spans="1:40" x14ac:dyDescent="0.35">
      <c r="A3915">
        <v>7014855</v>
      </c>
      <c r="B3915" t="s">
        <v>10631</v>
      </c>
      <c r="C3915" t="str">
        <f>""</f>
        <v/>
      </c>
      <c r="D3915" t="str">
        <f>"9783110671827"</f>
        <v>9783110671827</v>
      </c>
      <c r="E3915" t="s">
        <v>415</v>
      </c>
      <c r="F3915" t="s">
        <v>665</v>
      </c>
      <c r="G3915" s="1">
        <v>44116</v>
      </c>
      <c r="H3915" s="1">
        <v>44726</v>
      </c>
      <c r="I3915" t="s">
        <v>189</v>
      </c>
      <c r="J3915">
        <v>1</v>
      </c>
      <c r="K3915" t="s">
        <v>10632</v>
      </c>
      <c r="L3915" t="s">
        <v>10633</v>
      </c>
    </row>
    <row r="3916" spans="1:40" x14ac:dyDescent="0.35">
      <c r="A3916">
        <v>7014856</v>
      </c>
      <c r="B3916" t="s">
        <v>10634</v>
      </c>
      <c r="C3916" t="str">
        <f>""</f>
        <v/>
      </c>
      <c r="D3916" t="str">
        <f>"9783111591315"</f>
        <v>9783111591315</v>
      </c>
      <c r="E3916" t="s">
        <v>415</v>
      </c>
      <c r="F3916" t="s">
        <v>415</v>
      </c>
      <c r="G3916" t="s">
        <v>10594</v>
      </c>
      <c r="H3916" s="1">
        <v>44726</v>
      </c>
      <c r="I3916" t="s">
        <v>189</v>
      </c>
      <c r="J3916">
        <v>1</v>
      </c>
      <c r="L3916" t="s">
        <v>10635</v>
      </c>
    </row>
    <row r="3917" spans="1:40" x14ac:dyDescent="0.35">
      <c r="A3917">
        <v>7014857</v>
      </c>
      <c r="B3917" t="s">
        <v>10636</v>
      </c>
      <c r="C3917" t="str">
        <f>""</f>
        <v/>
      </c>
      <c r="D3917" t="str">
        <f>"9783111677347"</f>
        <v>9783111677347</v>
      </c>
      <c r="E3917" t="s">
        <v>415</v>
      </c>
      <c r="F3917" t="s">
        <v>415</v>
      </c>
      <c r="G3917" s="1">
        <v>26755</v>
      </c>
      <c r="H3917" s="1">
        <v>44726</v>
      </c>
      <c r="I3917" t="s">
        <v>189</v>
      </c>
      <c r="J3917">
        <v>1</v>
      </c>
      <c r="K3917" t="s">
        <v>10587</v>
      </c>
      <c r="L3917" t="s">
        <v>10588</v>
      </c>
      <c r="M3917" t="s">
        <v>210</v>
      </c>
      <c r="Q3917" t="s">
        <v>408</v>
      </c>
      <c r="R3917" t="s">
        <v>261</v>
      </c>
      <c r="S3917" t="s">
        <v>261</v>
      </c>
      <c r="T3917" t="s">
        <v>261</v>
      </c>
      <c r="U3917" t="s">
        <v>261</v>
      </c>
      <c r="V3917" t="s">
        <v>262</v>
      </c>
      <c r="W3917" t="s">
        <v>261</v>
      </c>
      <c r="X3917" t="s">
        <v>261</v>
      </c>
      <c r="Y3917" t="s">
        <v>261</v>
      </c>
      <c r="Z3917" t="s">
        <v>409</v>
      </c>
      <c r="AA3917" t="s">
        <v>409</v>
      </c>
      <c r="AB3917" t="s">
        <v>409</v>
      </c>
      <c r="AC3917" t="s">
        <v>409</v>
      </c>
      <c r="AD3917" t="s">
        <v>261</v>
      </c>
      <c r="AH3917" t="s">
        <v>262</v>
      </c>
      <c r="AI3917" t="s">
        <v>262</v>
      </c>
      <c r="AJ3917" t="s">
        <v>261</v>
      </c>
      <c r="AK3917" t="s">
        <v>261</v>
      </c>
      <c r="AM3917" t="s">
        <v>262</v>
      </c>
      <c r="AN3917" t="s">
        <v>10637</v>
      </c>
    </row>
    <row r="3918" spans="1:40" x14ac:dyDescent="0.35">
      <c r="A3918">
        <v>7014859</v>
      </c>
      <c r="B3918" t="s">
        <v>10638</v>
      </c>
      <c r="C3918" t="str">
        <f>""</f>
        <v/>
      </c>
      <c r="D3918" t="str">
        <f>"9783111562575"</f>
        <v>9783111562575</v>
      </c>
      <c r="E3918" t="s">
        <v>346</v>
      </c>
      <c r="F3918" t="s">
        <v>2637</v>
      </c>
      <c r="G3918" s="1">
        <v>24929</v>
      </c>
      <c r="H3918" s="1">
        <v>44726</v>
      </c>
      <c r="I3918" t="s">
        <v>189</v>
      </c>
      <c r="J3918">
        <v>1</v>
      </c>
      <c r="L3918" t="s">
        <v>10639</v>
      </c>
      <c r="M3918" t="s">
        <v>239</v>
      </c>
      <c r="Q3918" t="s">
        <v>260</v>
      </c>
      <c r="R3918" t="s">
        <v>261</v>
      </c>
      <c r="S3918" t="s">
        <v>261</v>
      </c>
      <c r="T3918" t="s">
        <v>261</v>
      </c>
      <c r="U3918" t="s">
        <v>261</v>
      </c>
      <c r="V3918" t="s">
        <v>262</v>
      </c>
      <c r="W3918" t="s">
        <v>261</v>
      </c>
      <c r="X3918" t="s">
        <v>261</v>
      </c>
      <c r="Y3918" t="s">
        <v>261</v>
      </c>
      <c r="Z3918" t="s">
        <v>409</v>
      </c>
      <c r="AA3918" t="s">
        <v>409</v>
      </c>
      <c r="AB3918" t="s">
        <v>409</v>
      </c>
      <c r="AC3918" t="s">
        <v>409</v>
      </c>
      <c r="AD3918" t="s">
        <v>261</v>
      </c>
      <c r="AH3918" t="s">
        <v>262</v>
      </c>
      <c r="AI3918" t="s">
        <v>262</v>
      </c>
      <c r="AJ3918" t="s">
        <v>261</v>
      </c>
      <c r="AK3918" t="s">
        <v>261</v>
      </c>
      <c r="AM3918" t="s">
        <v>262</v>
      </c>
      <c r="AN3918" t="s">
        <v>10640</v>
      </c>
    </row>
    <row r="3919" spans="1:40" x14ac:dyDescent="0.35">
      <c r="A3919">
        <v>7014860</v>
      </c>
      <c r="B3919" t="s">
        <v>10641</v>
      </c>
      <c r="C3919" t="str">
        <f>""</f>
        <v/>
      </c>
      <c r="D3919" t="str">
        <f>"9783111715599"</f>
        <v>9783111715599</v>
      </c>
      <c r="E3919" t="s">
        <v>415</v>
      </c>
      <c r="F3919" t="s">
        <v>415</v>
      </c>
      <c r="G3919" s="1">
        <v>21641</v>
      </c>
      <c r="H3919" s="1">
        <v>44726</v>
      </c>
      <c r="I3919" t="s">
        <v>189</v>
      </c>
      <c r="J3919">
        <v>1</v>
      </c>
      <c r="L3919" t="s">
        <v>10642</v>
      </c>
    </row>
    <row r="3920" spans="1:40" x14ac:dyDescent="0.35">
      <c r="A3920">
        <v>7014861</v>
      </c>
      <c r="B3920" t="s">
        <v>10643</v>
      </c>
      <c r="C3920" t="str">
        <f>""</f>
        <v/>
      </c>
      <c r="D3920" t="str">
        <f>"9783111463216"</f>
        <v>9783111463216</v>
      </c>
      <c r="E3920" t="s">
        <v>415</v>
      </c>
      <c r="F3920" t="s">
        <v>415</v>
      </c>
      <c r="G3920" s="1">
        <v>92</v>
      </c>
      <c r="H3920" s="1">
        <v>44726</v>
      </c>
      <c r="I3920" t="s">
        <v>189</v>
      </c>
      <c r="J3920">
        <v>1</v>
      </c>
      <c r="L3920" t="s">
        <v>10644</v>
      </c>
      <c r="M3920" t="s">
        <v>239</v>
      </c>
      <c r="Q3920" t="s">
        <v>408</v>
      </c>
      <c r="R3920" t="s">
        <v>261</v>
      </c>
      <c r="S3920" t="s">
        <v>261</v>
      </c>
      <c r="T3920" t="s">
        <v>261</v>
      </c>
      <c r="U3920" t="s">
        <v>261</v>
      </c>
      <c r="V3920" t="s">
        <v>262</v>
      </c>
      <c r="W3920" t="s">
        <v>261</v>
      </c>
      <c r="X3920" t="s">
        <v>261</v>
      </c>
      <c r="Y3920" t="s">
        <v>261</v>
      </c>
      <c r="Z3920" t="s">
        <v>409</v>
      </c>
      <c r="AA3920" t="s">
        <v>409</v>
      </c>
      <c r="AB3920" t="s">
        <v>409</v>
      </c>
      <c r="AC3920" t="s">
        <v>409</v>
      </c>
      <c r="AD3920" t="s">
        <v>261</v>
      </c>
      <c r="AH3920" t="s">
        <v>262</v>
      </c>
      <c r="AI3920" t="s">
        <v>262</v>
      </c>
      <c r="AJ3920" t="s">
        <v>261</v>
      </c>
      <c r="AK3920" t="s">
        <v>261</v>
      </c>
      <c r="AM3920" t="s">
        <v>262</v>
      </c>
      <c r="AN3920" t="s">
        <v>10645</v>
      </c>
    </row>
    <row r="3921" spans="1:40" x14ac:dyDescent="0.35">
      <c r="A3921">
        <v>7014862</v>
      </c>
      <c r="B3921" t="s">
        <v>10646</v>
      </c>
      <c r="C3921" t="str">
        <f>""</f>
        <v/>
      </c>
      <c r="D3921" t="str">
        <f>"9783111536491"</f>
        <v>9783111536491</v>
      </c>
      <c r="E3921" t="s">
        <v>415</v>
      </c>
      <c r="F3921" t="s">
        <v>415</v>
      </c>
      <c r="G3921" s="1">
        <v>25659</v>
      </c>
      <c r="H3921" s="1">
        <v>44726</v>
      </c>
      <c r="I3921" t="s">
        <v>189</v>
      </c>
      <c r="J3921">
        <v>1</v>
      </c>
      <c r="L3921" t="s">
        <v>10647</v>
      </c>
      <c r="M3921" t="s">
        <v>316</v>
      </c>
      <c r="Q3921" t="s">
        <v>408</v>
      </c>
      <c r="R3921" t="s">
        <v>261</v>
      </c>
      <c r="S3921" t="s">
        <v>261</v>
      </c>
      <c r="T3921" t="s">
        <v>261</v>
      </c>
      <c r="U3921" t="s">
        <v>261</v>
      </c>
      <c r="V3921" t="s">
        <v>262</v>
      </c>
      <c r="W3921" t="s">
        <v>261</v>
      </c>
      <c r="X3921" t="s">
        <v>261</v>
      </c>
      <c r="Y3921" t="s">
        <v>261</v>
      </c>
      <c r="Z3921" t="s">
        <v>409</v>
      </c>
      <c r="AA3921" t="s">
        <v>409</v>
      </c>
      <c r="AB3921" t="s">
        <v>409</v>
      </c>
      <c r="AC3921" t="s">
        <v>409</v>
      </c>
      <c r="AD3921" t="s">
        <v>261</v>
      </c>
      <c r="AH3921" t="s">
        <v>262</v>
      </c>
      <c r="AI3921" t="s">
        <v>262</v>
      </c>
      <c r="AJ3921" t="s">
        <v>261</v>
      </c>
      <c r="AK3921" t="s">
        <v>261</v>
      </c>
      <c r="AM3921" t="s">
        <v>262</v>
      </c>
      <c r="AN3921" t="s">
        <v>10648</v>
      </c>
    </row>
    <row r="3922" spans="1:40" x14ac:dyDescent="0.35">
      <c r="A3922">
        <v>7014863</v>
      </c>
      <c r="B3922" t="s">
        <v>10649</v>
      </c>
      <c r="C3922" t="str">
        <f>"9783111317946"</f>
        <v>9783111317946</v>
      </c>
      <c r="D3922" t="str">
        <f>"9783111707464"</f>
        <v>9783111707464</v>
      </c>
      <c r="E3922" t="s">
        <v>415</v>
      </c>
      <c r="F3922" t="s">
        <v>415</v>
      </c>
      <c r="G3922" s="1">
        <v>5205</v>
      </c>
      <c r="H3922" s="1">
        <v>44726</v>
      </c>
      <c r="I3922" t="s">
        <v>189</v>
      </c>
      <c r="J3922">
        <v>1</v>
      </c>
      <c r="K3922" t="s">
        <v>10650</v>
      </c>
      <c r="L3922" t="s">
        <v>10651</v>
      </c>
      <c r="M3922" t="s">
        <v>316</v>
      </c>
      <c r="Q3922" t="s">
        <v>408</v>
      </c>
      <c r="R3922" t="s">
        <v>261</v>
      </c>
      <c r="S3922" t="s">
        <v>261</v>
      </c>
      <c r="T3922" t="s">
        <v>261</v>
      </c>
      <c r="U3922" t="s">
        <v>261</v>
      </c>
      <c r="V3922" t="s">
        <v>262</v>
      </c>
      <c r="W3922" t="s">
        <v>261</v>
      </c>
      <c r="X3922" t="s">
        <v>261</v>
      </c>
      <c r="Y3922" t="s">
        <v>261</v>
      </c>
      <c r="Z3922" t="s">
        <v>409</v>
      </c>
      <c r="AA3922" t="s">
        <v>409</v>
      </c>
      <c r="AB3922" t="s">
        <v>409</v>
      </c>
      <c r="AC3922" t="s">
        <v>409</v>
      </c>
      <c r="AD3922" t="s">
        <v>261</v>
      </c>
      <c r="AH3922" t="s">
        <v>262</v>
      </c>
      <c r="AI3922" t="s">
        <v>262</v>
      </c>
      <c r="AJ3922" t="s">
        <v>261</v>
      </c>
      <c r="AK3922" t="s">
        <v>261</v>
      </c>
      <c r="AM3922" t="s">
        <v>262</v>
      </c>
      <c r="AN3922" t="s">
        <v>10652</v>
      </c>
    </row>
    <row r="3923" spans="1:40" x14ac:dyDescent="0.35">
      <c r="A3923">
        <v>7014864</v>
      </c>
      <c r="B3923" t="s">
        <v>10653</v>
      </c>
      <c r="C3923" t="str">
        <f>""</f>
        <v/>
      </c>
      <c r="D3923" t="str">
        <f>"9783110712247"</f>
        <v>9783110712247</v>
      </c>
      <c r="E3923" t="s">
        <v>415</v>
      </c>
      <c r="F3923" t="s">
        <v>415</v>
      </c>
      <c r="G3923" s="1">
        <v>44277</v>
      </c>
      <c r="H3923" s="1">
        <v>44726</v>
      </c>
      <c r="I3923" t="s">
        <v>189</v>
      </c>
      <c r="J3923">
        <v>1</v>
      </c>
      <c r="L3923" t="s">
        <v>3325</v>
      </c>
    </row>
    <row r="3924" spans="1:40" x14ac:dyDescent="0.35">
      <c r="A3924">
        <v>7014865</v>
      </c>
      <c r="B3924" t="s">
        <v>10654</v>
      </c>
      <c r="C3924" t="str">
        <f>""</f>
        <v/>
      </c>
      <c r="D3924" t="str">
        <f>"9783110716313"</f>
        <v>9783110716313</v>
      </c>
      <c r="E3924" t="s">
        <v>415</v>
      </c>
      <c r="F3924" t="s">
        <v>415</v>
      </c>
      <c r="G3924" s="1">
        <v>44172</v>
      </c>
      <c r="H3924" s="1">
        <v>44726</v>
      </c>
      <c r="I3924" t="s">
        <v>189</v>
      </c>
      <c r="J3924">
        <v>1</v>
      </c>
      <c r="K3924" t="s">
        <v>6781</v>
      </c>
      <c r="L3924" t="s">
        <v>10655</v>
      </c>
    </row>
    <row r="3925" spans="1:40" x14ac:dyDescent="0.35">
      <c r="A3925">
        <v>7014866</v>
      </c>
      <c r="B3925" t="s">
        <v>10656</v>
      </c>
      <c r="C3925" t="str">
        <f>""</f>
        <v/>
      </c>
      <c r="D3925" t="str">
        <f>"9788366675308"</f>
        <v>9788366675308</v>
      </c>
      <c r="E3925" t="s">
        <v>415</v>
      </c>
      <c r="F3925" t="s">
        <v>415</v>
      </c>
      <c r="G3925" s="1">
        <v>44760</v>
      </c>
      <c r="H3925" s="1">
        <v>44726</v>
      </c>
      <c r="I3925" t="s">
        <v>189</v>
      </c>
      <c r="J3925">
        <v>1</v>
      </c>
      <c r="K3925" t="s">
        <v>10657</v>
      </c>
      <c r="L3925" t="s">
        <v>10658</v>
      </c>
    </row>
    <row r="3926" spans="1:40" x14ac:dyDescent="0.35">
      <c r="A3926">
        <v>7014867</v>
      </c>
      <c r="B3926" t="s">
        <v>10659</v>
      </c>
      <c r="C3926" t="str">
        <f>""</f>
        <v/>
      </c>
      <c r="D3926" t="str">
        <f>"9783110711356"</f>
        <v>9783110711356</v>
      </c>
      <c r="E3926" t="s">
        <v>415</v>
      </c>
      <c r="F3926" t="s">
        <v>415</v>
      </c>
      <c r="G3926" s="1">
        <v>44305</v>
      </c>
      <c r="H3926" s="1">
        <v>44726</v>
      </c>
      <c r="I3926" t="s">
        <v>189</v>
      </c>
      <c r="J3926">
        <v>1</v>
      </c>
      <c r="K3926" t="s">
        <v>354</v>
      </c>
      <c r="L3926" t="s">
        <v>10660</v>
      </c>
      <c r="M3926" t="s">
        <v>239</v>
      </c>
      <c r="Q3926" t="s">
        <v>408</v>
      </c>
      <c r="R3926" t="s">
        <v>261</v>
      </c>
      <c r="S3926" t="s">
        <v>261</v>
      </c>
      <c r="T3926" t="s">
        <v>261</v>
      </c>
      <c r="U3926" t="s">
        <v>261</v>
      </c>
      <c r="V3926" t="s">
        <v>262</v>
      </c>
      <c r="W3926" t="s">
        <v>261</v>
      </c>
      <c r="X3926" t="s">
        <v>261</v>
      </c>
      <c r="Y3926" t="s">
        <v>261</v>
      </c>
      <c r="Z3926" t="s">
        <v>409</v>
      </c>
      <c r="AA3926" t="s">
        <v>409</v>
      </c>
      <c r="AB3926" t="s">
        <v>409</v>
      </c>
      <c r="AC3926" t="s">
        <v>409</v>
      </c>
      <c r="AD3926" t="s">
        <v>261</v>
      </c>
      <c r="AH3926" t="s">
        <v>262</v>
      </c>
      <c r="AI3926" t="s">
        <v>262</v>
      </c>
      <c r="AJ3926" t="s">
        <v>261</v>
      </c>
      <c r="AK3926" t="s">
        <v>261</v>
      </c>
      <c r="AM3926" t="s">
        <v>262</v>
      </c>
      <c r="AN3926" t="s">
        <v>10661</v>
      </c>
    </row>
    <row r="3927" spans="1:40" x14ac:dyDescent="0.35">
      <c r="A3927">
        <v>7014868</v>
      </c>
      <c r="B3927" t="s">
        <v>10662</v>
      </c>
      <c r="C3927" t="str">
        <f>""</f>
        <v/>
      </c>
      <c r="D3927" t="str">
        <f>"9783111702506"</f>
        <v>9783111702506</v>
      </c>
      <c r="E3927" t="s">
        <v>415</v>
      </c>
      <c r="F3927" t="s">
        <v>415</v>
      </c>
      <c r="G3927" s="1">
        <v>20180</v>
      </c>
      <c r="H3927" s="1">
        <v>44726</v>
      </c>
      <c r="I3927" t="s">
        <v>189</v>
      </c>
      <c r="J3927">
        <v>7</v>
      </c>
      <c r="K3927" t="s">
        <v>10663</v>
      </c>
      <c r="L3927" t="s">
        <v>10664</v>
      </c>
      <c r="M3927" t="s">
        <v>1318</v>
      </c>
      <c r="Q3927" t="s">
        <v>408</v>
      </c>
      <c r="R3927" t="s">
        <v>261</v>
      </c>
      <c r="S3927" t="s">
        <v>261</v>
      </c>
      <c r="T3927" t="s">
        <v>261</v>
      </c>
      <c r="U3927" t="s">
        <v>261</v>
      </c>
      <c r="V3927" t="s">
        <v>262</v>
      </c>
      <c r="W3927" t="s">
        <v>261</v>
      </c>
      <c r="X3927" t="s">
        <v>261</v>
      </c>
      <c r="Y3927" t="s">
        <v>261</v>
      </c>
      <c r="Z3927" t="s">
        <v>409</v>
      </c>
      <c r="AA3927" t="s">
        <v>409</v>
      </c>
      <c r="AB3927" t="s">
        <v>409</v>
      </c>
      <c r="AC3927" t="s">
        <v>409</v>
      </c>
      <c r="AD3927" t="s">
        <v>261</v>
      </c>
      <c r="AH3927" t="s">
        <v>262</v>
      </c>
      <c r="AI3927" t="s">
        <v>262</v>
      </c>
      <c r="AJ3927" t="s">
        <v>261</v>
      </c>
      <c r="AK3927" t="s">
        <v>261</v>
      </c>
      <c r="AM3927" t="s">
        <v>262</v>
      </c>
      <c r="AN3927" t="s">
        <v>10665</v>
      </c>
    </row>
    <row r="3928" spans="1:40" x14ac:dyDescent="0.35">
      <c r="A3928">
        <v>7014869</v>
      </c>
      <c r="B3928" t="s">
        <v>10666</v>
      </c>
      <c r="C3928" t="str">
        <f>""</f>
        <v/>
      </c>
      <c r="D3928" t="str">
        <f>"9783110623758"</f>
        <v>9783110623758</v>
      </c>
      <c r="E3928" t="s">
        <v>415</v>
      </c>
      <c r="F3928" t="s">
        <v>3134</v>
      </c>
      <c r="G3928" s="1">
        <v>43633</v>
      </c>
      <c r="H3928" s="1">
        <v>44726</v>
      </c>
      <c r="I3928" t="s">
        <v>189</v>
      </c>
      <c r="J3928">
        <v>1</v>
      </c>
      <c r="L3928" t="s">
        <v>10667</v>
      </c>
    </row>
    <row r="3929" spans="1:40" x14ac:dyDescent="0.35">
      <c r="A3929">
        <v>7014870</v>
      </c>
      <c r="B3929" t="s">
        <v>10668</v>
      </c>
      <c r="C3929" t="str">
        <f>""</f>
        <v/>
      </c>
      <c r="D3929" t="str">
        <f>"9783110720075"</f>
        <v>9783110720075</v>
      </c>
      <c r="E3929" t="s">
        <v>415</v>
      </c>
      <c r="F3929" t="s">
        <v>6576</v>
      </c>
      <c r="G3929" s="1">
        <v>41948</v>
      </c>
      <c r="H3929" s="1">
        <v>44726</v>
      </c>
      <c r="I3929" t="s">
        <v>189</v>
      </c>
      <c r="J3929">
        <v>1</v>
      </c>
      <c r="K3929" t="s">
        <v>10669</v>
      </c>
      <c r="L3929" t="s">
        <v>122</v>
      </c>
    </row>
    <row r="3930" spans="1:40" x14ac:dyDescent="0.35">
      <c r="A3930">
        <v>7014871</v>
      </c>
      <c r="B3930" t="s">
        <v>10670</v>
      </c>
      <c r="C3930" t="str">
        <f>"9783110585414"</f>
        <v>9783110585414</v>
      </c>
      <c r="D3930" t="str">
        <f>"9783110585421"</f>
        <v>9783110585421</v>
      </c>
      <c r="E3930" t="s">
        <v>415</v>
      </c>
      <c r="F3930" t="s">
        <v>415</v>
      </c>
      <c r="G3930" s="1">
        <v>43451</v>
      </c>
      <c r="H3930" s="1">
        <v>44726</v>
      </c>
      <c r="I3930" t="s">
        <v>189</v>
      </c>
      <c r="J3930">
        <v>1</v>
      </c>
      <c r="L3930" t="s">
        <v>10671</v>
      </c>
    </row>
    <row r="3931" spans="1:40" x14ac:dyDescent="0.35">
      <c r="A3931">
        <v>7014872</v>
      </c>
      <c r="B3931" t="s">
        <v>10672</v>
      </c>
      <c r="C3931" t="str">
        <f>""</f>
        <v/>
      </c>
      <c r="D3931" t="str">
        <f>"9783110622638"</f>
        <v>9783110622638</v>
      </c>
      <c r="E3931" t="s">
        <v>415</v>
      </c>
      <c r="F3931" t="s">
        <v>415</v>
      </c>
      <c r="G3931" s="1">
        <v>43494</v>
      </c>
      <c r="H3931" s="1">
        <v>44726</v>
      </c>
      <c r="I3931" t="s">
        <v>189</v>
      </c>
      <c r="J3931">
        <v>1</v>
      </c>
      <c r="K3931" t="s">
        <v>10673</v>
      </c>
      <c r="L3931" t="s">
        <v>10674</v>
      </c>
    </row>
    <row r="3932" spans="1:40" x14ac:dyDescent="0.35">
      <c r="A3932">
        <v>7014873</v>
      </c>
      <c r="B3932" t="s">
        <v>10675</v>
      </c>
      <c r="C3932" t="str">
        <f>""</f>
        <v/>
      </c>
      <c r="D3932" t="str">
        <f>"9783110717679"</f>
        <v>9783110717679</v>
      </c>
      <c r="E3932" t="s">
        <v>415</v>
      </c>
      <c r="F3932" t="s">
        <v>415</v>
      </c>
      <c r="G3932" s="1">
        <v>44181</v>
      </c>
      <c r="H3932" s="1">
        <v>44726</v>
      </c>
      <c r="I3932" t="s">
        <v>189</v>
      </c>
      <c r="J3932">
        <v>1</v>
      </c>
      <c r="K3932" t="s">
        <v>10566</v>
      </c>
      <c r="L3932" t="s">
        <v>10676</v>
      </c>
    </row>
    <row r="3933" spans="1:40" x14ac:dyDescent="0.35">
      <c r="A3933">
        <v>7014874</v>
      </c>
      <c r="B3933" t="s">
        <v>10677</v>
      </c>
      <c r="C3933" t="str">
        <f>""</f>
        <v/>
      </c>
      <c r="D3933" t="str">
        <f>"9783110720334"</f>
        <v>9783110720334</v>
      </c>
      <c r="E3933" t="s">
        <v>415</v>
      </c>
      <c r="F3933" t="s">
        <v>6576</v>
      </c>
      <c r="G3933" s="1">
        <v>42919</v>
      </c>
      <c r="H3933" s="1">
        <v>44726</v>
      </c>
      <c r="I3933" t="s">
        <v>189</v>
      </c>
      <c r="J3933">
        <v>1</v>
      </c>
      <c r="K3933" t="s">
        <v>10678</v>
      </c>
      <c r="L3933" t="s">
        <v>10679</v>
      </c>
      <c r="M3933" t="s">
        <v>676</v>
      </c>
      <c r="Q3933" t="s">
        <v>260</v>
      </c>
      <c r="R3933" t="s">
        <v>261</v>
      </c>
      <c r="S3933" t="s">
        <v>261</v>
      </c>
      <c r="T3933" t="s">
        <v>261</v>
      </c>
      <c r="U3933" t="s">
        <v>261</v>
      </c>
      <c r="V3933" t="s">
        <v>262</v>
      </c>
      <c r="W3933" t="s">
        <v>261</v>
      </c>
      <c r="X3933" t="s">
        <v>261</v>
      </c>
      <c r="Y3933" t="s">
        <v>261</v>
      </c>
      <c r="Z3933" t="s">
        <v>409</v>
      </c>
      <c r="AA3933" t="s">
        <v>409</v>
      </c>
      <c r="AB3933" t="s">
        <v>409</v>
      </c>
      <c r="AC3933" t="s">
        <v>409</v>
      </c>
      <c r="AD3933" t="s">
        <v>261</v>
      </c>
      <c r="AH3933" t="s">
        <v>262</v>
      </c>
      <c r="AI3933" t="s">
        <v>262</v>
      </c>
      <c r="AJ3933" t="s">
        <v>261</v>
      </c>
      <c r="AK3933" t="s">
        <v>261</v>
      </c>
      <c r="AM3933" t="s">
        <v>262</v>
      </c>
      <c r="AN3933" t="s">
        <v>10680</v>
      </c>
    </row>
    <row r="3934" spans="1:40" x14ac:dyDescent="0.35">
      <c r="A3934">
        <v>7014875</v>
      </c>
      <c r="B3934" t="s">
        <v>10681</v>
      </c>
      <c r="C3934" t="str">
        <f>""</f>
        <v/>
      </c>
      <c r="D3934" t="str">
        <f>"9783111347417"</f>
        <v>9783111347417</v>
      </c>
      <c r="E3934" t="s">
        <v>415</v>
      </c>
      <c r="F3934" t="s">
        <v>415</v>
      </c>
      <c r="G3934" s="1">
        <v>27120</v>
      </c>
      <c r="H3934" s="1">
        <v>44726</v>
      </c>
      <c r="I3934" t="s">
        <v>189</v>
      </c>
      <c r="J3934">
        <v>1</v>
      </c>
      <c r="K3934" t="s">
        <v>10682</v>
      </c>
      <c r="L3934" t="s">
        <v>10683</v>
      </c>
      <c r="M3934" t="s">
        <v>316</v>
      </c>
      <c r="Q3934" t="s">
        <v>408</v>
      </c>
      <c r="R3934" t="s">
        <v>261</v>
      </c>
      <c r="S3934" t="s">
        <v>261</v>
      </c>
      <c r="T3934" t="s">
        <v>261</v>
      </c>
      <c r="U3934" t="s">
        <v>261</v>
      </c>
      <c r="V3934" t="s">
        <v>262</v>
      </c>
      <c r="W3934" t="s">
        <v>261</v>
      </c>
      <c r="X3934" t="s">
        <v>261</v>
      </c>
      <c r="Y3934" t="s">
        <v>261</v>
      </c>
      <c r="Z3934" t="s">
        <v>409</v>
      </c>
      <c r="AA3934" t="s">
        <v>409</v>
      </c>
      <c r="AB3934" t="s">
        <v>409</v>
      </c>
      <c r="AC3934" t="s">
        <v>409</v>
      </c>
      <c r="AD3934" t="s">
        <v>261</v>
      </c>
      <c r="AH3934" t="s">
        <v>262</v>
      </c>
      <c r="AI3934" t="s">
        <v>262</v>
      </c>
      <c r="AJ3934" t="s">
        <v>261</v>
      </c>
      <c r="AK3934" t="s">
        <v>261</v>
      </c>
      <c r="AM3934" t="s">
        <v>262</v>
      </c>
      <c r="AN3934" t="s">
        <v>10684</v>
      </c>
    </row>
    <row r="3935" spans="1:40" x14ac:dyDescent="0.35">
      <c r="A3935">
        <v>7014876</v>
      </c>
      <c r="B3935" t="s">
        <v>10685</v>
      </c>
      <c r="C3935" t="str">
        <f>""</f>
        <v/>
      </c>
      <c r="D3935" t="str">
        <f>"9783110713305"</f>
        <v>9783110713305</v>
      </c>
      <c r="E3935" t="s">
        <v>415</v>
      </c>
      <c r="F3935" t="s">
        <v>415</v>
      </c>
      <c r="G3935" s="1">
        <v>44214</v>
      </c>
      <c r="H3935" s="1">
        <v>44726</v>
      </c>
      <c r="I3935" t="s">
        <v>189</v>
      </c>
      <c r="J3935">
        <v>1</v>
      </c>
      <c r="K3935" t="s">
        <v>6786</v>
      </c>
      <c r="L3935" t="s">
        <v>10686</v>
      </c>
    </row>
    <row r="3936" spans="1:40" x14ac:dyDescent="0.35">
      <c r="A3936">
        <v>7014877</v>
      </c>
      <c r="B3936" t="s">
        <v>10687</v>
      </c>
      <c r="C3936" t="str">
        <f>""</f>
        <v/>
      </c>
      <c r="D3936" t="str">
        <f>"9783110713367"</f>
        <v>9783110713367</v>
      </c>
      <c r="E3936" t="s">
        <v>415</v>
      </c>
      <c r="F3936" t="s">
        <v>415</v>
      </c>
      <c r="G3936" s="1">
        <v>44368</v>
      </c>
      <c r="H3936" s="1">
        <v>44726</v>
      </c>
      <c r="I3936" t="s">
        <v>189</v>
      </c>
      <c r="J3936">
        <v>1</v>
      </c>
      <c r="K3936" t="s">
        <v>6654</v>
      </c>
      <c r="L3936" t="s">
        <v>6671</v>
      </c>
      <c r="M3936" t="s">
        <v>239</v>
      </c>
    </row>
    <row r="3937" spans="1:40" x14ac:dyDescent="0.35">
      <c r="A3937">
        <v>7014878</v>
      </c>
      <c r="B3937" t="s">
        <v>10688</v>
      </c>
      <c r="C3937" t="str">
        <f>""</f>
        <v/>
      </c>
      <c r="D3937" t="str">
        <f>"9783110720327"</f>
        <v>9783110720327</v>
      </c>
      <c r="E3937" t="s">
        <v>415</v>
      </c>
      <c r="F3937" t="s">
        <v>6576</v>
      </c>
      <c r="G3937" s="1">
        <v>42800</v>
      </c>
      <c r="H3937" s="1">
        <v>44726</v>
      </c>
      <c r="I3937" t="s">
        <v>189</v>
      </c>
      <c r="J3937">
        <v>1</v>
      </c>
      <c r="K3937" t="s">
        <v>10669</v>
      </c>
      <c r="L3937" t="s">
        <v>10689</v>
      </c>
    </row>
    <row r="3938" spans="1:40" x14ac:dyDescent="0.35">
      <c r="A3938">
        <v>7014879</v>
      </c>
      <c r="B3938" t="s">
        <v>10690</v>
      </c>
      <c r="C3938" t="str">
        <f>""</f>
        <v/>
      </c>
      <c r="D3938" t="str">
        <f>"9783110750560"</f>
        <v>9783110750560</v>
      </c>
      <c r="E3938" t="s">
        <v>415</v>
      </c>
      <c r="F3938" t="s">
        <v>415</v>
      </c>
      <c r="G3938" s="1">
        <v>44522</v>
      </c>
      <c r="H3938" s="1">
        <v>44726</v>
      </c>
      <c r="I3938" t="s">
        <v>189</v>
      </c>
      <c r="J3938">
        <v>1</v>
      </c>
      <c r="K3938" t="s">
        <v>6821</v>
      </c>
      <c r="L3938" t="s">
        <v>10691</v>
      </c>
      <c r="M3938" t="s">
        <v>389</v>
      </c>
      <c r="Q3938" t="s">
        <v>260</v>
      </c>
      <c r="R3938" t="s">
        <v>261</v>
      </c>
      <c r="S3938" t="s">
        <v>261</v>
      </c>
      <c r="T3938" t="s">
        <v>261</v>
      </c>
      <c r="U3938" t="s">
        <v>261</v>
      </c>
      <c r="V3938" t="s">
        <v>262</v>
      </c>
      <c r="W3938" t="s">
        <v>261</v>
      </c>
      <c r="X3938" t="s">
        <v>261</v>
      </c>
      <c r="Y3938" t="s">
        <v>261</v>
      </c>
      <c r="Z3938" t="s">
        <v>409</v>
      </c>
      <c r="AA3938" t="s">
        <v>409</v>
      </c>
      <c r="AB3938" t="s">
        <v>409</v>
      </c>
      <c r="AC3938" t="s">
        <v>409</v>
      </c>
      <c r="AD3938" t="s">
        <v>261</v>
      </c>
      <c r="AH3938" t="s">
        <v>262</v>
      </c>
      <c r="AI3938" t="s">
        <v>262</v>
      </c>
      <c r="AJ3938" t="s">
        <v>261</v>
      </c>
      <c r="AK3938" t="s">
        <v>261</v>
      </c>
      <c r="AM3938" t="s">
        <v>262</v>
      </c>
      <c r="AN3938" t="s">
        <v>10692</v>
      </c>
    </row>
    <row r="3939" spans="1:40" x14ac:dyDescent="0.35">
      <c r="A3939">
        <v>7014880</v>
      </c>
      <c r="B3939" t="s">
        <v>10693</v>
      </c>
      <c r="C3939" t="str">
        <f>""</f>
        <v/>
      </c>
      <c r="D3939" t="str">
        <f>"9783110687040"</f>
        <v>9783110687040</v>
      </c>
      <c r="E3939" t="s">
        <v>415</v>
      </c>
      <c r="F3939" t="s">
        <v>665</v>
      </c>
      <c r="G3939" s="1">
        <v>44095</v>
      </c>
      <c r="H3939" s="1">
        <v>44726</v>
      </c>
      <c r="I3939" t="s">
        <v>189</v>
      </c>
      <c r="J3939">
        <v>1</v>
      </c>
      <c r="K3939" t="s">
        <v>10694</v>
      </c>
      <c r="L3939" t="s">
        <v>10695</v>
      </c>
      <c r="M3939" t="s">
        <v>239</v>
      </c>
      <c r="Q3939" t="s">
        <v>408</v>
      </c>
      <c r="R3939" t="s">
        <v>261</v>
      </c>
      <c r="S3939" t="s">
        <v>261</v>
      </c>
      <c r="T3939" t="s">
        <v>261</v>
      </c>
      <c r="U3939" t="s">
        <v>261</v>
      </c>
      <c r="V3939" t="s">
        <v>262</v>
      </c>
      <c r="W3939" t="s">
        <v>261</v>
      </c>
      <c r="X3939" t="s">
        <v>261</v>
      </c>
      <c r="Y3939" t="s">
        <v>261</v>
      </c>
      <c r="Z3939" t="s">
        <v>409</v>
      </c>
      <c r="AA3939" t="s">
        <v>409</v>
      </c>
      <c r="AB3939" t="s">
        <v>409</v>
      </c>
      <c r="AC3939" t="s">
        <v>409</v>
      </c>
      <c r="AD3939" t="s">
        <v>261</v>
      </c>
      <c r="AH3939" t="s">
        <v>262</v>
      </c>
      <c r="AI3939" t="s">
        <v>262</v>
      </c>
      <c r="AJ3939" t="s">
        <v>261</v>
      </c>
      <c r="AK3939" t="s">
        <v>261</v>
      </c>
      <c r="AM3939" t="s">
        <v>262</v>
      </c>
      <c r="AN3939" t="s">
        <v>10696</v>
      </c>
    </row>
    <row r="3940" spans="1:40" x14ac:dyDescent="0.35">
      <c r="A3940">
        <v>7014881</v>
      </c>
      <c r="B3940" t="s">
        <v>10697</v>
      </c>
      <c r="C3940" t="str">
        <f>""</f>
        <v/>
      </c>
      <c r="D3940" t="str">
        <f>"9783110702231"</f>
        <v>9783110702231</v>
      </c>
      <c r="E3940" t="s">
        <v>415</v>
      </c>
      <c r="F3940" t="s">
        <v>415</v>
      </c>
      <c r="G3940" s="1">
        <v>44214</v>
      </c>
      <c r="H3940" s="1">
        <v>44726</v>
      </c>
      <c r="I3940" t="s">
        <v>189</v>
      </c>
      <c r="J3940">
        <v>1</v>
      </c>
      <c r="K3940" t="s">
        <v>3931</v>
      </c>
      <c r="L3940" t="s">
        <v>10698</v>
      </c>
    </row>
    <row r="3941" spans="1:40" x14ac:dyDescent="0.35">
      <c r="A3941">
        <v>7014882</v>
      </c>
      <c r="B3941" t="s">
        <v>10699</v>
      </c>
      <c r="C3941" t="str">
        <f>""</f>
        <v/>
      </c>
      <c r="D3941" t="str">
        <f>"9783110707168"</f>
        <v>9783110707168</v>
      </c>
      <c r="E3941" t="s">
        <v>415</v>
      </c>
      <c r="F3941" t="s">
        <v>415</v>
      </c>
      <c r="G3941" s="1">
        <v>44172</v>
      </c>
      <c r="H3941" s="1">
        <v>44726</v>
      </c>
      <c r="I3941" t="s">
        <v>189</v>
      </c>
      <c r="J3941">
        <v>1</v>
      </c>
      <c r="K3941" t="s">
        <v>3243</v>
      </c>
      <c r="L3941" t="s">
        <v>10700</v>
      </c>
    </row>
    <row r="3942" spans="1:40" x14ac:dyDescent="0.35">
      <c r="A3942">
        <v>7014883</v>
      </c>
      <c r="B3942" t="s">
        <v>10701</v>
      </c>
      <c r="C3942" t="str">
        <f>"9783110472929"</f>
        <v>9783110472929</v>
      </c>
      <c r="D3942" t="str">
        <f>"9783110529173"</f>
        <v>9783110529173</v>
      </c>
      <c r="E3942" t="s">
        <v>415</v>
      </c>
      <c r="F3942" t="s">
        <v>415</v>
      </c>
      <c r="G3942" s="1">
        <v>44249</v>
      </c>
      <c r="H3942" s="1">
        <v>44726</v>
      </c>
      <c r="I3942" t="s">
        <v>189</v>
      </c>
      <c r="J3942">
        <v>1</v>
      </c>
      <c r="K3942" t="s">
        <v>10702</v>
      </c>
      <c r="L3942" t="s">
        <v>10703</v>
      </c>
    </row>
    <row r="3943" spans="1:40" x14ac:dyDescent="0.35">
      <c r="A3943">
        <v>7014884</v>
      </c>
      <c r="B3943" t="s">
        <v>10704</v>
      </c>
      <c r="C3943" t="str">
        <f>""</f>
        <v/>
      </c>
      <c r="D3943" t="str">
        <f>"9783110718270"</f>
        <v>9783110718270</v>
      </c>
      <c r="E3943" t="s">
        <v>415</v>
      </c>
      <c r="F3943" t="s">
        <v>665</v>
      </c>
      <c r="G3943" s="1">
        <v>44396</v>
      </c>
      <c r="H3943" s="1">
        <v>44726</v>
      </c>
      <c r="I3943" t="s">
        <v>189</v>
      </c>
      <c r="J3943">
        <v>1</v>
      </c>
      <c r="K3943" t="s">
        <v>10705</v>
      </c>
      <c r="L3943" t="s">
        <v>10706</v>
      </c>
      <c r="M3943" t="s">
        <v>239</v>
      </c>
      <c r="Q3943" t="s">
        <v>408</v>
      </c>
      <c r="R3943" t="s">
        <v>261</v>
      </c>
      <c r="S3943" t="s">
        <v>261</v>
      </c>
      <c r="T3943" t="s">
        <v>261</v>
      </c>
      <c r="U3943" t="s">
        <v>261</v>
      </c>
      <c r="V3943" t="s">
        <v>262</v>
      </c>
      <c r="W3943" t="s">
        <v>261</v>
      </c>
      <c r="X3943" t="s">
        <v>261</v>
      </c>
      <c r="Y3943" t="s">
        <v>261</v>
      </c>
      <c r="Z3943" t="s">
        <v>409</v>
      </c>
      <c r="AA3943" t="s">
        <v>409</v>
      </c>
      <c r="AB3943" t="s">
        <v>409</v>
      </c>
      <c r="AC3943" t="s">
        <v>409</v>
      </c>
      <c r="AD3943" t="s">
        <v>261</v>
      </c>
      <c r="AH3943" t="s">
        <v>262</v>
      </c>
      <c r="AI3943" t="s">
        <v>262</v>
      </c>
      <c r="AJ3943" t="s">
        <v>261</v>
      </c>
      <c r="AK3943" t="s">
        <v>261</v>
      </c>
      <c r="AM3943" t="s">
        <v>262</v>
      </c>
      <c r="AN3943" t="s">
        <v>10707</v>
      </c>
    </row>
    <row r="3944" spans="1:40" x14ac:dyDescent="0.35">
      <c r="A3944">
        <v>7014885</v>
      </c>
      <c r="B3944" t="s">
        <v>10708</v>
      </c>
      <c r="C3944" t="str">
        <f>""</f>
        <v/>
      </c>
      <c r="D3944" t="str">
        <f>"9783111661483"</f>
        <v>9783111661483</v>
      </c>
      <c r="E3944" t="s">
        <v>415</v>
      </c>
      <c r="F3944" t="s">
        <v>415</v>
      </c>
      <c r="G3944" s="1">
        <v>18354</v>
      </c>
      <c r="H3944" s="1">
        <v>44726</v>
      </c>
      <c r="I3944" t="s">
        <v>189</v>
      </c>
      <c r="J3944">
        <v>1</v>
      </c>
      <c r="K3944" t="s">
        <v>10709</v>
      </c>
      <c r="L3944" t="s">
        <v>10710</v>
      </c>
      <c r="M3944" t="s">
        <v>1354</v>
      </c>
    </row>
    <row r="3945" spans="1:40" x14ac:dyDescent="0.35">
      <c r="A3945">
        <v>7014886</v>
      </c>
      <c r="B3945" t="s">
        <v>10711</v>
      </c>
      <c r="C3945" t="str">
        <f>""</f>
        <v/>
      </c>
      <c r="D3945" t="str">
        <f>"9783110708479"</f>
        <v>9783110708479</v>
      </c>
      <c r="E3945" t="s">
        <v>415</v>
      </c>
      <c r="F3945" t="s">
        <v>415</v>
      </c>
      <c r="G3945" s="1">
        <v>44116</v>
      </c>
      <c r="H3945" s="1">
        <v>44726</v>
      </c>
      <c r="I3945" t="s">
        <v>189</v>
      </c>
      <c r="J3945">
        <v>1</v>
      </c>
      <c r="L3945" t="s">
        <v>10712</v>
      </c>
      <c r="M3945" t="s">
        <v>676</v>
      </c>
      <c r="Q3945" t="s">
        <v>408</v>
      </c>
      <c r="R3945" t="s">
        <v>261</v>
      </c>
      <c r="S3945" t="s">
        <v>261</v>
      </c>
      <c r="T3945" t="s">
        <v>261</v>
      </c>
      <c r="U3945" t="s">
        <v>261</v>
      </c>
      <c r="V3945" t="s">
        <v>262</v>
      </c>
      <c r="W3945" t="s">
        <v>261</v>
      </c>
      <c r="X3945" t="s">
        <v>261</v>
      </c>
      <c r="Y3945" t="s">
        <v>261</v>
      </c>
      <c r="Z3945" t="s">
        <v>409</v>
      </c>
      <c r="AA3945" t="s">
        <v>409</v>
      </c>
      <c r="AB3945" t="s">
        <v>409</v>
      </c>
      <c r="AC3945" t="s">
        <v>409</v>
      </c>
      <c r="AD3945" t="s">
        <v>261</v>
      </c>
      <c r="AH3945" t="s">
        <v>262</v>
      </c>
      <c r="AI3945" t="s">
        <v>262</v>
      </c>
      <c r="AJ3945" t="s">
        <v>261</v>
      </c>
      <c r="AK3945" t="s">
        <v>261</v>
      </c>
      <c r="AM3945" t="s">
        <v>262</v>
      </c>
      <c r="AN3945" t="s">
        <v>10713</v>
      </c>
    </row>
    <row r="3946" spans="1:40" x14ac:dyDescent="0.35">
      <c r="A3946">
        <v>7014887</v>
      </c>
      <c r="B3946" t="s">
        <v>10714</v>
      </c>
      <c r="C3946" t="str">
        <f>""</f>
        <v/>
      </c>
      <c r="D3946" t="str">
        <f>"9783110622690"</f>
        <v>9783110622690</v>
      </c>
      <c r="E3946" t="s">
        <v>415</v>
      </c>
      <c r="F3946" t="s">
        <v>415</v>
      </c>
      <c r="G3946" s="1">
        <v>43494</v>
      </c>
      <c r="H3946" s="1">
        <v>44726</v>
      </c>
      <c r="I3946" t="s">
        <v>189</v>
      </c>
      <c r="J3946">
        <v>1</v>
      </c>
      <c r="K3946" t="s">
        <v>10673</v>
      </c>
      <c r="L3946" t="s">
        <v>10715</v>
      </c>
      <c r="M3946" t="s">
        <v>676</v>
      </c>
      <c r="Q3946" t="s">
        <v>408</v>
      </c>
      <c r="R3946" t="s">
        <v>261</v>
      </c>
      <c r="S3946" t="s">
        <v>261</v>
      </c>
      <c r="T3946" t="s">
        <v>261</v>
      </c>
      <c r="U3946" t="s">
        <v>261</v>
      </c>
      <c r="V3946" t="s">
        <v>262</v>
      </c>
      <c r="W3946" t="s">
        <v>261</v>
      </c>
      <c r="X3946" t="s">
        <v>261</v>
      </c>
      <c r="Y3946" t="s">
        <v>261</v>
      </c>
      <c r="Z3946" t="s">
        <v>409</v>
      </c>
      <c r="AA3946" t="s">
        <v>409</v>
      </c>
      <c r="AB3946" t="s">
        <v>409</v>
      </c>
      <c r="AC3946" t="s">
        <v>409</v>
      </c>
      <c r="AD3946" t="s">
        <v>261</v>
      </c>
      <c r="AH3946" t="s">
        <v>262</v>
      </c>
      <c r="AI3946" t="s">
        <v>262</v>
      </c>
      <c r="AJ3946" t="s">
        <v>261</v>
      </c>
      <c r="AK3946" t="s">
        <v>261</v>
      </c>
      <c r="AM3946" t="s">
        <v>262</v>
      </c>
      <c r="AN3946" t="s">
        <v>10716</v>
      </c>
    </row>
    <row r="3947" spans="1:40" x14ac:dyDescent="0.35">
      <c r="A3947">
        <v>7014888</v>
      </c>
      <c r="B3947" t="s">
        <v>10717</v>
      </c>
      <c r="C3947" t="str">
        <f>""</f>
        <v/>
      </c>
      <c r="D3947" t="str">
        <f>"9783110716559"</f>
        <v>9783110716559</v>
      </c>
      <c r="E3947" t="s">
        <v>415</v>
      </c>
      <c r="F3947" t="s">
        <v>415</v>
      </c>
      <c r="G3947" s="1">
        <v>44536</v>
      </c>
      <c r="H3947" s="1">
        <v>44726</v>
      </c>
      <c r="I3947" t="s">
        <v>189</v>
      </c>
      <c r="J3947">
        <v>1</v>
      </c>
      <c r="K3947" t="s">
        <v>10718</v>
      </c>
      <c r="L3947" t="s">
        <v>10719</v>
      </c>
    </row>
    <row r="3948" spans="1:40" x14ac:dyDescent="0.35">
      <c r="A3948">
        <v>7014889</v>
      </c>
      <c r="B3948" t="s">
        <v>10720</v>
      </c>
      <c r="C3948" t="str">
        <f>""</f>
        <v/>
      </c>
      <c r="D3948" t="str">
        <f>"9783110722093"</f>
        <v>9783110722093</v>
      </c>
      <c r="E3948" t="s">
        <v>415</v>
      </c>
      <c r="F3948" t="s">
        <v>415</v>
      </c>
      <c r="G3948" s="1">
        <v>44473</v>
      </c>
      <c r="H3948" s="1">
        <v>44726</v>
      </c>
      <c r="I3948" t="s">
        <v>189</v>
      </c>
      <c r="J3948">
        <v>1</v>
      </c>
      <c r="K3948" t="s">
        <v>10721</v>
      </c>
      <c r="L3948" t="s">
        <v>10722</v>
      </c>
      <c r="M3948" t="s">
        <v>219</v>
      </c>
      <c r="Q3948" t="s">
        <v>260</v>
      </c>
      <c r="R3948" t="s">
        <v>261</v>
      </c>
      <c r="S3948" t="s">
        <v>261</v>
      </c>
      <c r="T3948" t="s">
        <v>261</v>
      </c>
      <c r="U3948" t="s">
        <v>261</v>
      </c>
      <c r="V3948" t="s">
        <v>262</v>
      </c>
      <c r="W3948" t="s">
        <v>261</v>
      </c>
      <c r="X3948" t="s">
        <v>261</v>
      </c>
      <c r="Y3948" t="s">
        <v>261</v>
      </c>
      <c r="Z3948" t="s">
        <v>409</v>
      </c>
      <c r="AA3948" t="s">
        <v>409</v>
      </c>
      <c r="AB3948" t="s">
        <v>409</v>
      </c>
      <c r="AC3948" t="s">
        <v>409</v>
      </c>
      <c r="AD3948" t="s">
        <v>261</v>
      </c>
      <c r="AH3948" t="s">
        <v>262</v>
      </c>
      <c r="AI3948" t="s">
        <v>262</v>
      </c>
      <c r="AJ3948" t="s">
        <v>261</v>
      </c>
      <c r="AK3948" t="s">
        <v>261</v>
      </c>
      <c r="AM3948" t="s">
        <v>262</v>
      </c>
      <c r="AN3948" t="s">
        <v>10723</v>
      </c>
    </row>
    <row r="3949" spans="1:40" x14ac:dyDescent="0.35">
      <c r="A3949">
        <v>7014890</v>
      </c>
      <c r="B3949" t="s">
        <v>10724</v>
      </c>
      <c r="C3949" t="str">
        <f>""</f>
        <v/>
      </c>
      <c r="D3949" t="str">
        <f>"9783110671964"</f>
        <v>9783110671964</v>
      </c>
      <c r="E3949" t="s">
        <v>415</v>
      </c>
      <c r="F3949" t="s">
        <v>415</v>
      </c>
      <c r="G3949" s="1">
        <v>44326</v>
      </c>
      <c r="H3949" s="1">
        <v>44726</v>
      </c>
      <c r="I3949" t="s">
        <v>189</v>
      </c>
      <c r="J3949">
        <v>1</v>
      </c>
      <c r="L3949" t="s">
        <v>3882</v>
      </c>
    </row>
    <row r="3950" spans="1:40" x14ac:dyDescent="0.35">
      <c r="A3950">
        <v>7014891</v>
      </c>
      <c r="B3950" t="s">
        <v>10725</v>
      </c>
      <c r="C3950" t="str">
        <f>""</f>
        <v/>
      </c>
      <c r="D3950" t="str">
        <f>"9783486754346"</f>
        <v>9783486754346</v>
      </c>
      <c r="E3950" t="s">
        <v>415</v>
      </c>
      <c r="F3950" t="s">
        <v>665</v>
      </c>
      <c r="G3950" s="1">
        <v>9863</v>
      </c>
      <c r="H3950" s="1">
        <v>44726</v>
      </c>
      <c r="I3950" t="s">
        <v>189</v>
      </c>
      <c r="J3950">
        <v>1</v>
      </c>
      <c r="K3950" t="s">
        <v>10726</v>
      </c>
      <c r="L3950" t="s">
        <v>10727</v>
      </c>
      <c r="M3950" t="s">
        <v>219</v>
      </c>
      <c r="Q3950" t="s">
        <v>408</v>
      </c>
      <c r="R3950" t="s">
        <v>261</v>
      </c>
      <c r="S3950" t="s">
        <v>261</v>
      </c>
      <c r="T3950" t="s">
        <v>261</v>
      </c>
      <c r="U3950" t="s">
        <v>261</v>
      </c>
      <c r="V3950" t="s">
        <v>262</v>
      </c>
      <c r="W3950" t="s">
        <v>261</v>
      </c>
      <c r="X3950" t="s">
        <v>261</v>
      </c>
      <c r="Y3950" t="s">
        <v>261</v>
      </c>
      <c r="Z3950" t="s">
        <v>409</v>
      </c>
      <c r="AA3950" t="s">
        <v>409</v>
      </c>
      <c r="AB3950" t="s">
        <v>409</v>
      </c>
      <c r="AC3950" t="s">
        <v>409</v>
      </c>
      <c r="AD3950" t="s">
        <v>261</v>
      </c>
      <c r="AH3950" t="s">
        <v>262</v>
      </c>
      <c r="AI3950" t="s">
        <v>262</v>
      </c>
      <c r="AJ3950" t="s">
        <v>261</v>
      </c>
      <c r="AK3950" t="s">
        <v>261</v>
      </c>
      <c r="AM3950" t="s">
        <v>262</v>
      </c>
      <c r="AN3950" t="s">
        <v>10728</v>
      </c>
    </row>
    <row r="3951" spans="1:40" x14ac:dyDescent="0.35">
      <c r="A3951">
        <v>7014892</v>
      </c>
      <c r="B3951" t="s">
        <v>10729</v>
      </c>
      <c r="C3951" t="str">
        <f>""</f>
        <v/>
      </c>
      <c r="D3951" t="str">
        <f>"9783110748833"</f>
        <v>9783110748833</v>
      </c>
      <c r="E3951" t="s">
        <v>415</v>
      </c>
      <c r="F3951" t="s">
        <v>665</v>
      </c>
      <c r="G3951" s="1">
        <v>44431</v>
      </c>
      <c r="H3951" s="1">
        <v>44726</v>
      </c>
      <c r="I3951" t="s">
        <v>189</v>
      </c>
      <c r="J3951">
        <v>1</v>
      </c>
      <c r="L3951" t="s">
        <v>10730</v>
      </c>
    </row>
    <row r="3952" spans="1:40" x14ac:dyDescent="0.35">
      <c r="A3952">
        <v>7014893</v>
      </c>
      <c r="B3952" t="s">
        <v>10731</v>
      </c>
      <c r="C3952" t="str">
        <f>""</f>
        <v/>
      </c>
      <c r="D3952" t="str">
        <f>"9783110812848"</f>
        <v>9783110812848</v>
      </c>
      <c r="E3952" t="s">
        <v>346</v>
      </c>
      <c r="F3952" t="s">
        <v>2637</v>
      </c>
      <c r="G3952" s="1">
        <v>43497</v>
      </c>
      <c r="H3952" s="1">
        <v>44726</v>
      </c>
      <c r="I3952" t="s">
        <v>189</v>
      </c>
      <c r="J3952">
        <v>1</v>
      </c>
      <c r="K3952" t="s">
        <v>10732</v>
      </c>
      <c r="L3952" t="s">
        <v>10733</v>
      </c>
    </row>
    <row r="3953" spans="1:40" x14ac:dyDescent="0.35">
      <c r="A3953">
        <v>7014894</v>
      </c>
      <c r="B3953" t="s">
        <v>10734</v>
      </c>
      <c r="C3953" t="str">
        <f>""</f>
        <v/>
      </c>
      <c r="D3953" t="str">
        <f>"9783110703450"</f>
        <v>9783110703450</v>
      </c>
      <c r="E3953" t="s">
        <v>415</v>
      </c>
      <c r="F3953" t="s">
        <v>415</v>
      </c>
      <c r="G3953" s="1">
        <v>44235</v>
      </c>
      <c r="H3953" s="1">
        <v>44726</v>
      </c>
      <c r="I3953" t="s">
        <v>189</v>
      </c>
      <c r="J3953">
        <v>1</v>
      </c>
      <c r="L3953" t="s">
        <v>3873</v>
      </c>
      <c r="M3953" t="s">
        <v>219</v>
      </c>
      <c r="Q3953" t="s">
        <v>408</v>
      </c>
      <c r="R3953" t="s">
        <v>261</v>
      </c>
      <c r="S3953" t="s">
        <v>261</v>
      </c>
      <c r="T3953" t="s">
        <v>261</v>
      </c>
      <c r="U3953" t="s">
        <v>261</v>
      </c>
      <c r="V3953" t="s">
        <v>262</v>
      </c>
      <c r="W3953" t="s">
        <v>261</v>
      </c>
      <c r="X3953" t="s">
        <v>261</v>
      </c>
      <c r="Y3953" t="s">
        <v>261</v>
      </c>
      <c r="Z3953" t="s">
        <v>409</v>
      </c>
      <c r="AA3953" t="s">
        <v>409</v>
      </c>
      <c r="AB3953" t="s">
        <v>409</v>
      </c>
      <c r="AC3953" t="s">
        <v>409</v>
      </c>
      <c r="AD3953" t="s">
        <v>261</v>
      </c>
      <c r="AH3953" t="s">
        <v>262</v>
      </c>
      <c r="AI3953" t="s">
        <v>262</v>
      </c>
      <c r="AJ3953" t="s">
        <v>261</v>
      </c>
      <c r="AK3953" t="s">
        <v>261</v>
      </c>
      <c r="AM3953" t="s">
        <v>262</v>
      </c>
      <c r="AN3953" t="s">
        <v>10735</v>
      </c>
    </row>
    <row r="3954" spans="1:40" x14ac:dyDescent="0.35">
      <c r="A3954">
        <v>7014895</v>
      </c>
      <c r="B3954" t="s">
        <v>10736</v>
      </c>
      <c r="C3954" t="str">
        <f>""</f>
        <v/>
      </c>
      <c r="D3954" t="str">
        <f>"9783110720426"</f>
        <v>9783110720426</v>
      </c>
      <c r="E3954" t="s">
        <v>415</v>
      </c>
      <c r="F3954" t="s">
        <v>6576</v>
      </c>
      <c r="G3954" s="1">
        <v>42899</v>
      </c>
      <c r="H3954" s="1">
        <v>44726</v>
      </c>
      <c r="I3954" t="s">
        <v>189</v>
      </c>
      <c r="J3954">
        <v>1</v>
      </c>
      <c r="K3954" t="s">
        <v>10678</v>
      </c>
      <c r="L3954" t="s">
        <v>10737</v>
      </c>
      <c r="M3954" t="s">
        <v>676</v>
      </c>
      <c r="Q3954" t="s">
        <v>260</v>
      </c>
      <c r="R3954" t="s">
        <v>261</v>
      </c>
      <c r="S3954" t="s">
        <v>261</v>
      </c>
      <c r="T3954" t="s">
        <v>261</v>
      </c>
      <c r="U3954" t="s">
        <v>261</v>
      </c>
      <c r="V3954" t="s">
        <v>262</v>
      </c>
      <c r="W3954" t="s">
        <v>261</v>
      </c>
      <c r="X3954" t="s">
        <v>261</v>
      </c>
      <c r="Y3954" t="s">
        <v>261</v>
      </c>
      <c r="Z3954" t="s">
        <v>409</v>
      </c>
      <c r="AA3954" t="s">
        <v>409</v>
      </c>
      <c r="AB3954" t="s">
        <v>409</v>
      </c>
      <c r="AC3954" t="s">
        <v>409</v>
      </c>
      <c r="AD3954" t="s">
        <v>261</v>
      </c>
      <c r="AH3954" t="s">
        <v>262</v>
      </c>
      <c r="AI3954" t="s">
        <v>262</v>
      </c>
      <c r="AJ3954" t="s">
        <v>261</v>
      </c>
      <c r="AK3954" t="s">
        <v>261</v>
      </c>
      <c r="AM3954" t="s">
        <v>262</v>
      </c>
      <c r="AN3954" t="s">
        <v>10738</v>
      </c>
    </row>
    <row r="3955" spans="1:40" x14ac:dyDescent="0.35">
      <c r="A3955">
        <v>7014896</v>
      </c>
      <c r="B3955" t="s">
        <v>10739</v>
      </c>
      <c r="C3955" t="str">
        <f>""</f>
        <v/>
      </c>
      <c r="D3955" t="str">
        <f>"9783110622669"</f>
        <v>9783110622669</v>
      </c>
      <c r="E3955" t="s">
        <v>415</v>
      </c>
      <c r="F3955" t="s">
        <v>415</v>
      </c>
      <c r="G3955" s="1">
        <v>43494</v>
      </c>
      <c r="H3955" s="1">
        <v>44726</v>
      </c>
      <c r="I3955" t="s">
        <v>189</v>
      </c>
      <c r="J3955">
        <v>1</v>
      </c>
      <c r="K3955" t="s">
        <v>10673</v>
      </c>
      <c r="L3955" t="s">
        <v>10715</v>
      </c>
      <c r="M3955" t="s">
        <v>676</v>
      </c>
      <c r="Q3955" t="s">
        <v>408</v>
      </c>
      <c r="R3955" t="s">
        <v>261</v>
      </c>
      <c r="S3955" t="s">
        <v>261</v>
      </c>
      <c r="T3955" t="s">
        <v>261</v>
      </c>
      <c r="U3955" t="s">
        <v>261</v>
      </c>
      <c r="V3955" t="s">
        <v>262</v>
      </c>
      <c r="W3955" t="s">
        <v>261</v>
      </c>
      <c r="X3955" t="s">
        <v>261</v>
      </c>
      <c r="Y3955" t="s">
        <v>261</v>
      </c>
      <c r="Z3955" t="s">
        <v>409</v>
      </c>
      <c r="AA3955" t="s">
        <v>409</v>
      </c>
      <c r="AB3955" t="s">
        <v>409</v>
      </c>
      <c r="AC3955" t="s">
        <v>409</v>
      </c>
      <c r="AD3955" t="s">
        <v>261</v>
      </c>
      <c r="AH3955" t="s">
        <v>262</v>
      </c>
      <c r="AI3955" t="s">
        <v>262</v>
      </c>
      <c r="AJ3955" t="s">
        <v>261</v>
      </c>
      <c r="AK3955" t="s">
        <v>261</v>
      </c>
      <c r="AM3955" t="s">
        <v>262</v>
      </c>
      <c r="AN3955" t="s">
        <v>10740</v>
      </c>
    </row>
    <row r="3956" spans="1:40" x14ac:dyDescent="0.35">
      <c r="A3956">
        <v>7014897</v>
      </c>
      <c r="B3956" t="s">
        <v>10741</v>
      </c>
      <c r="C3956" t="str">
        <f>"9783110610574"</f>
        <v>9783110610574</v>
      </c>
      <c r="D3956" t="str">
        <f>"9783110610604"</f>
        <v>9783110610604</v>
      </c>
      <c r="E3956" t="s">
        <v>415</v>
      </c>
      <c r="F3956" t="s">
        <v>3134</v>
      </c>
      <c r="G3956" s="1">
        <v>43250</v>
      </c>
      <c r="H3956" s="1">
        <v>44726</v>
      </c>
      <c r="I3956" t="s">
        <v>189</v>
      </c>
      <c r="J3956">
        <v>1</v>
      </c>
      <c r="L3956" t="s">
        <v>3087</v>
      </c>
    </row>
    <row r="3957" spans="1:40" x14ac:dyDescent="0.35">
      <c r="A3957">
        <v>7014898</v>
      </c>
      <c r="B3957" t="s">
        <v>10742</v>
      </c>
      <c r="C3957" t="str">
        <f>""</f>
        <v/>
      </c>
      <c r="D3957" t="str">
        <f>"9783110591415"</f>
        <v>9783110591415</v>
      </c>
      <c r="E3957" t="s">
        <v>415</v>
      </c>
      <c r="F3957" t="s">
        <v>659</v>
      </c>
      <c r="G3957" s="1">
        <v>43354</v>
      </c>
      <c r="H3957" s="1">
        <v>44726</v>
      </c>
      <c r="I3957" t="s">
        <v>189</v>
      </c>
      <c r="J3957">
        <v>1</v>
      </c>
      <c r="L3957" t="s">
        <v>10743</v>
      </c>
    </row>
    <row r="3958" spans="1:40" x14ac:dyDescent="0.35">
      <c r="A3958">
        <v>7014899</v>
      </c>
      <c r="B3958" t="s">
        <v>10744</v>
      </c>
      <c r="C3958" t="str">
        <f>""</f>
        <v/>
      </c>
      <c r="D3958" t="str">
        <f>"9783110712902"</f>
        <v>9783110712902</v>
      </c>
      <c r="E3958" t="s">
        <v>415</v>
      </c>
      <c r="F3958" t="s">
        <v>415</v>
      </c>
      <c r="G3958" s="1">
        <v>44181</v>
      </c>
      <c r="H3958" s="1">
        <v>44726</v>
      </c>
      <c r="I3958" t="s">
        <v>189</v>
      </c>
      <c r="J3958">
        <v>1</v>
      </c>
      <c r="K3958" t="s">
        <v>1159</v>
      </c>
      <c r="L3958" t="s">
        <v>10745</v>
      </c>
    </row>
    <row r="3959" spans="1:40" x14ac:dyDescent="0.35">
      <c r="A3959">
        <v>7014900</v>
      </c>
      <c r="B3959" t="s">
        <v>10746</v>
      </c>
      <c r="C3959" t="str">
        <f>""</f>
        <v/>
      </c>
      <c r="D3959" t="str">
        <f>"9783110708530"</f>
        <v>9783110708530</v>
      </c>
      <c r="E3959" t="s">
        <v>346</v>
      </c>
      <c r="F3959" t="s">
        <v>2637</v>
      </c>
      <c r="G3959" s="1">
        <v>44382</v>
      </c>
      <c r="H3959" s="1">
        <v>44726</v>
      </c>
      <c r="I3959" t="s">
        <v>189</v>
      </c>
      <c r="J3959">
        <v>1</v>
      </c>
      <c r="K3959" t="s">
        <v>3258</v>
      </c>
      <c r="L3959" t="s">
        <v>10747</v>
      </c>
      <c r="M3959" t="s">
        <v>239</v>
      </c>
    </row>
    <row r="3960" spans="1:40" x14ac:dyDescent="0.35">
      <c r="A3960">
        <v>7014901</v>
      </c>
      <c r="B3960" t="s">
        <v>10748</v>
      </c>
      <c r="C3960" t="str">
        <f>""</f>
        <v/>
      </c>
      <c r="D3960" t="str">
        <f>"9783111326887"</f>
        <v>9783111326887</v>
      </c>
      <c r="E3960" t="s">
        <v>415</v>
      </c>
      <c r="F3960" t="s">
        <v>415</v>
      </c>
      <c r="G3960" s="1">
        <v>4475</v>
      </c>
      <c r="H3960" s="1">
        <v>44726</v>
      </c>
      <c r="I3960" t="s">
        <v>189</v>
      </c>
      <c r="J3960">
        <v>1</v>
      </c>
      <c r="K3960" t="s">
        <v>10749</v>
      </c>
      <c r="L3960" t="s">
        <v>10750</v>
      </c>
      <c r="M3960" t="s">
        <v>389</v>
      </c>
      <c r="Q3960" t="s">
        <v>408</v>
      </c>
      <c r="R3960" t="s">
        <v>261</v>
      </c>
      <c r="S3960" t="s">
        <v>261</v>
      </c>
      <c r="T3960" t="s">
        <v>261</v>
      </c>
      <c r="U3960" t="s">
        <v>261</v>
      </c>
      <c r="V3960" t="s">
        <v>262</v>
      </c>
      <c r="W3960" t="s">
        <v>261</v>
      </c>
      <c r="X3960" t="s">
        <v>261</v>
      </c>
      <c r="Y3960" t="s">
        <v>261</v>
      </c>
      <c r="Z3960" t="s">
        <v>409</v>
      </c>
      <c r="AA3960" t="s">
        <v>409</v>
      </c>
      <c r="AB3960" t="s">
        <v>409</v>
      </c>
      <c r="AC3960" t="s">
        <v>409</v>
      </c>
      <c r="AD3960" t="s">
        <v>261</v>
      </c>
      <c r="AH3960" t="s">
        <v>262</v>
      </c>
      <c r="AI3960" t="s">
        <v>262</v>
      </c>
      <c r="AJ3960" t="s">
        <v>261</v>
      </c>
      <c r="AK3960" t="s">
        <v>261</v>
      </c>
      <c r="AM3960" t="s">
        <v>262</v>
      </c>
      <c r="AN3960" t="s">
        <v>10751</v>
      </c>
    </row>
    <row r="3961" spans="1:40" x14ac:dyDescent="0.35">
      <c r="A3961">
        <v>7014902</v>
      </c>
      <c r="B3961" t="s">
        <v>10752</v>
      </c>
      <c r="C3961" t="str">
        <f>""</f>
        <v/>
      </c>
      <c r="D3961" t="str">
        <f>"9783110720129"</f>
        <v>9783110720129</v>
      </c>
      <c r="E3961" t="s">
        <v>415</v>
      </c>
      <c r="F3961" t="s">
        <v>6576</v>
      </c>
      <c r="G3961" s="1">
        <v>42174</v>
      </c>
      <c r="H3961" s="1">
        <v>44726</v>
      </c>
      <c r="I3961" t="s">
        <v>189</v>
      </c>
      <c r="J3961">
        <v>1</v>
      </c>
      <c r="K3961" t="s">
        <v>10669</v>
      </c>
      <c r="L3961" t="s">
        <v>86</v>
      </c>
    </row>
    <row r="3962" spans="1:40" x14ac:dyDescent="0.35">
      <c r="A3962">
        <v>7014903</v>
      </c>
      <c r="B3962" t="s">
        <v>10753</v>
      </c>
      <c r="C3962" t="str">
        <f>""</f>
        <v/>
      </c>
      <c r="D3962" t="str">
        <f>"9783110667516"</f>
        <v>9783110667516</v>
      </c>
      <c r="E3962" t="s">
        <v>415</v>
      </c>
      <c r="F3962" t="s">
        <v>665</v>
      </c>
      <c r="G3962" s="1">
        <v>44032</v>
      </c>
      <c r="H3962" s="1">
        <v>44726</v>
      </c>
      <c r="I3962" t="s">
        <v>189</v>
      </c>
      <c r="J3962">
        <v>1</v>
      </c>
      <c r="L3962" t="s">
        <v>10754</v>
      </c>
      <c r="M3962" t="s">
        <v>239</v>
      </c>
    </row>
    <row r="3963" spans="1:40" x14ac:dyDescent="0.35">
      <c r="A3963">
        <v>7014904</v>
      </c>
      <c r="B3963" t="s">
        <v>10755</v>
      </c>
      <c r="C3963" t="str">
        <f>""</f>
        <v/>
      </c>
      <c r="D3963" t="str">
        <f>"9783111644523"</f>
        <v>9783111644523</v>
      </c>
      <c r="E3963" t="s">
        <v>415</v>
      </c>
      <c r="F3963" t="s">
        <v>415</v>
      </c>
      <c r="G3963" t="s">
        <v>10756</v>
      </c>
      <c r="H3963" s="1">
        <v>44726</v>
      </c>
      <c r="I3963" t="s">
        <v>189</v>
      </c>
      <c r="J3963">
        <v>1</v>
      </c>
      <c r="L3963" t="s">
        <v>10757</v>
      </c>
      <c r="M3963" t="s">
        <v>239</v>
      </c>
      <c r="Q3963" t="s">
        <v>408</v>
      </c>
      <c r="R3963" t="s">
        <v>261</v>
      </c>
      <c r="S3963" t="s">
        <v>261</v>
      </c>
      <c r="T3963" t="s">
        <v>261</v>
      </c>
      <c r="U3963" t="s">
        <v>261</v>
      </c>
      <c r="V3963" t="s">
        <v>262</v>
      </c>
      <c r="W3963" t="s">
        <v>261</v>
      </c>
      <c r="X3963" t="s">
        <v>261</v>
      </c>
      <c r="Y3963" t="s">
        <v>261</v>
      </c>
      <c r="Z3963" t="s">
        <v>409</v>
      </c>
      <c r="AA3963" t="s">
        <v>409</v>
      </c>
      <c r="AB3963" t="s">
        <v>409</v>
      </c>
      <c r="AC3963" t="s">
        <v>409</v>
      </c>
      <c r="AD3963" t="s">
        <v>261</v>
      </c>
      <c r="AH3963" t="s">
        <v>262</v>
      </c>
      <c r="AI3963" t="s">
        <v>262</v>
      </c>
      <c r="AJ3963" t="s">
        <v>261</v>
      </c>
      <c r="AK3963" t="s">
        <v>261</v>
      </c>
      <c r="AM3963" t="s">
        <v>262</v>
      </c>
      <c r="AN3963" t="s">
        <v>10758</v>
      </c>
    </row>
    <row r="3964" spans="1:40" x14ac:dyDescent="0.35">
      <c r="A3964">
        <v>7014905</v>
      </c>
      <c r="B3964" t="s">
        <v>10759</v>
      </c>
      <c r="C3964" t="str">
        <f>""</f>
        <v/>
      </c>
      <c r="D3964" t="str">
        <f>"9783111704623"</f>
        <v>9783111704623</v>
      </c>
      <c r="E3964" t="s">
        <v>415</v>
      </c>
      <c r="F3964" t="s">
        <v>415</v>
      </c>
      <c r="G3964" s="1">
        <v>19450</v>
      </c>
      <c r="H3964" s="1">
        <v>44726</v>
      </c>
      <c r="I3964" t="s">
        <v>189</v>
      </c>
      <c r="J3964">
        <v>1</v>
      </c>
      <c r="K3964" t="s">
        <v>10760</v>
      </c>
      <c r="L3964" t="s">
        <v>10761</v>
      </c>
      <c r="M3964" t="s">
        <v>339</v>
      </c>
      <c r="Q3964" t="s">
        <v>408</v>
      </c>
      <c r="R3964" t="s">
        <v>261</v>
      </c>
      <c r="S3964" t="s">
        <v>261</v>
      </c>
      <c r="T3964" t="s">
        <v>261</v>
      </c>
      <c r="U3964" t="s">
        <v>261</v>
      </c>
      <c r="V3964" t="s">
        <v>262</v>
      </c>
      <c r="W3964" t="s">
        <v>261</v>
      </c>
      <c r="X3964" t="s">
        <v>261</v>
      </c>
      <c r="Y3964" t="s">
        <v>261</v>
      </c>
      <c r="Z3964" t="s">
        <v>409</v>
      </c>
      <c r="AA3964" t="s">
        <v>409</v>
      </c>
      <c r="AB3964" t="s">
        <v>409</v>
      </c>
      <c r="AC3964" t="s">
        <v>409</v>
      </c>
      <c r="AD3964" t="s">
        <v>261</v>
      </c>
      <c r="AH3964" t="s">
        <v>262</v>
      </c>
      <c r="AI3964" t="s">
        <v>262</v>
      </c>
      <c r="AJ3964" t="s">
        <v>261</v>
      </c>
      <c r="AK3964" t="s">
        <v>261</v>
      </c>
      <c r="AM3964" t="s">
        <v>262</v>
      </c>
      <c r="AN3964" t="s">
        <v>10762</v>
      </c>
    </row>
    <row r="3965" spans="1:40" x14ac:dyDescent="0.35">
      <c r="A3965">
        <v>7014906</v>
      </c>
      <c r="B3965" t="s">
        <v>10763</v>
      </c>
      <c r="C3965" t="str">
        <f>"9783111193830"</f>
        <v>9783111193830</v>
      </c>
      <c r="D3965" t="str">
        <f>"9783111565163"</f>
        <v>9783111565163</v>
      </c>
      <c r="E3965" t="s">
        <v>415</v>
      </c>
      <c r="F3965" t="s">
        <v>415</v>
      </c>
      <c r="G3965" t="s">
        <v>10764</v>
      </c>
      <c r="H3965" s="1">
        <v>44726</v>
      </c>
      <c r="I3965" t="s">
        <v>189</v>
      </c>
      <c r="J3965">
        <v>1</v>
      </c>
      <c r="L3965" t="s">
        <v>10765</v>
      </c>
      <c r="M3965" t="s">
        <v>379</v>
      </c>
      <c r="Q3965" t="s">
        <v>408</v>
      </c>
      <c r="R3965" t="s">
        <v>261</v>
      </c>
      <c r="S3965" t="s">
        <v>261</v>
      </c>
      <c r="T3965" t="s">
        <v>261</v>
      </c>
      <c r="U3965" t="s">
        <v>261</v>
      </c>
      <c r="V3965" t="s">
        <v>262</v>
      </c>
      <c r="W3965" t="s">
        <v>261</v>
      </c>
      <c r="X3965" t="s">
        <v>261</v>
      </c>
      <c r="Y3965" t="s">
        <v>261</v>
      </c>
      <c r="Z3965" t="s">
        <v>409</v>
      </c>
      <c r="AA3965" t="s">
        <v>409</v>
      </c>
      <c r="AB3965" t="s">
        <v>409</v>
      </c>
      <c r="AC3965" t="s">
        <v>409</v>
      </c>
      <c r="AD3965" t="s">
        <v>261</v>
      </c>
      <c r="AH3965" t="s">
        <v>262</v>
      </c>
      <c r="AI3965" t="s">
        <v>262</v>
      </c>
      <c r="AJ3965" t="s">
        <v>261</v>
      </c>
      <c r="AK3965" t="s">
        <v>261</v>
      </c>
      <c r="AM3965" t="s">
        <v>262</v>
      </c>
      <c r="AN3965" t="s">
        <v>10766</v>
      </c>
    </row>
    <row r="3966" spans="1:40" x14ac:dyDescent="0.35">
      <c r="A3966">
        <v>7014907</v>
      </c>
      <c r="B3966" t="s">
        <v>10767</v>
      </c>
      <c r="C3966" t="str">
        <f>""</f>
        <v/>
      </c>
      <c r="D3966" t="str">
        <f>"9783110642056"</f>
        <v>9783110642056</v>
      </c>
      <c r="E3966" t="s">
        <v>415</v>
      </c>
      <c r="F3966" t="s">
        <v>415</v>
      </c>
      <c r="G3966" s="1">
        <v>44214</v>
      </c>
      <c r="H3966" s="1">
        <v>44726</v>
      </c>
      <c r="I3966" t="s">
        <v>189</v>
      </c>
      <c r="J3966">
        <v>1</v>
      </c>
      <c r="L3966" t="s">
        <v>10768</v>
      </c>
      <c r="M3966" t="s">
        <v>219</v>
      </c>
      <c r="Q3966" t="s">
        <v>260</v>
      </c>
      <c r="R3966" t="s">
        <v>261</v>
      </c>
      <c r="S3966" t="s">
        <v>261</v>
      </c>
      <c r="T3966" t="s">
        <v>261</v>
      </c>
      <c r="U3966" t="s">
        <v>261</v>
      </c>
      <c r="V3966" t="s">
        <v>262</v>
      </c>
      <c r="W3966" t="s">
        <v>261</v>
      </c>
      <c r="X3966" t="s">
        <v>261</v>
      </c>
      <c r="Y3966" t="s">
        <v>261</v>
      </c>
      <c r="Z3966" t="s">
        <v>409</v>
      </c>
      <c r="AA3966" t="s">
        <v>409</v>
      </c>
      <c r="AB3966" t="s">
        <v>409</v>
      </c>
      <c r="AC3966" t="s">
        <v>409</v>
      </c>
      <c r="AD3966" t="s">
        <v>261</v>
      </c>
      <c r="AH3966" t="s">
        <v>262</v>
      </c>
      <c r="AI3966" t="s">
        <v>262</v>
      </c>
      <c r="AJ3966" t="s">
        <v>261</v>
      </c>
      <c r="AK3966" t="s">
        <v>261</v>
      </c>
      <c r="AM3966" t="s">
        <v>262</v>
      </c>
      <c r="AN3966" t="s">
        <v>10769</v>
      </c>
    </row>
    <row r="3967" spans="1:40" x14ac:dyDescent="0.35">
      <c r="A3967">
        <v>7014908</v>
      </c>
      <c r="B3967" t="s">
        <v>10770</v>
      </c>
      <c r="C3967" t="str">
        <f>""</f>
        <v/>
      </c>
      <c r="D3967" t="str">
        <f>"9783110639544"</f>
        <v>9783110639544</v>
      </c>
      <c r="E3967" t="s">
        <v>415</v>
      </c>
      <c r="F3967" t="s">
        <v>665</v>
      </c>
      <c r="G3967" s="1">
        <v>44081</v>
      </c>
      <c r="H3967" s="1">
        <v>44726</v>
      </c>
      <c r="I3967" t="s">
        <v>189</v>
      </c>
      <c r="J3967">
        <v>1</v>
      </c>
      <c r="L3967" t="s">
        <v>10771</v>
      </c>
      <c r="M3967" t="s">
        <v>239</v>
      </c>
      <c r="O3967" s="2">
        <v>943083092</v>
      </c>
      <c r="Q3967" t="s">
        <v>260</v>
      </c>
      <c r="R3967" t="s">
        <v>261</v>
      </c>
      <c r="S3967" t="s">
        <v>261</v>
      </c>
      <c r="T3967" t="s">
        <v>261</v>
      </c>
      <c r="U3967" t="s">
        <v>261</v>
      </c>
      <c r="V3967" t="s">
        <v>262</v>
      </c>
      <c r="W3967" t="s">
        <v>261</v>
      </c>
      <c r="X3967" t="s">
        <v>261</v>
      </c>
      <c r="Y3967" t="s">
        <v>261</v>
      </c>
      <c r="Z3967" t="s">
        <v>409</v>
      </c>
      <c r="AA3967" t="s">
        <v>409</v>
      </c>
      <c r="AB3967" t="s">
        <v>409</v>
      </c>
      <c r="AC3967" t="s">
        <v>409</v>
      </c>
      <c r="AD3967" t="s">
        <v>261</v>
      </c>
      <c r="AH3967" t="s">
        <v>262</v>
      </c>
      <c r="AI3967" t="s">
        <v>262</v>
      </c>
      <c r="AJ3967" t="s">
        <v>261</v>
      </c>
      <c r="AK3967" t="s">
        <v>261</v>
      </c>
      <c r="AM3967" t="s">
        <v>262</v>
      </c>
      <c r="AN3967" t="s">
        <v>10772</v>
      </c>
    </row>
    <row r="3968" spans="1:40" x14ac:dyDescent="0.35">
      <c r="A3968">
        <v>7014909</v>
      </c>
      <c r="B3968" t="s">
        <v>10773</v>
      </c>
      <c r="C3968" t="str">
        <f>""</f>
        <v/>
      </c>
      <c r="D3968" t="str">
        <f>"9783110624625"</f>
        <v>9783110624625</v>
      </c>
      <c r="E3968" t="s">
        <v>415</v>
      </c>
      <c r="F3968" t="s">
        <v>415</v>
      </c>
      <c r="G3968" s="1">
        <v>44459</v>
      </c>
      <c r="H3968" s="1">
        <v>44726</v>
      </c>
      <c r="I3968" t="s">
        <v>189</v>
      </c>
      <c r="J3968">
        <v>1</v>
      </c>
      <c r="K3968" t="s">
        <v>10702</v>
      </c>
      <c r="L3968" t="s">
        <v>10774</v>
      </c>
    </row>
    <row r="3969" spans="1:40" x14ac:dyDescent="0.35">
      <c r="A3969">
        <v>7014910</v>
      </c>
      <c r="B3969" t="s">
        <v>10775</v>
      </c>
      <c r="C3969" t="str">
        <f>""</f>
        <v/>
      </c>
      <c r="D3969" t="str">
        <f>"9783111422367"</f>
        <v>9783111422367</v>
      </c>
      <c r="E3969" t="s">
        <v>415</v>
      </c>
      <c r="F3969" t="s">
        <v>415</v>
      </c>
      <c r="G3969" s="1">
        <v>822</v>
      </c>
      <c r="H3969" s="1">
        <v>44726</v>
      </c>
      <c r="I3969" t="s">
        <v>189</v>
      </c>
      <c r="J3969">
        <v>1</v>
      </c>
      <c r="L3969" t="s">
        <v>10776</v>
      </c>
    </row>
    <row r="3970" spans="1:40" x14ac:dyDescent="0.35">
      <c r="A3970">
        <v>7014911</v>
      </c>
      <c r="B3970" t="s">
        <v>10777</v>
      </c>
      <c r="C3970" t="str">
        <f>"9783110575613"</f>
        <v>9783110575613</v>
      </c>
      <c r="D3970" t="str">
        <f>"9783110576191"</f>
        <v>9783110576191</v>
      </c>
      <c r="E3970" t="s">
        <v>415</v>
      </c>
      <c r="F3970" t="s">
        <v>415</v>
      </c>
      <c r="G3970" s="1">
        <v>43409</v>
      </c>
      <c r="H3970" s="1">
        <v>44726</v>
      </c>
      <c r="I3970" t="s">
        <v>189</v>
      </c>
      <c r="J3970">
        <v>1</v>
      </c>
      <c r="K3970" t="s">
        <v>3014</v>
      </c>
      <c r="L3970" t="s">
        <v>3076</v>
      </c>
      <c r="M3970" t="s">
        <v>239</v>
      </c>
    </row>
    <row r="3971" spans="1:40" x14ac:dyDescent="0.35">
      <c r="A3971">
        <v>7014912</v>
      </c>
      <c r="B3971" t="s">
        <v>10778</v>
      </c>
      <c r="C3971" t="str">
        <f>""</f>
        <v/>
      </c>
      <c r="D3971" t="str">
        <f>"9783110731569"</f>
        <v>9783110731569</v>
      </c>
      <c r="E3971" t="s">
        <v>415</v>
      </c>
      <c r="F3971" t="s">
        <v>415</v>
      </c>
      <c r="G3971" s="1">
        <v>44473</v>
      </c>
      <c r="H3971" s="1">
        <v>44726</v>
      </c>
      <c r="I3971" t="s">
        <v>189</v>
      </c>
      <c r="J3971">
        <v>1</v>
      </c>
      <c r="K3971" t="s">
        <v>10779</v>
      </c>
      <c r="L3971" t="s">
        <v>123</v>
      </c>
    </row>
    <row r="3972" spans="1:40" x14ac:dyDescent="0.35">
      <c r="A3972">
        <v>7014913</v>
      </c>
      <c r="B3972" t="s">
        <v>10780</v>
      </c>
      <c r="C3972" t="str">
        <f>""</f>
        <v/>
      </c>
      <c r="D3972" t="str">
        <f>"9783110674255"</f>
        <v>9783110674255</v>
      </c>
      <c r="E3972" t="s">
        <v>415</v>
      </c>
      <c r="F3972" t="s">
        <v>665</v>
      </c>
      <c r="G3972" s="1">
        <v>43956</v>
      </c>
      <c r="H3972" s="1">
        <v>44726</v>
      </c>
      <c r="I3972" t="s">
        <v>189</v>
      </c>
      <c r="J3972">
        <v>1</v>
      </c>
      <c r="K3972" t="s">
        <v>571</v>
      </c>
      <c r="L3972" t="s">
        <v>10781</v>
      </c>
      <c r="M3972" t="s">
        <v>219</v>
      </c>
      <c r="Q3972" t="s">
        <v>408</v>
      </c>
      <c r="R3972" t="s">
        <v>261</v>
      </c>
      <c r="S3972" t="s">
        <v>261</v>
      </c>
      <c r="T3972" t="s">
        <v>261</v>
      </c>
      <c r="U3972" t="s">
        <v>261</v>
      </c>
      <c r="V3972" t="s">
        <v>262</v>
      </c>
      <c r="W3972" t="s">
        <v>261</v>
      </c>
      <c r="X3972" t="s">
        <v>261</v>
      </c>
      <c r="Y3972" t="s">
        <v>261</v>
      </c>
      <c r="Z3972" t="s">
        <v>409</v>
      </c>
      <c r="AA3972" t="s">
        <v>409</v>
      </c>
      <c r="AB3972" t="s">
        <v>409</v>
      </c>
      <c r="AC3972" t="s">
        <v>409</v>
      </c>
      <c r="AD3972" t="s">
        <v>261</v>
      </c>
      <c r="AH3972" t="s">
        <v>262</v>
      </c>
      <c r="AI3972" t="s">
        <v>262</v>
      </c>
      <c r="AJ3972" t="s">
        <v>261</v>
      </c>
      <c r="AK3972" t="s">
        <v>261</v>
      </c>
      <c r="AM3972" t="s">
        <v>262</v>
      </c>
      <c r="AN3972" t="s">
        <v>10782</v>
      </c>
    </row>
    <row r="3973" spans="1:40" x14ac:dyDescent="0.35">
      <c r="A3973">
        <v>7014914</v>
      </c>
      <c r="B3973" t="s">
        <v>10783</v>
      </c>
      <c r="C3973" t="str">
        <f>""</f>
        <v/>
      </c>
      <c r="D3973" t="str">
        <f>"9783110694772"</f>
        <v>9783110694772</v>
      </c>
      <c r="E3973" t="s">
        <v>415</v>
      </c>
      <c r="F3973" t="s">
        <v>665</v>
      </c>
      <c r="G3973" s="1">
        <v>44158</v>
      </c>
      <c r="H3973" s="1">
        <v>44726</v>
      </c>
      <c r="I3973" t="s">
        <v>189</v>
      </c>
      <c r="J3973">
        <v>1</v>
      </c>
      <c r="L3973" t="s">
        <v>6874</v>
      </c>
      <c r="M3973" t="s">
        <v>239</v>
      </c>
      <c r="O3973" t="s">
        <v>10784</v>
      </c>
      <c r="Q3973" t="s">
        <v>408</v>
      </c>
      <c r="R3973" t="s">
        <v>261</v>
      </c>
      <c r="S3973" t="s">
        <v>261</v>
      </c>
      <c r="T3973" t="s">
        <v>261</v>
      </c>
      <c r="U3973" t="s">
        <v>261</v>
      </c>
      <c r="V3973" t="s">
        <v>262</v>
      </c>
      <c r="W3973" t="s">
        <v>261</v>
      </c>
      <c r="X3973" t="s">
        <v>261</v>
      </c>
      <c r="Y3973" t="s">
        <v>261</v>
      </c>
      <c r="Z3973" t="s">
        <v>409</v>
      </c>
      <c r="AA3973" t="s">
        <v>409</v>
      </c>
      <c r="AB3973" t="s">
        <v>409</v>
      </c>
      <c r="AC3973" t="s">
        <v>409</v>
      </c>
      <c r="AD3973" t="s">
        <v>261</v>
      </c>
      <c r="AH3973" t="s">
        <v>262</v>
      </c>
      <c r="AI3973" t="s">
        <v>262</v>
      </c>
      <c r="AJ3973" t="s">
        <v>261</v>
      </c>
      <c r="AK3973" t="s">
        <v>261</v>
      </c>
      <c r="AM3973" t="s">
        <v>262</v>
      </c>
      <c r="AN3973" t="s">
        <v>10785</v>
      </c>
    </row>
    <row r="3974" spans="1:40" x14ac:dyDescent="0.35">
      <c r="A3974">
        <v>7014915</v>
      </c>
      <c r="B3974" t="s">
        <v>10786</v>
      </c>
      <c r="C3974" t="str">
        <f>""</f>
        <v/>
      </c>
      <c r="D3974" t="str">
        <f>"9783111493022"</f>
        <v>9783111493022</v>
      </c>
      <c r="E3974" t="s">
        <v>415</v>
      </c>
      <c r="F3974" t="s">
        <v>415</v>
      </c>
      <c r="G3974" s="1">
        <v>18719</v>
      </c>
      <c r="H3974" s="1">
        <v>44726</v>
      </c>
      <c r="I3974" t="s">
        <v>189</v>
      </c>
      <c r="J3974">
        <v>1</v>
      </c>
      <c r="L3974" t="s">
        <v>10787</v>
      </c>
    </row>
    <row r="3975" spans="1:40" x14ac:dyDescent="0.35">
      <c r="A3975">
        <v>7014916</v>
      </c>
      <c r="B3975" t="s">
        <v>10788</v>
      </c>
      <c r="C3975" t="str">
        <f>""</f>
        <v/>
      </c>
      <c r="D3975" t="str">
        <f>"9783110733495"</f>
        <v>9783110733495</v>
      </c>
      <c r="E3975" t="s">
        <v>415</v>
      </c>
      <c r="F3975" t="s">
        <v>415</v>
      </c>
      <c r="G3975" s="1">
        <v>44431</v>
      </c>
      <c r="H3975" s="1">
        <v>44726</v>
      </c>
      <c r="I3975" t="s">
        <v>189</v>
      </c>
      <c r="J3975">
        <v>1</v>
      </c>
      <c r="L3975" t="s">
        <v>120</v>
      </c>
      <c r="M3975" t="s">
        <v>219</v>
      </c>
      <c r="Q3975" t="s">
        <v>408</v>
      </c>
      <c r="R3975" t="s">
        <v>261</v>
      </c>
      <c r="S3975" t="s">
        <v>261</v>
      </c>
      <c r="T3975" t="s">
        <v>261</v>
      </c>
      <c r="U3975" t="s">
        <v>261</v>
      </c>
      <c r="V3975" t="s">
        <v>262</v>
      </c>
      <c r="W3975" t="s">
        <v>261</v>
      </c>
      <c r="X3975" t="s">
        <v>261</v>
      </c>
      <c r="Y3975" t="s">
        <v>261</v>
      </c>
      <c r="Z3975" t="s">
        <v>409</v>
      </c>
      <c r="AA3975" t="s">
        <v>409</v>
      </c>
      <c r="AB3975" t="s">
        <v>409</v>
      </c>
      <c r="AC3975" t="s">
        <v>409</v>
      </c>
      <c r="AD3975" t="s">
        <v>261</v>
      </c>
      <c r="AH3975" t="s">
        <v>262</v>
      </c>
      <c r="AI3975" t="s">
        <v>262</v>
      </c>
      <c r="AJ3975" t="s">
        <v>261</v>
      </c>
      <c r="AK3975" t="s">
        <v>261</v>
      </c>
      <c r="AM3975" t="s">
        <v>262</v>
      </c>
      <c r="AN3975" t="s">
        <v>10789</v>
      </c>
    </row>
    <row r="3976" spans="1:40" x14ac:dyDescent="0.35">
      <c r="A3976">
        <v>7014917</v>
      </c>
      <c r="B3976" t="s">
        <v>10790</v>
      </c>
      <c r="C3976" t="str">
        <f>""</f>
        <v/>
      </c>
      <c r="D3976" t="str">
        <f>"9783110755657"</f>
        <v>9783110755657</v>
      </c>
      <c r="E3976" t="s">
        <v>346</v>
      </c>
      <c r="F3976" t="s">
        <v>2637</v>
      </c>
      <c r="G3976" s="1">
        <v>44508</v>
      </c>
      <c r="H3976" s="1">
        <v>44726</v>
      </c>
      <c r="I3976" t="s">
        <v>189</v>
      </c>
      <c r="J3976">
        <v>1</v>
      </c>
      <c r="K3976" t="s">
        <v>10547</v>
      </c>
      <c r="L3976" t="s">
        <v>10791</v>
      </c>
    </row>
    <row r="3977" spans="1:40" x14ac:dyDescent="0.35">
      <c r="A3977">
        <v>7014918</v>
      </c>
      <c r="B3977" t="s">
        <v>10792</v>
      </c>
      <c r="C3977" t="str">
        <f>""</f>
        <v/>
      </c>
      <c r="D3977" t="str">
        <f>"9783110702705"</f>
        <v>9783110702705</v>
      </c>
      <c r="E3977" t="s">
        <v>415</v>
      </c>
      <c r="F3977" t="s">
        <v>415</v>
      </c>
      <c r="G3977" s="1">
        <v>44130</v>
      </c>
      <c r="H3977" s="1">
        <v>44726</v>
      </c>
      <c r="I3977" t="s">
        <v>189</v>
      </c>
      <c r="J3977">
        <v>1</v>
      </c>
      <c r="K3977" t="s">
        <v>10793</v>
      </c>
      <c r="L3977" t="s">
        <v>89</v>
      </c>
      <c r="M3977" t="s">
        <v>578</v>
      </c>
    </row>
    <row r="3978" spans="1:40" x14ac:dyDescent="0.35">
      <c r="A3978">
        <v>7014919</v>
      </c>
      <c r="B3978" t="s">
        <v>10794</v>
      </c>
      <c r="C3978" t="str">
        <f>""</f>
        <v/>
      </c>
      <c r="D3978" t="str">
        <f>"9783110630503"</f>
        <v>9783110630503</v>
      </c>
      <c r="E3978" t="s">
        <v>415</v>
      </c>
      <c r="F3978" t="s">
        <v>665</v>
      </c>
      <c r="G3978" s="1">
        <v>43990</v>
      </c>
      <c r="H3978" s="1">
        <v>44726</v>
      </c>
      <c r="I3978" t="s">
        <v>189</v>
      </c>
      <c r="J3978">
        <v>1</v>
      </c>
      <c r="K3978" t="s">
        <v>666</v>
      </c>
      <c r="L3978" t="s">
        <v>10795</v>
      </c>
      <c r="M3978" t="s">
        <v>239</v>
      </c>
    </row>
    <row r="3979" spans="1:40" x14ac:dyDescent="0.35">
      <c r="A3979">
        <v>7014920</v>
      </c>
      <c r="B3979" t="s">
        <v>10796</v>
      </c>
      <c r="C3979" t="str">
        <f>""</f>
        <v/>
      </c>
      <c r="D3979" t="str">
        <f>"9783110720099"</f>
        <v>9783110720099</v>
      </c>
      <c r="E3979" t="s">
        <v>415</v>
      </c>
      <c r="F3979" t="s">
        <v>6576</v>
      </c>
      <c r="G3979" s="1">
        <v>41904</v>
      </c>
      <c r="H3979" s="1">
        <v>44726</v>
      </c>
      <c r="I3979" t="s">
        <v>189</v>
      </c>
      <c r="J3979">
        <v>1</v>
      </c>
      <c r="K3979" t="s">
        <v>10518</v>
      </c>
      <c r="L3979" t="s">
        <v>10522</v>
      </c>
      <c r="M3979" t="s">
        <v>239</v>
      </c>
      <c r="Q3979" t="s">
        <v>408</v>
      </c>
      <c r="R3979" t="s">
        <v>261</v>
      </c>
      <c r="S3979" t="s">
        <v>261</v>
      </c>
      <c r="T3979" t="s">
        <v>261</v>
      </c>
      <c r="U3979" t="s">
        <v>261</v>
      </c>
      <c r="V3979" t="s">
        <v>262</v>
      </c>
      <c r="W3979" t="s">
        <v>261</v>
      </c>
      <c r="X3979" t="s">
        <v>261</v>
      </c>
      <c r="Y3979" t="s">
        <v>261</v>
      </c>
      <c r="Z3979" t="s">
        <v>409</v>
      </c>
      <c r="AA3979" t="s">
        <v>409</v>
      </c>
      <c r="AB3979" t="s">
        <v>409</v>
      </c>
      <c r="AC3979" t="s">
        <v>409</v>
      </c>
      <c r="AD3979" t="s">
        <v>261</v>
      </c>
      <c r="AH3979" t="s">
        <v>262</v>
      </c>
      <c r="AI3979" t="s">
        <v>262</v>
      </c>
      <c r="AJ3979" t="s">
        <v>261</v>
      </c>
      <c r="AK3979" t="s">
        <v>261</v>
      </c>
      <c r="AM3979" t="s">
        <v>262</v>
      </c>
      <c r="AN3979" t="s">
        <v>10797</v>
      </c>
    </row>
    <row r="3980" spans="1:40" x14ac:dyDescent="0.35">
      <c r="A3980">
        <v>7014921</v>
      </c>
      <c r="B3980" t="s">
        <v>10798</v>
      </c>
      <c r="C3980" t="str">
        <f>"9783110602296"</f>
        <v>9783110602296</v>
      </c>
      <c r="D3980" t="str">
        <f>"9783110602289"</f>
        <v>9783110602289</v>
      </c>
      <c r="E3980" t="s">
        <v>415</v>
      </c>
      <c r="F3980" t="s">
        <v>415</v>
      </c>
      <c r="G3980" s="1">
        <v>43381</v>
      </c>
      <c r="H3980" s="1">
        <v>44726</v>
      </c>
      <c r="I3980" t="s">
        <v>189</v>
      </c>
      <c r="J3980">
        <v>1</v>
      </c>
      <c r="K3980" t="s">
        <v>3910</v>
      </c>
      <c r="L3980" t="s">
        <v>10799</v>
      </c>
      <c r="M3980" t="s">
        <v>535</v>
      </c>
    </row>
    <row r="3981" spans="1:40" x14ac:dyDescent="0.35">
      <c r="A3981">
        <v>7014922</v>
      </c>
      <c r="B3981" t="s">
        <v>10800</v>
      </c>
      <c r="C3981" t="str">
        <f>""</f>
        <v/>
      </c>
      <c r="D3981" t="str">
        <f>"9783110679977"</f>
        <v>9783110679977</v>
      </c>
      <c r="E3981" t="s">
        <v>415</v>
      </c>
      <c r="F3981" t="s">
        <v>3134</v>
      </c>
      <c r="G3981" s="1">
        <v>44038</v>
      </c>
      <c r="H3981" s="1">
        <v>44726</v>
      </c>
      <c r="I3981" t="s">
        <v>189</v>
      </c>
      <c r="J3981">
        <v>1</v>
      </c>
      <c r="L3981" t="s">
        <v>10801</v>
      </c>
      <c r="M3981" t="s">
        <v>323</v>
      </c>
    </row>
    <row r="3982" spans="1:40" x14ac:dyDescent="0.35">
      <c r="A3982">
        <v>7014923</v>
      </c>
      <c r="B3982" t="s">
        <v>10802</v>
      </c>
      <c r="C3982" t="str">
        <f>""</f>
        <v/>
      </c>
      <c r="D3982" t="str">
        <f>"9783110725780"</f>
        <v>9783110725780</v>
      </c>
      <c r="E3982" t="s">
        <v>415</v>
      </c>
      <c r="F3982" t="s">
        <v>415</v>
      </c>
      <c r="G3982" s="1">
        <v>44263</v>
      </c>
      <c r="H3982" s="1">
        <v>44726</v>
      </c>
      <c r="I3982" t="s">
        <v>189</v>
      </c>
      <c r="J3982">
        <v>1</v>
      </c>
      <c r="K3982" t="s">
        <v>354</v>
      </c>
      <c r="L3982" t="s">
        <v>10803</v>
      </c>
      <c r="M3982" t="s">
        <v>239</v>
      </c>
    </row>
    <row r="3983" spans="1:40" x14ac:dyDescent="0.35">
      <c r="A3983">
        <v>7014924</v>
      </c>
      <c r="B3983" t="s">
        <v>10804</v>
      </c>
      <c r="C3983" t="str">
        <f>""</f>
        <v/>
      </c>
      <c r="D3983" t="str">
        <f>"9783110622430"</f>
        <v>9783110622430</v>
      </c>
      <c r="E3983" t="s">
        <v>415</v>
      </c>
      <c r="F3983" t="s">
        <v>415</v>
      </c>
      <c r="G3983" s="1">
        <v>43494</v>
      </c>
      <c r="H3983" s="1">
        <v>44726</v>
      </c>
      <c r="I3983" t="s">
        <v>189</v>
      </c>
      <c r="J3983">
        <v>1</v>
      </c>
      <c r="K3983" t="s">
        <v>10673</v>
      </c>
      <c r="L3983" t="s">
        <v>10805</v>
      </c>
      <c r="M3983" t="s">
        <v>676</v>
      </c>
      <c r="Q3983" t="s">
        <v>408</v>
      </c>
      <c r="R3983" t="s">
        <v>261</v>
      </c>
      <c r="S3983" t="s">
        <v>261</v>
      </c>
      <c r="T3983" t="s">
        <v>261</v>
      </c>
      <c r="U3983" t="s">
        <v>261</v>
      </c>
      <c r="V3983" t="s">
        <v>262</v>
      </c>
      <c r="W3983" t="s">
        <v>261</v>
      </c>
      <c r="X3983" t="s">
        <v>261</v>
      </c>
      <c r="Y3983" t="s">
        <v>261</v>
      </c>
      <c r="Z3983" t="s">
        <v>409</v>
      </c>
      <c r="AA3983" t="s">
        <v>409</v>
      </c>
      <c r="AB3983" t="s">
        <v>409</v>
      </c>
      <c r="AC3983" t="s">
        <v>409</v>
      </c>
      <c r="AD3983" t="s">
        <v>261</v>
      </c>
      <c r="AH3983" t="s">
        <v>262</v>
      </c>
      <c r="AI3983" t="s">
        <v>262</v>
      </c>
      <c r="AJ3983" t="s">
        <v>261</v>
      </c>
      <c r="AK3983" t="s">
        <v>261</v>
      </c>
      <c r="AM3983" t="s">
        <v>262</v>
      </c>
      <c r="AN3983" t="s">
        <v>10806</v>
      </c>
    </row>
    <row r="3984" spans="1:40" x14ac:dyDescent="0.35">
      <c r="A3984">
        <v>7014925</v>
      </c>
      <c r="B3984" t="s">
        <v>10807</v>
      </c>
      <c r="C3984" t="str">
        <f>""</f>
        <v/>
      </c>
      <c r="D3984" t="str">
        <f>"9783111719962"</f>
        <v>9783111719962</v>
      </c>
      <c r="E3984" t="s">
        <v>415</v>
      </c>
      <c r="F3984" t="s">
        <v>415</v>
      </c>
      <c r="G3984" t="s">
        <v>10808</v>
      </c>
      <c r="H3984" s="1">
        <v>44726</v>
      </c>
      <c r="I3984" t="s">
        <v>189</v>
      </c>
      <c r="J3984">
        <v>1</v>
      </c>
      <c r="L3984" t="s">
        <v>10809</v>
      </c>
    </row>
    <row r="3985" spans="1:40" x14ac:dyDescent="0.35">
      <c r="A3985">
        <v>7014926</v>
      </c>
      <c r="B3985" t="s">
        <v>10810</v>
      </c>
      <c r="C3985" t="str">
        <f>""</f>
        <v/>
      </c>
      <c r="D3985" t="str">
        <f>"9783110749984"</f>
        <v>9783110749984</v>
      </c>
      <c r="E3985" t="s">
        <v>415</v>
      </c>
      <c r="F3985" t="s">
        <v>415</v>
      </c>
      <c r="G3985" s="1">
        <v>44508</v>
      </c>
      <c r="H3985" s="1">
        <v>44726</v>
      </c>
      <c r="I3985" t="s">
        <v>189</v>
      </c>
      <c r="J3985">
        <v>1</v>
      </c>
      <c r="K3985" t="s">
        <v>3327</v>
      </c>
      <c r="L3985" t="s">
        <v>10811</v>
      </c>
      <c r="M3985" t="s">
        <v>219</v>
      </c>
      <c r="Q3985" t="s">
        <v>6636</v>
      </c>
    </row>
    <row r="3986" spans="1:40" x14ac:dyDescent="0.35">
      <c r="A3986">
        <v>7014927</v>
      </c>
      <c r="B3986" t="s">
        <v>10812</v>
      </c>
      <c r="C3986" t="str">
        <f>"9783486565652"</f>
        <v>9783486565652</v>
      </c>
      <c r="D3986" t="str">
        <f>"9783486594478"</f>
        <v>9783486594478</v>
      </c>
      <c r="E3986" t="s">
        <v>415</v>
      </c>
      <c r="F3986" t="s">
        <v>665</v>
      </c>
      <c r="G3986" s="1">
        <v>37181</v>
      </c>
      <c r="H3986" s="1">
        <v>44726</v>
      </c>
      <c r="I3986" t="s">
        <v>189</v>
      </c>
      <c r="J3986">
        <v>1</v>
      </c>
      <c r="K3986" t="s">
        <v>1387</v>
      </c>
      <c r="L3986" t="s">
        <v>10813</v>
      </c>
    </row>
    <row r="3987" spans="1:40" x14ac:dyDescent="0.35">
      <c r="A3987">
        <v>7014928</v>
      </c>
      <c r="B3987" t="s">
        <v>3159</v>
      </c>
      <c r="C3987" t="str">
        <f>"9783110605907"</f>
        <v>9783110605907</v>
      </c>
      <c r="D3987" t="str">
        <f>"9783110605914"</f>
        <v>9783110605914</v>
      </c>
      <c r="E3987" t="s">
        <v>415</v>
      </c>
      <c r="F3987" t="s">
        <v>659</v>
      </c>
      <c r="G3987" s="1">
        <v>43633</v>
      </c>
      <c r="H3987" s="1">
        <v>44726</v>
      </c>
      <c r="I3987" t="s">
        <v>189</v>
      </c>
      <c r="J3987">
        <v>1</v>
      </c>
      <c r="L3987" t="s">
        <v>3160</v>
      </c>
      <c r="M3987" t="s">
        <v>282</v>
      </c>
      <c r="O3987" s="2">
        <v>330015195</v>
      </c>
      <c r="Q3987" t="s">
        <v>260</v>
      </c>
      <c r="R3987" t="s">
        <v>261</v>
      </c>
      <c r="S3987" t="s">
        <v>261</v>
      </c>
      <c r="T3987" t="s">
        <v>261</v>
      </c>
      <c r="U3987" t="s">
        <v>261</v>
      </c>
      <c r="V3987" t="s">
        <v>262</v>
      </c>
      <c r="W3987" t="s">
        <v>261</v>
      </c>
      <c r="X3987" t="s">
        <v>261</v>
      </c>
      <c r="Y3987" t="s">
        <v>261</v>
      </c>
      <c r="Z3987" t="s">
        <v>409</v>
      </c>
      <c r="AA3987" t="s">
        <v>409</v>
      </c>
      <c r="AB3987" t="s">
        <v>409</v>
      </c>
      <c r="AC3987" t="s">
        <v>409</v>
      </c>
      <c r="AD3987" t="s">
        <v>261</v>
      </c>
      <c r="AH3987" t="s">
        <v>262</v>
      </c>
      <c r="AI3987" t="s">
        <v>262</v>
      </c>
      <c r="AJ3987" t="s">
        <v>261</v>
      </c>
      <c r="AK3987" t="s">
        <v>261</v>
      </c>
      <c r="AM3987" t="s">
        <v>262</v>
      </c>
      <c r="AN3987" t="s">
        <v>10814</v>
      </c>
    </row>
    <row r="3988" spans="1:40" x14ac:dyDescent="0.35">
      <c r="A3988">
        <v>7014929</v>
      </c>
      <c r="B3988" t="s">
        <v>10815</v>
      </c>
      <c r="C3988" t="str">
        <f>""</f>
        <v/>
      </c>
      <c r="D3988" t="str">
        <f>"9783110683066"</f>
        <v>9783110683066</v>
      </c>
      <c r="E3988" t="s">
        <v>415</v>
      </c>
      <c r="F3988" t="s">
        <v>415</v>
      </c>
      <c r="G3988" s="1">
        <v>44172</v>
      </c>
      <c r="H3988" s="1">
        <v>44726</v>
      </c>
      <c r="I3988" t="s">
        <v>189</v>
      </c>
      <c r="J3988">
        <v>1</v>
      </c>
      <c r="K3988" t="s">
        <v>3866</v>
      </c>
      <c r="L3988" t="s">
        <v>10816</v>
      </c>
      <c r="M3988" t="s">
        <v>239</v>
      </c>
    </row>
    <row r="3989" spans="1:40" x14ac:dyDescent="0.35">
      <c r="A3989">
        <v>7014930</v>
      </c>
      <c r="B3989" t="s">
        <v>10817</v>
      </c>
      <c r="C3989" t="str">
        <f>""</f>
        <v/>
      </c>
      <c r="D3989" t="str">
        <f>"9783111342498"</f>
        <v>9783111342498</v>
      </c>
      <c r="E3989" t="s">
        <v>346</v>
      </c>
      <c r="F3989" t="s">
        <v>2637</v>
      </c>
      <c r="G3989" s="1">
        <v>26024</v>
      </c>
      <c r="H3989" s="1">
        <v>44726</v>
      </c>
      <c r="I3989" t="s">
        <v>189</v>
      </c>
      <c r="J3989">
        <v>1</v>
      </c>
      <c r="K3989" t="s">
        <v>10818</v>
      </c>
      <c r="L3989" t="s">
        <v>10819</v>
      </c>
      <c r="M3989" t="s">
        <v>676</v>
      </c>
    </row>
    <row r="3990" spans="1:40" x14ac:dyDescent="0.35">
      <c r="A3990">
        <v>7014931</v>
      </c>
      <c r="B3990" t="s">
        <v>10820</v>
      </c>
      <c r="C3990" t="str">
        <f>""</f>
        <v/>
      </c>
      <c r="D3990" t="str">
        <f>"9783110743005"</f>
        <v>9783110743005</v>
      </c>
      <c r="E3990" t="s">
        <v>415</v>
      </c>
      <c r="F3990" t="s">
        <v>415</v>
      </c>
      <c r="G3990" s="1">
        <v>44446</v>
      </c>
      <c r="H3990" s="1">
        <v>44726</v>
      </c>
      <c r="I3990" t="s">
        <v>189</v>
      </c>
      <c r="J3990">
        <v>1</v>
      </c>
      <c r="K3990" t="s">
        <v>6621</v>
      </c>
      <c r="L3990" t="s">
        <v>10821</v>
      </c>
    </row>
    <row r="3991" spans="1:40" x14ac:dyDescent="0.35">
      <c r="A3991">
        <v>7014932</v>
      </c>
      <c r="B3991" t="s">
        <v>10822</v>
      </c>
      <c r="C3991" t="str">
        <f>""</f>
        <v/>
      </c>
      <c r="D3991" t="str">
        <f>"9783111503417"</f>
        <v>9783111503417</v>
      </c>
      <c r="E3991" t="s">
        <v>415</v>
      </c>
      <c r="F3991" t="s">
        <v>415</v>
      </c>
      <c r="G3991" s="1">
        <v>18719</v>
      </c>
      <c r="H3991" s="1">
        <v>44726</v>
      </c>
      <c r="I3991" t="s">
        <v>189</v>
      </c>
      <c r="J3991">
        <v>1</v>
      </c>
      <c r="L3991" t="s">
        <v>10823</v>
      </c>
      <c r="M3991" t="s">
        <v>339</v>
      </c>
      <c r="Q3991" t="s">
        <v>408</v>
      </c>
      <c r="R3991" t="s">
        <v>261</v>
      </c>
      <c r="S3991" t="s">
        <v>261</v>
      </c>
      <c r="T3991" t="s">
        <v>261</v>
      </c>
      <c r="U3991" t="s">
        <v>261</v>
      </c>
      <c r="V3991" t="s">
        <v>262</v>
      </c>
      <c r="W3991" t="s">
        <v>261</v>
      </c>
      <c r="X3991" t="s">
        <v>261</v>
      </c>
      <c r="Y3991" t="s">
        <v>261</v>
      </c>
      <c r="Z3991" t="s">
        <v>409</v>
      </c>
      <c r="AA3991" t="s">
        <v>409</v>
      </c>
      <c r="AB3991" t="s">
        <v>409</v>
      </c>
      <c r="AC3991" t="s">
        <v>409</v>
      </c>
      <c r="AD3991" t="s">
        <v>261</v>
      </c>
      <c r="AH3991" t="s">
        <v>262</v>
      </c>
      <c r="AI3991" t="s">
        <v>262</v>
      </c>
      <c r="AJ3991" t="s">
        <v>261</v>
      </c>
      <c r="AK3991" t="s">
        <v>261</v>
      </c>
      <c r="AM3991" t="s">
        <v>262</v>
      </c>
      <c r="AN3991" t="s">
        <v>10824</v>
      </c>
    </row>
    <row r="3992" spans="1:40" x14ac:dyDescent="0.35">
      <c r="A3992">
        <v>7014933</v>
      </c>
      <c r="B3992" t="s">
        <v>10825</v>
      </c>
      <c r="C3992" t="str">
        <f>""</f>
        <v/>
      </c>
      <c r="D3992" t="str">
        <f>"9783110751451"</f>
        <v>9783110751451</v>
      </c>
      <c r="E3992" t="s">
        <v>415</v>
      </c>
      <c r="F3992" t="s">
        <v>665</v>
      </c>
      <c r="G3992" s="1">
        <v>44536</v>
      </c>
      <c r="H3992" s="1">
        <v>44726</v>
      </c>
      <c r="I3992" t="s">
        <v>189</v>
      </c>
      <c r="J3992">
        <v>1</v>
      </c>
      <c r="L3992" t="s">
        <v>10826</v>
      </c>
    </row>
    <row r="3993" spans="1:40" x14ac:dyDescent="0.35">
      <c r="A3993">
        <v>7014934</v>
      </c>
      <c r="B3993" t="s">
        <v>10827</v>
      </c>
      <c r="C3993" t="str">
        <f>"9783484310827"</f>
        <v>9783484310827</v>
      </c>
      <c r="D3993" t="str">
        <f>"9783110920659"</f>
        <v>9783110920659</v>
      </c>
      <c r="E3993" t="s">
        <v>415</v>
      </c>
      <c r="F3993" t="s">
        <v>415</v>
      </c>
      <c r="G3993" s="1">
        <v>31778</v>
      </c>
      <c r="H3993" s="1">
        <v>44726</v>
      </c>
      <c r="I3993" t="s">
        <v>189</v>
      </c>
      <c r="J3993">
        <v>1</v>
      </c>
      <c r="K3993" t="s">
        <v>3243</v>
      </c>
      <c r="L3993" t="s">
        <v>10828</v>
      </c>
      <c r="M3993" t="s">
        <v>676</v>
      </c>
      <c r="O3993" t="s">
        <v>10829</v>
      </c>
      <c r="Q3993" t="s">
        <v>408</v>
      </c>
      <c r="R3993" t="s">
        <v>261</v>
      </c>
      <c r="S3993" t="s">
        <v>261</v>
      </c>
      <c r="T3993" t="s">
        <v>261</v>
      </c>
      <c r="U3993" t="s">
        <v>261</v>
      </c>
      <c r="V3993" t="s">
        <v>262</v>
      </c>
      <c r="W3993" t="s">
        <v>261</v>
      </c>
      <c r="X3993" t="s">
        <v>261</v>
      </c>
      <c r="Y3993" t="s">
        <v>261</v>
      </c>
      <c r="Z3993" t="s">
        <v>409</v>
      </c>
      <c r="AA3993" t="s">
        <v>409</v>
      </c>
      <c r="AB3993" t="s">
        <v>409</v>
      </c>
      <c r="AC3993" t="s">
        <v>409</v>
      </c>
      <c r="AD3993" t="s">
        <v>261</v>
      </c>
      <c r="AH3993" t="s">
        <v>262</v>
      </c>
      <c r="AI3993" t="s">
        <v>262</v>
      </c>
      <c r="AJ3993" t="s">
        <v>261</v>
      </c>
      <c r="AK3993" t="s">
        <v>261</v>
      </c>
      <c r="AM3993" t="s">
        <v>262</v>
      </c>
      <c r="AN3993" t="s">
        <v>10830</v>
      </c>
    </row>
    <row r="3994" spans="1:40" x14ac:dyDescent="0.35">
      <c r="A3994">
        <v>7014935</v>
      </c>
      <c r="B3994" t="s">
        <v>10831</v>
      </c>
      <c r="C3994" t="str">
        <f>""</f>
        <v/>
      </c>
      <c r="D3994" t="str">
        <f>"9783110622645"</f>
        <v>9783110622645</v>
      </c>
      <c r="E3994" t="s">
        <v>415</v>
      </c>
      <c r="F3994" t="s">
        <v>415</v>
      </c>
      <c r="G3994" s="1">
        <v>43494</v>
      </c>
      <c r="H3994" s="1">
        <v>44726</v>
      </c>
      <c r="I3994" t="s">
        <v>189</v>
      </c>
      <c r="J3994">
        <v>1</v>
      </c>
      <c r="K3994" t="s">
        <v>10673</v>
      </c>
      <c r="L3994" t="s">
        <v>10715</v>
      </c>
      <c r="M3994" t="s">
        <v>676</v>
      </c>
      <c r="Q3994" t="s">
        <v>408</v>
      </c>
      <c r="R3994" t="s">
        <v>261</v>
      </c>
      <c r="S3994" t="s">
        <v>261</v>
      </c>
      <c r="T3994" t="s">
        <v>261</v>
      </c>
      <c r="U3994" t="s">
        <v>261</v>
      </c>
      <c r="V3994" t="s">
        <v>262</v>
      </c>
      <c r="W3994" t="s">
        <v>261</v>
      </c>
      <c r="X3994" t="s">
        <v>261</v>
      </c>
      <c r="Y3994" t="s">
        <v>261</v>
      </c>
      <c r="Z3994" t="s">
        <v>409</v>
      </c>
      <c r="AA3994" t="s">
        <v>409</v>
      </c>
      <c r="AB3994" t="s">
        <v>409</v>
      </c>
      <c r="AC3994" t="s">
        <v>409</v>
      </c>
      <c r="AD3994" t="s">
        <v>261</v>
      </c>
      <c r="AH3994" t="s">
        <v>262</v>
      </c>
      <c r="AI3994" t="s">
        <v>262</v>
      </c>
      <c r="AJ3994" t="s">
        <v>261</v>
      </c>
      <c r="AK3994" t="s">
        <v>261</v>
      </c>
      <c r="AM3994" t="s">
        <v>262</v>
      </c>
      <c r="AN3994" t="s">
        <v>10832</v>
      </c>
    </row>
    <row r="3995" spans="1:40" x14ac:dyDescent="0.35">
      <c r="A3995">
        <v>7014936</v>
      </c>
      <c r="B3995" t="s">
        <v>10833</v>
      </c>
      <c r="C3995" t="str">
        <f>""</f>
        <v/>
      </c>
      <c r="D3995" t="str">
        <f>"9783110718836"</f>
        <v>9783110718836</v>
      </c>
      <c r="E3995" t="s">
        <v>415</v>
      </c>
      <c r="F3995" t="s">
        <v>6576</v>
      </c>
      <c r="G3995" s="1">
        <v>39784</v>
      </c>
      <c r="H3995" s="1">
        <v>44726</v>
      </c>
      <c r="I3995" t="s">
        <v>189</v>
      </c>
      <c r="J3995">
        <v>1</v>
      </c>
      <c r="L3995" t="s">
        <v>10834</v>
      </c>
      <c r="M3995" t="s">
        <v>1831</v>
      </c>
      <c r="Q3995" t="s">
        <v>408</v>
      </c>
      <c r="R3995" t="s">
        <v>261</v>
      </c>
      <c r="S3995" t="s">
        <v>261</v>
      </c>
      <c r="T3995" t="s">
        <v>261</v>
      </c>
      <c r="U3995" t="s">
        <v>261</v>
      </c>
      <c r="V3995" t="s">
        <v>262</v>
      </c>
      <c r="W3995" t="s">
        <v>261</v>
      </c>
      <c r="X3995" t="s">
        <v>261</v>
      </c>
      <c r="Y3995" t="s">
        <v>261</v>
      </c>
      <c r="Z3995" t="s">
        <v>409</v>
      </c>
      <c r="AA3995" t="s">
        <v>409</v>
      </c>
      <c r="AB3995" t="s">
        <v>409</v>
      </c>
      <c r="AC3995" t="s">
        <v>409</v>
      </c>
      <c r="AD3995" t="s">
        <v>261</v>
      </c>
      <c r="AH3995" t="s">
        <v>262</v>
      </c>
      <c r="AI3995" t="s">
        <v>262</v>
      </c>
      <c r="AJ3995" t="s">
        <v>261</v>
      </c>
      <c r="AK3995" t="s">
        <v>261</v>
      </c>
      <c r="AM3995" t="s">
        <v>262</v>
      </c>
      <c r="AN3995" t="s">
        <v>10835</v>
      </c>
    </row>
    <row r="3996" spans="1:40" x14ac:dyDescent="0.35">
      <c r="A3996">
        <v>7014937</v>
      </c>
      <c r="B3996" t="s">
        <v>10836</v>
      </c>
      <c r="C3996" t="str">
        <f>""</f>
        <v/>
      </c>
      <c r="D3996" t="str">
        <f>"9783110715293"</f>
        <v>9783110715293</v>
      </c>
      <c r="E3996" t="s">
        <v>415</v>
      </c>
      <c r="F3996" t="s">
        <v>415</v>
      </c>
      <c r="G3996" s="1">
        <v>44172</v>
      </c>
      <c r="H3996" s="1">
        <v>44726</v>
      </c>
      <c r="I3996" t="s">
        <v>189</v>
      </c>
      <c r="J3996">
        <v>1</v>
      </c>
      <c r="L3996" t="s">
        <v>10837</v>
      </c>
      <c r="M3996" t="s">
        <v>578</v>
      </c>
      <c r="Q3996" t="s">
        <v>408</v>
      </c>
      <c r="R3996" t="s">
        <v>261</v>
      </c>
      <c r="S3996" t="s">
        <v>261</v>
      </c>
      <c r="T3996" t="s">
        <v>261</v>
      </c>
      <c r="U3996" t="s">
        <v>261</v>
      </c>
      <c r="V3996" t="s">
        <v>262</v>
      </c>
      <c r="W3996" t="s">
        <v>261</v>
      </c>
      <c r="X3996" t="s">
        <v>261</v>
      </c>
      <c r="Y3996" t="s">
        <v>261</v>
      </c>
      <c r="Z3996" t="s">
        <v>409</v>
      </c>
      <c r="AA3996" t="s">
        <v>409</v>
      </c>
      <c r="AB3996" t="s">
        <v>409</v>
      </c>
      <c r="AC3996" t="s">
        <v>409</v>
      </c>
      <c r="AD3996" t="s">
        <v>261</v>
      </c>
      <c r="AH3996" t="s">
        <v>262</v>
      </c>
      <c r="AI3996" t="s">
        <v>262</v>
      </c>
      <c r="AJ3996" t="s">
        <v>261</v>
      </c>
      <c r="AK3996" t="s">
        <v>261</v>
      </c>
      <c r="AM3996" t="s">
        <v>262</v>
      </c>
      <c r="AN3996" t="s">
        <v>10838</v>
      </c>
    </row>
    <row r="3997" spans="1:40" x14ac:dyDescent="0.35">
      <c r="A3997">
        <v>7014938</v>
      </c>
      <c r="B3997" t="s">
        <v>10839</v>
      </c>
      <c r="C3997" t="str">
        <f>""</f>
        <v/>
      </c>
      <c r="D3997" t="str">
        <f>"9783110681703"</f>
        <v>9783110681703</v>
      </c>
      <c r="E3997" t="s">
        <v>415</v>
      </c>
      <c r="F3997" t="s">
        <v>415</v>
      </c>
      <c r="G3997" s="1">
        <v>44130</v>
      </c>
      <c r="H3997" s="1">
        <v>44726</v>
      </c>
      <c r="I3997" t="s">
        <v>189</v>
      </c>
      <c r="J3997">
        <v>1</v>
      </c>
      <c r="K3997" t="s">
        <v>1272</v>
      </c>
      <c r="L3997" t="s">
        <v>10840</v>
      </c>
      <c r="M3997" t="s">
        <v>676</v>
      </c>
      <c r="Q3997" t="s">
        <v>408</v>
      </c>
      <c r="R3997" t="s">
        <v>261</v>
      </c>
      <c r="S3997" t="s">
        <v>261</v>
      </c>
      <c r="T3997" t="s">
        <v>261</v>
      </c>
      <c r="U3997" t="s">
        <v>261</v>
      </c>
      <c r="V3997" t="s">
        <v>262</v>
      </c>
      <c r="W3997" t="s">
        <v>261</v>
      </c>
      <c r="X3997" t="s">
        <v>261</v>
      </c>
      <c r="Y3997" t="s">
        <v>261</v>
      </c>
      <c r="Z3997" t="s">
        <v>409</v>
      </c>
      <c r="AA3997" t="s">
        <v>409</v>
      </c>
      <c r="AB3997" t="s">
        <v>409</v>
      </c>
      <c r="AC3997" t="s">
        <v>409</v>
      </c>
      <c r="AD3997" t="s">
        <v>261</v>
      </c>
      <c r="AH3997" t="s">
        <v>262</v>
      </c>
      <c r="AI3997" t="s">
        <v>262</v>
      </c>
      <c r="AJ3997" t="s">
        <v>261</v>
      </c>
      <c r="AK3997" t="s">
        <v>261</v>
      </c>
      <c r="AM3997" t="s">
        <v>262</v>
      </c>
      <c r="AN3997" t="s">
        <v>10841</v>
      </c>
    </row>
    <row r="3998" spans="1:40" x14ac:dyDescent="0.35">
      <c r="A3998">
        <v>7014939</v>
      </c>
      <c r="B3998" t="s">
        <v>10842</v>
      </c>
      <c r="C3998" t="str">
        <f>""</f>
        <v/>
      </c>
      <c r="D3998" t="str">
        <f>"9783868599800"</f>
        <v>9783868599800</v>
      </c>
      <c r="E3998" t="s">
        <v>10843</v>
      </c>
      <c r="F3998" t="s">
        <v>10843</v>
      </c>
      <c r="G3998" s="1">
        <v>44473</v>
      </c>
      <c r="H3998" s="1">
        <v>44726</v>
      </c>
      <c r="I3998" t="s">
        <v>189</v>
      </c>
      <c r="J3998">
        <v>1</v>
      </c>
      <c r="L3998" t="s">
        <v>10844</v>
      </c>
    </row>
    <row r="3999" spans="1:40" x14ac:dyDescent="0.35">
      <c r="A3999">
        <v>7014940</v>
      </c>
      <c r="B3999" t="s">
        <v>10845</v>
      </c>
      <c r="C3999" t="str">
        <f>""</f>
        <v/>
      </c>
      <c r="D3999" t="str">
        <f>"9783110679663"</f>
        <v>9783110679663</v>
      </c>
      <c r="E3999" t="s">
        <v>415</v>
      </c>
      <c r="F3999" t="s">
        <v>416</v>
      </c>
      <c r="G3999" s="1">
        <v>44368</v>
      </c>
      <c r="H3999" s="1">
        <v>44726</v>
      </c>
      <c r="I3999" t="s">
        <v>189</v>
      </c>
      <c r="J3999">
        <v>1</v>
      </c>
      <c r="K3999" t="s">
        <v>347</v>
      </c>
      <c r="L3999" t="s">
        <v>10846</v>
      </c>
    </row>
    <row r="4000" spans="1:40" x14ac:dyDescent="0.35">
      <c r="A4000">
        <v>7014941</v>
      </c>
      <c r="B4000" t="s">
        <v>10847</v>
      </c>
      <c r="C4000" t="str">
        <f>""</f>
        <v/>
      </c>
      <c r="D4000" t="str">
        <f>"9781501511561"</f>
        <v>9781501511561</v>
      </c>
      <c r="E4000" t="s">
        <v>346</v>
      </c>
      <c r="F4000" t="s">
        <v>2637</v>
      </c>
      <c r="G4000" s="1">
        <v>44410</v>
      </c>
      <c r="H4000" s="1">
        <v>44726</v>
      </c>
      <c r="I4000" t="s">
        <v>189</v>
      </c>
      <c r="J4000">
        <v>1</v>
      </c>
      <c r="K4000" t="s">
        <v>10848</v>
      </c>
      <c r="L4000" t="s">
        <v>10849</v>
      </c>
      <c r="M4000" t="s">
        <v>329</v>
      </c>
      <c r="O4000" t="s">
        <v>10850</v>
      </c>
      <c r="Q4000" t="s">
        <v>260</v>
      </c>
      <c r="R4000" t="s">
        <v>261</v>
      </c>
      <c r="S4000" t="s">
        <v>261</v>
      </c>
      <c r="T4000" t="s">
        <v>261</v>
      </c>
      <c r="U4000" t="s">
        <v>261</v>
      </c>
      <c r="V4000" t="s">
        <v>262</v>
      </c>
      <c r="W4000" t="s">
        <v>261</v>
      </c>
      <c r="X4000" t="s">
        <v>261</v>
      </c>
      <c r="Y4000" t="s">
        <v>261</v>
      </c>
      <c r="Z4000" t="s">
        <v>409</v>
      </c>
      <c r="AA4000" t="s">
        <v>409</v>
      </c>
      <c r="AB4000" t="s">
        <v>409</v>
      </c>
      <c r="AC4000" t="s">
        <v>409</v>
      </c>
      <c r="AD4000" t="s">
        <v>261</v>
      </c>
      <c r="AH4000" t="s">
        <v>262</v>
      </c>
      <c r="AI4000" t="s">
        <v>262</v>
      </c>
      <c r="AJ4000" t="s">
        <v>261</v>
      </c>
      <c r="AK4000" t="s">
        <v>261</v>
      </c>
      <c r="AM4000" t="s">
        <v>262</v>
      </c>
      <c r="AN4000" t="s">
        <v>10851</v>
      </c>
    </row>
    <row r="4001" spans="1:40" x14ac:dyDescent="0.35">
      <c r="A4001">
        <v>7014942</v>
      </c>
      <c r="B4001" t="s">
        <v>10852</v>
      </c>
      <c r="C4001" t="str">
        <f>"9783111066103"</f>
        <v>9783111066103</v>
      </c>
      <c r="D4001" t="str">
        <f>"9783111431567"</f>
        <v>9783111431567</v>
      </c>
      <c r="E4001" t="s">
        <v>415</v>
      </c>
      <c r="F4001" t="s">
        <v>415</v>
      </c>
      <c r="G4001" t="s">
        <v>10853</v>
      </c>
      <c r="H4001" s="1">
        <v>44726</v>
      </c>
      <c r="I4001" t="s">
        <v>189</v>
      </c>
      <c r="J4001">
        <v>1</v>
      </c>
      <c r="L4001" t="s">
        <v>10854</v>
      </c>
    </row>
    <row r="4002" spans="1:40" x14ac:dyDescent="0.35">
      <c r="A4002">
        <v>7014943</v>
      </c>
      <c r="B4002" t="s">
        <v>10855</v>
      </c>
      <c r="C4002" t="str">
        <f>""</f>
        <v/>
      </c>
      <c r="D4002" t="str">
        <f>"9783110628548"</f>
        <v>9783110628548</v>
      </c>
      <c r="E4002" t="s">
        <v>415</v>
      </c>
      <c r="F4002" t="s">
        <v>3134</v>
      </c>
      <c r="G4002" s="1">
        <v>43605</v>
      </c>
      <c r="H4002" s="1">
        <v>44726</v>
      </c>
      <c r="I4002" t="s">
        <v>189</v>
      </c>
      <c r="J4002">
        <v>1</v>
      </c>
      <c r="L4002" t="s">
        <v>10856</v>
      </c>
    </row>
    <row r="4003" spans="1:40" x14ac:dyDescent="0.35">
      <c r="A4003">
        <v>7014944</v>
      </c>
      <c r="B4003" t="s">
        <v>10857</v>
      </c>
      <c r="C4003" t="str">
        <f>""</f>
        <v/>
      </c>
      <c r="D4003" t="str">
        <f>"9783111574141"</f>
        <v>9783111574141</v>
      </c>
      <c r="E4003" t="s">
        <v>415</v>
      </c>
      <c r="F4003" t="s">
        <v>415</v>
      </c>
      <c r="G4003" s="1">
        <v>5936</v>
      </c>
      <c r="H4003" s="1">
        <v>44726</v>
      </c>
      <c r="I4003" t="s">
        <v>189</v>
      </c>
      <c r="J4003">
        <v>1</v>
      </c>
      <c r="L4003" t="s">
        <v>10858</v>
      </c>
    </row>
    <row r="4004" spans="1:40" x14ac:dyDescent="0.35">
      <c r="A4004">
        <v>7014945</v>
      </c>
      <c r="B4004" t="s">
        <v>10859</v>
      </c>
      <c r="C4004" t="str">
        <f>"9783110601503"</f>
        <v>9783110601503</v>
      </c>
      <c r="D4004" t="str">
        <f>"9783110601558"</f>
        <v>9783110601558</v>
      </c>
      <c r="E4004" t="s">
        <v>415</v>
      </c>
      <c r="F4004" t="s">
        <v>659</v>
      </c>
      <c r="G4004" s="1">
        <v>43453</v>
      </c>
      <c r="H4004" s="1">
        <v>44726</v>
      </c>
      <c r="I4004" t="s">
        <v>189</v>
      </c>
      <c r="J4004">
        <v>1</v>
      </c>
      <c r="L4004" t="s">
        <v>10860</v>
      </c>
    </row>
    <row r="4005" spans="1:40" x14ac:dyDescent="0.35">
      <c r="A4005">
        <v>7014946</v>
      </c>
      <c r="B4005" t="s">
        <v>10861</v>
      </c>
      <c r="C4005" t="str">
        <f>""</f>
        <v/>
      </c>
      <c r="D4005" t="str">
        <f>"9783111496382"</f>
        <v>9783111496382</v>
      </c>
      <c r="E4005" t="s">
        <v>415</v>
      </c>
      <c r="F4005" t="s">
        <v>415</v>
      </c>
      <c r="G4005" s="1">
        <v>5205</v>
      </c>
      <c r="H4005" s="1">
        <v>44726</v>
      </c>
      <c r="I4005" t="s">
        <v>189</v>
      </c>
      <c r="J4005">
        <v>1</v>
      </c>
      <c r="L4005" t="s">
        <v>10862</v>
      </c>
      <c r="M4005" t="s">
        <v>219</v>
      </c>
      <c r="Q4005" t="s">
        <v>408</v>
      </c>
      <c r="R4005" t="s">
        <v>261</v>
      </c>
      <c r="S4005" t="s">
        <v>261</v>
      </c>
      <c r="T4005" t="s">
        <v>261</v>
      </c>
      <c r="U4005" t="s">
        <v>261</v>
      </c>
      <c r="V4005" t="s">
        <v>262</v>
      </c>
      <c r="W4005" t="s">
        <v>261</v>
      </c>
      <c r="X4005" t="s">
        <v>261</v>
      </c>
      <c r="Y4005" t="s">
        <v>261</v>
      </c>
      <c r="Z4005" t="s">
        <v>409</v>
      </c>
      <c r="AA4005" t="s">
        <v>409</v>
      </c>
      <c r="AB4005" t="s">
        <v>409</v>
      </c>
      <c r="AC4005" t="s">
        <v>409</v>
      </c>
      <c r="AD4005" t="s">
        <v>261</v>
      </c>
      <c r="AH4005" t="s">
        <v>262</v>
      </c>
      <c r="AI4005" t="s">
        <v>262</v>
      </c>
      <c r="AJ4005" t="s">
        <v>261</v>
      </c>
      <c r="AK4005" t="s">
        <v>261</v>
      </c>
      <c r="AM4005" t="s">
        <v>262</v>
      </c>
      <c r="AN4005" t="s">
        <v>10863</v>
      </c>
    </row>
    <row r="4006" spans="1:40" x14ac:dyDescent="0.35">
      <c r="A4006">
        <v>7014947</v>
      </c>
      <c r="B4006" t="s">
        <v>10864</v>
      </c>
      <c r="C4006" t="str">
        <f>""</f>
        <v/>
      </c>
      <c r="D4006" t="str">
        <f>"9783111716343"</f>
        <v>9783111716343</v>
      </c>
      <c r="E4006" t="s">
        <v>415</v>
      </c>
      <c r="F4006" t="s">
        <v>415</v>
      </c>
      <c r="G4006" s="1">
        <v>92</v>
      </c>
      <c r="H4006" s="1">
        <v>44726</v>
      </c>
      <c r="I4006" t="s">
        <v>189</v>
      </c>
      <c r="J4006">
        <v>1</v>
      </c>
      <c r="L4006" t="s">
        <v>10865</v>
      </c>
      <c r="M4006" t="s">
        <v>339</v>
      </c>
      <c r="Q4006" t="s">
        <v>408</v>
      </c>
      <c r="R4006" t="s">
        <v>261</v>
      </c>
      <c r="S4006" t="s">
        <v>261</v>
      </c>
      <c r="T4006" t="s">
        <v>261</v>
      </c>
      <c r="U4006" t="s">
        <v>261</v>
      </c>
      <c r="V4006" t="s">
        <v>262</v>
      </c>
      <c r="W4006" t="s">
        <v>261</v>
      </c>
      <c r="X4006" t="s">
        <v>261</v>
      </c>
      <c r="Y4006" t="s">
        <v>261</v>
      </c>
      <c r="Z4006" t="s">
        <v>409</v>
      </c>
      <c r="AA4006" t="s">
        <v>409</v>
      </c>
      <c r="AB4006" t="s">
        <v>409</v>
      </c>
      <c r="AC4006" t="s">
        <v>409</v>
      </c>
      <c r="AD4006" t="s">
        <v>261</v>
      </c>
      <c r="AH4006" t="s">
        <v>262</v>
      </c>
      <c r="AI4006" t="s">
        <v>262</v>
      </c>
      <c r="AJ4006" t="s">
        <v>261</v>
      </c>
      <c r="AK4006" t="s">
        <v>261</v>
      </c>
      <c r="AM4006" t="s">
        <v>262</v>
      </c>
      <c r="AN4006" t="s">
        <v>10866</v>
      </c>
    </row>
    <row r="4007" spans="1:40" x14ac:dyDescent="0.35">
      <c r="A4007">
        <v>7014948</v>
      </c>
      <c r="B4007" t="s">
        <v>10867</v>
      </c>
      <c r="C4007" t="str">
        <f>""</f>
        <v/>
      </c>
      <c r="D4007" t="str">
        <f>"9783110661941"</f>
        <v>9783110661941</v>
      </c>
      <c r="E4007" t="s">
        <v>415</v>
      </c>
      <c r="F4007" t="s">
        <v>415</v>
      </c>
      <c r="G4007" s="1">
        <v>44355</v>
      </c>
      <c r="H4007" s="1">
        <v>44726</v>
      </c>
      <c r="I4007" t="s">
        <v>189</v>
      </c>
      <c r="J4007">
        <v>1</v>
      </c>
      <c r="K4007" t="s">
        <v>10868</v>
      </c>
      <c r="L4007" t="s">
        <v>10869</v>
      </c>
    </row>
    <row r="4008" spans="1:40" x14ac:dyDescent="0.35">
      <c r="A4008">
        <v>7014949</v>
      </c>
      <c r="B4008" t="s">
        <v>10870</v>
      </c>
      <c r="C4008" t="str">
        <f>""</f>
        <v/>
      </c>
      <c r="D4008" t="str">
        <f>"9783110880038"</f>
        <v>9783110880038</v>
      </c>
      <c r="E4008" t="s">
        <v>346</v>
      </c>
      <c r="F4008" t="s">
        <v>2637</v>
      </c>
      <c r="G4008" s="1">
        <v>30468</v>
      </c>
      <c r="H4008" s="1">
        <v>44726</v>
      </c>
      <c r="I4008" t="s">
        <v>189</v>
      </c>
      <c r="J4008">
        <v>1</v>
      </c>
      <c r="L4008" t="s">
        <v>10871</v>
      </c>
    </row>
    <row r="4009" spans="1:40" x14ac:dyDescent="0.35">
      <c r="A4009">
        <v>7014950</v>
      </c>
      <c r="B4009" t="s">
        <v>10872</v>
      </c>
      <c r="C4009" t="str">
        <f>""</f>
        <v/>
      </c>
      <c r="D4009" t="str">
        <f>"9783110757279"</f>
        <v>9783110757279</v>
      </c>
      <c r="E4009" t="s">
        <v>415</v>
      </c>
      <c r="F4009" t="s">
        <v>415</v>
      </c>
      <c r="G4009" s="1">
        <v>44522</v>
      </c>
      <c r="H4009" s="1">
        <v>44726</v>
      </c>
      <c r="I4009" t="s">
        <v>189</v>
      </c>
      <c r="J4009">
        <v>1</v>
      </c>
      <c r="K4009" t="s">
        <v>354</v>
      </c>
      <c r="L4009" t="s">
        <v>10873</v>
      </c>
    </row>
    <row r="4010" spans="1:40" x14ac:dyDescent="0.35">
      <c r="A4010">
        <v>7014951</v>
      </c>
      <c r="B4010" t="s">
        <v>10874</v>
      </c>
      <c r="C4010" t="str">
        <f>""</f>
        <v/>
      </c>
      <c r="D4010" t="str">
        <f>"9783110722055"</f>
        <v>9783110722055</v>
      </c>
      <c r="E4010" t="s">
        <v>415</v>
      </c>
      <c r="F4010" t="s">
        <v>415</v>
      </c>
      <c r="G4010" s="1">
        <v>44410</v>
      </c>
      <c r="H4010" s="1">
        <v>44726</v>
      </c>
      <c r="I4010" t="s">
        <v>189</v>
      </c>
      <c r="J4010">
        <v>1</v>
      </c>
      <c r="K4010" t="s">
        <v>10566</v>
      </c>
      <c r="L4010" t="s">
        <v>10875</v>
      </c>
      <c r="M4010" t="s">
        <v>239</v>
      </c>
    </row>
    <row r="4011" spans="1:40" x14ac:dyDescent="0.35">
      <c r="A4011">
        <v>7014952</v>
      </c>
      <c r="B4011" t="s">
        <v>10876</v>
      </c>
      <c r="C4011" t="str">
        <f>""</f>
        <v/>
      </c>
      <c r="D4011" t="str">
        <f>"9783486774801"</f>
        <v>9783486774801</v>
      </c>
      <c r="E4011" t="s">
        <v>415</v>
      </c>
      <c r="F4011" t="s">
        <v>665</v>
      </c>
      <c r="G4011" s="1">
        <v>14977</v>
      </c>
      <c r="H4011" s="1">
        <v>44726</v>
      </c>
      <c r="I4011" t="s">
        <v>189</v>
      </c>
      <c r="J4011">
        <v>1</v>
      </c>
      <c r="K4011" t="s">
        <v>10877</v>
      </c>
      <c r="L4011" t="s">
        <v>10878</v>
      </c>
      <c r="M4011" t="s">
        <v>199</v>
      </c>
      <c r="Q4011" t="s">
        <v>408</v>
      </c>
      <c r="R4011" t="s">
        <v>261</v>
      </c>
      <c r="S4011" t="s">
        <v>261</v>
      </c>
      <c r="T4011" t="s">
        <v>261</v>
      </c>
      <c r="U4011" t="s">
        <v>261</v>
      </c>
      <c r="V4011" t="s">
        <v>262</v>
      </c>
      <c r="W4011" t="s">
        <v>261</v>
      </c>
      <c r="X4011" t="s">
        <v>261</v>
      </c>
      <c r="Y4011" t="s">
        <v>261</v>
      </c>
      <c r="Z4011" t="s">
        <v>409</v>
      </c>
      <c r="AA4011" t="s">
        <v>409</v>
      </c>
      <c r="AB4011" t="s">
        <v>409</v>
      </c>
      <c r="AC4011" t="s">
        <v>409</v>
      </c>
      <c r="AD4011" t="s">
        <v>261</v>
      </c>
      <c r="AH4011" t="s">
        <v>262</v>
      </c>
      <c r="AI4011" t="s">
        <v>262</v>
      </c>
      <c r="AJ4011" t="s">
        <v>261</v>
      </c>
      <c r="AK4011" t="s">
        <v>261</v>
      </c>
      <c r="AM4011" t="s">
        <v>262</v>
      </c>
      <c r="AN4011" t="s">
        <v>10879</v>
      </c>
    </row>
    <row r="4012" spans="1:40" x14ac:dyDescent="0.35">
      <c r="A4012">
        <v>7014953</v>
      </c>
      <c r="B4012" t="s">
        <v>10880</v>
      </c>
      <c r="C4012" t="str">
        <f>""</f>
        <v/>
      </c>
      <c r="D4012" t="str">
        <f>"9783110720273"</f>
        <v>9783110720273</v>
      </c>
      <c r="E4012" t="s">
        <v>415</v>
      </c>
      <c r="F4012" t="s">
        <v>6576</v>
      </c>
      <c r="G4012" s="1">
        <v>42510</v>
      </c>
      <c r="H4012" s="1">
        <v>44726</v>
      </c>
      <c r="I4012" t="s">
        <v>189</v>
      </c>
      <c r="J4012">
        <v>1</v>
      </c>
      <c r="K4012" t="s">
        <v>10678</v>
      </c>
      <c r="L4012" t="s">
        <v>10881</v>
      </c>
      <c r="M4012" t="s">
        <v>676</v>
      </c>
      <c r="Q4012" t="s">
        <v>260</v>
      </c>
      <c r="R4012" t="s">
        <v>261</v>
      </c>
      <c r="S4012" t="s">
        <v>261</v>
      </c>
      <c r="T4012" t="s">
        <v>261</v>
      </c>
      <c r="U4012" t="s">
        <v>261</v>
      </c>
      <c r="V4012" t="s">
        <v>262</v>
      </c>
      <c r="W4012" t="s">
        <v>261</v>
      </c>
      <c r="X4012" t="s">
        <v>261</v>
      </c>
      <c r="Y4012" t="s">
        <v>261</v>
      </c>
      <c r="Z4012" t="s">
        <v>409</v>
      </c>
      <c r="AA4012" t="s">
        <v>409</v>
      </c>
      <c r="AB4012" t="s">
        <v>409</v>
      </c>
      <c r="AC4012" t="s">
        <v>409</v>
      </c>
      <c r="AD4012" t="s">
        <v>261</v>
      </c>
      <c r="AH4012" t="s">
        <v>262</v>
      </c>
      <c r="AI4012" t="s">
        <v>262</v>
      </c>
      <c r="AJ4012" t="s">
        <v>261</v>
      </c>
      <c r="AK4012" t="s">
        <v>261</v>
      </c>
      <c r="AM4012" t="s">
        <v>262</v>
      </c>
      <c r="AN4012" t="s">
        <v>10882</v>
      </c>
    </row>
    <row r="4013" spans="1:40" x14ac:dyDescent="0.35">
      <c r="A4013">
        <v>7014954</v>
      </c>
      <c r="B4013" t="s">
        <v>10883</v>
      </c>
      <c r="C4013" t="str">
        <f>""</f>
        <v/>
      </c>
      <c r="D4013" t="str">
        <f>"9783111708645"</f>
        <v>9783111708645</v>
      </c>
      <c r="E4013" t="s">
        <v>415</v>
      </c>
      <c r="F4013" t="s">
        <v>415</v>
      </c>
      <c r="G4013" s="1">
        <v>27120</v>
      </c>
      <c r="H4013" s="1">
        <v>44726</v>
      </c>
      <c r="I4013" t="s">
        <v>189</v>
      </c>
      <c r="J4013">
        <v>1</v>
      </c>
      <c r="K4013" t="s">
        <v>10663</v>
      </c>
      <c r="L4013" t="s">
        <v>10884</v>
      </c>
      <c r="M4013" t="s">
        <v>316</v>
      </c>
      <c r="Q4013" t="s">
        <v>408</v>
      </c>
      <c r="R4013" t="s">
        <v>261</v>
      </c>
      <c r="S4013" t="s">
        <v>261</v>
      </c>
      <c r="T4013" t="s">
        <v>261</v>
      </c>
      <c r="U4013" t="s">
        <v>261</v>
      </c>
      <c r="V4013" t="s">
        <v>262</v>
      </c>
      <c r="W4013" t="s">
        <v>261</v>
      </c>
      <c r="X4013" t="s">
        <v>261</v>
      </c>
      <c r="Y4013" t="s">
        <v>261</v>
      </c>
      <c r="Z4013" t="s">
        <v>409</v>
      </c>
      <c r="AA4013" t="s">
        <v>409</v>
      </c>
      <c r="AB4013" t="s">
        <v>409</v>
      </c>
      <c r="AC4013" t="s">
        <v>409</v>
      </c>
      <c r="AD4013" t="s">
        <v>261</v>
      </c>
      <c r="AH4013" t="s">
        <v>262</v>
      </c>
      <c r="AI4013" t="s">
        <v>262</v>
      </c>
      <c r="AJ4013" t="s">
        <v>261</v>
      </c>
      <c r="AK4013" t="s">
        <v>261</v>
      </c>
      <c r="AM4013" t="s">
        <v>262</v>
      </c>
      <c r="AN4013" t="s">
        <v>10885</v>
      </c>
    </row>
    <row r="4014" spans="1:40" x14ac:dyDescent="0.35">
      <c r="A4014">
        <v>7014955</v>
      </c>
      <c r="B4014" t="s">
        <v>10886</v>
      </c>
      <c r="C4014" t="str">
        <f>""</f>
        <v/>
      </c>
      <c r="D4014" t="str">
        <f>"9783110655162"</f>
        <v>9783110655162</v>
      </c>
      <c r="E4014" t="s">
        <v>415</v>
      </c>
      <c r="F4014" t="s">
        <v>665</v>
      </c>
      <c r="G4014" s="1">
        <v>24108</v>
      </c>
      <c r="H4014" s="1">
        <v>44726</v>
      </c>
      <c r="I4014" t="s">
        <v>189</v>
      </c>
      <c r="J4014">
        <v>1</v>
      </c>
      <c r="L4014" t="s">
        <v>10887</v>
      </c>
    </row>
    <row r="4015" spans="1:40" x14ac:dyDescent="0.35">
      <c r="A4015">
        <v>7014956</v>
      </c>
      <c r="B4015" t="s">
        <v>10888</v>
      </c>
      <c r="C4015" t="str">
        <f>""</f>
        <v/>
      </c>
      <c r="D4015" t="str">
        <f>"9783110629675"</f>
        <v>9783110629675</v>
      </c>
      <c r="E4015" t="s">
        <v>415</v>
      </c>
      <c r="F4015" t="s">
        <v>415</v>
      </c>
      <c r="G4015" s="1">
        <v>44536</v>
      </c>
      <c r="H4015" s="1">
        <v>44726</v>
      </c>
      <c r="I4015" t="s">
        <v>189</v>
      </c>
      <c r="J4015">
        <v>1</v>
      </c>
      <c r="L4015" t="s">
        <v>2893</v>
      </c>
    </row>
    <row r="4016" spans="1:40" x14ac:dyDescent="0.35">
      <c r="A4016">
        <v>7014957</v>
      </c>
      <c r="B4016" t="s">
        <v>10889</v>
      </c>
      <c r="C4016" t="str">
        <f>""</f>
        <v/>
      </c>
      <c r="D4016" t="str">
        <f>"9783111584430"</f>
        <v>9783111584430</v>
      </c>
      <c r="E4016" t="s">
        <v>415</v>
      </c>
      <c r="F4016" t="s">
        <v>415</v>
      </c>
      <c r="G4016" t="s">
        <v>10890</v>
      </c>
      <c r="H4016" s="1">
        <v>44726</v>
      </c>
      <c r="I4016" t="s">
        <v>189</v>
      </c>
      <c r="J4016">
        <v>1</v>
      </c>
      <c r="L4016" t="s">
        <v>10891</v>
      </c>
      <c r="M4016" t="s">
        <v>219</v>
      </c>
      <c r="Q4016" t="s">
        <v>408</v>
      </c>
      <c r="R4016" t="s">
        <v>261</v>
      </c>
      <c r="S4016" t="s">
        <v>261</v>
      </c>
      <c r="T4016" t="s">
        <v>261</v>
      </c>
      <c r="U4016" t="s">
        <v>261</v>
      </c>
      <c r="V4016" t="s">
        <v>262</v>
      </c>
      <c r="W4016" t="s">
        <v>261</v>
      </c>
      <c r="X4016" t="s">
        <v>261</v>
      </c>
      <c r="Y4016" t="s">
        <v>261</v>
      </c>
      <c r="Z4016" t="s">
        <v>409</v>
      </c>
      <c r="AA4016" t="s">
        <v>409</v>
      </c>
      <c r="AB4016" t="s">
        <v>409</v>
      </c>
      <c r="AC4016" t="s">
        <v>409</v>
      </c>
      <c r="AD4016" t="s">
        <v>261</v>
      </c>
      <c r="AH4016" t="s">
        <v>262</v>
      </c>
      <c r="AI4016" t="s">
        <v>262</v>
      </c>
      <c r="AJ4016" t="s">
        <v>261</v>
      </c>
      <c r="AK4016" t="s">
        <v>261</v>
      </c>
      <c r="AM4016" t="s">
        <v>262</v>
      </c>
      <c r="AN4016" t="s">
        <v>10892</v>
      </c>
    </row>
    <row r="4017" spans="1:40" x14ac:dyDescent="0.35">
      <c r="A4017">
        <v>7014958</v>
      </c>
      <c r="B4017" t="s">
        <v>10893</v>
      </c>
      <c r="C4017" t="str">
        <f>""</f>
        <v/>
      </c>
      <c r="D4017" t="str">
        <f>"9783110674194"</f>
        <v>9783110674194</v>
      </c>
      <c r="E4017" t="s">
        <v>415</v>
      </c>
      <c r="F4017" t="s">
        <v>415</v>
      </c>
      <c r="G4017" s="1">
        <v>44446</v>
      </c>
      <c r="H4017" s="1">
        <v>44726</v>
      </c>
      <c r="I4017" t="s">
        <v>189</v>
      </c>
      <c r="J4017">
        <v>1</v>
      </c>
      <c r="L4017" t="s">
        <v>10894</v>
      </c>
    </row>
    <row r="4018" spans="1:40" x14ac:dyDescent="0.35">
      <c r="A4018">
        <v>7014959</v>
      </c>
      <c r="B4018" t="s">
        <v>10895</v>
      </c>
      <c r="C4018" t="str">
        <f>"9783486559026"</f>
        <v>9783486559026</v>
      </c>
      <c r="D4018" t="str">
        <f>"9783486594218"</f>
        <v>9783486594218</v>
      </c>
      <c r="E4018" t="s">
        <v>415</v>
      </c>
      <c r="F4018" t="s">
        <v>665</v>
      </c>
      <c r="G4018" s="1">
        <v>33893</v>
      </c>
      <c r="H4018" s="1">
        <v>44726</v>
      </c>
      <c r="I4018" t="s">
        <v>189</v>
      </c>
      <c r="J4018">
        <v>1</v>
      </c>
      <c r="K4018" t="s">
        <v>1387</v>
      </c>
      <c r="L4018" t="s">
        <v>10896</v>
      </c>
    </row>
    <row r="4019" spans="1:40" x14ac:dyDescent="0.35">
      <c r="A4019">
        <v>7014960</v>
      </c>
      <c r="B4019" t="s">
        <v>10897</v>
      </c>
      <c r="C4019" t="str">
        <f>""</f>
        <v/>
      </c>
      <c r="D4019" t="str">
        <f>"9783110707489"</f>
        <v>9783110707489</v>
      </c>
      <c r="E4019" t="s">
        <v>415</v>
      </c>
      <c r="F4019" t="s">
        <v>415</v>
      </c>
      <c r="G4019" s="1">
        <v>44494</v>
      </c>
      <c r="H4019" s="1">
        <v>44726</v>
      </c>
      <c r="I4019" t="s">
        <v>189</v>
      </c>
      <c r="J4019">
        <v>1</v>
      </c>
      <c r="L4019" t="s">
        <v>10898</v>
      </c>
    </row>
    <row r="4020" spans="1:40" x14ac:dyDescent="0.35">
      <c r="A4020">
        <v>7014961</v>
      </c>
      <c r="B4020" t="s">
        <v>10899</v>
      </c>
      <c r="C4020" t="str">
        <f>""</f>
        <v/>
      </c>
      <c r="D4020" t="str">
        <f>"9783486757422"</f>
        <v>9783486757422</v>
      </c>
      <c r="E4020" t="s">
        <v>415</v>
      </c>
      <c r="F4020" t="s">
        <v>665</v>
      </c>
      <c r="G4020" s="1">
        <v>10594</v>
      </c>
      <c r="H4020" s="1">
        <v>44726</v>
      </c>
      <c r="I4020" t="s">
        <v>189</v>
      </c>
      <c r="J4020">
        <v>1</v>
      </c>
      <c r="L4020" t="s">
        <v>10900</v>
      </c>
    </row>
    <row r="4021" spans="1:40" x14ac:dyDescent="0.35">
      <c r="A4021">
        <v>7014962</v>
      </c>
      <c r="B4021" t="s">
        <v>10901</v>
      </c>
      <c r="C4021" t="str">
        <f>""</f>
        <v/>
      </c>
      <c r="D4021" t="str">
        <f>"9783110845273"</f>
        <v>9783110845273</v>
      </c>
      <c r="E4021" t="s">
        <v>415</v>
      </c>
      <c r="F4021" t="s">
        <v>415</v>
      </c>
      <c r="G4021" s="1">
        <v>23163</v>
      </c>
      <c r="H4021" s="1">
        <v>44726</v>
      </c>
      <c r="I4021" t="s">
        <v>189</v>
      </c>
      <c r="J4021">
        <v>1</v>
      </c>
      <c r="K4021" t="s">
        <v>10902</v>
      </c>
      <c r="L4021" t="s">
        <v>10903</v>
      </c>
    </row>
    <row r="4022" spans="1:40" x14ac:dyDescent="0.35">
      <c r="A4022">
        <v>7014963</v>
      </c>
      <c r="B4022" t="s">
        <v>10904</v>
      </c>
      <c r="C4022" t="str">
        <f>""</f>
        <v/>
      </c>
      <c r="D4022" t="str">
        <f>"9783110664270"</f>
        <v>9783110664270</v>
      </c>
      <c r="E4022" t="s">
        <v>415</v>
      </c>
      <c r="F4022" t="s">
        <v>665</v>
      </c>
      <c r="G4022" s="1">
        <v>44355</v>
      </c>
      <c r="H4022" s="1">
        <v>44726</v>
      </c>
      <c r="I4022" t="s">
        <v>189</v>
      </c>
      <c r="J4022">
        <v>1</v>
      </c>
      <c r="K4022" t="s">
        <v>10905</v>
      </c>
      <c r="L4022" t="s">
        <v>10906</v>
      </c>
    </row>
    <row r="4023" spans="1:40" x14ac:dyDescent="0.35">
      <c r="A4023">
        <v>7014964</v>
      </c>
      <c r="B4023" t="s">
        <v>10907</v>
      </c>
      <c r="C4023" t="str">
        <f>""</f>
        <v/>
      </c>
      <c r="D4023" t="str">
        <f>"9783486823363"</f>
        <v>9783486823363</v>
      </c>
      <c r="E4023" t="s">
        <v>415</v>
      </c>
      <c r="F4023" t="s">
        <v>665</v>
      </c>
      <c r="G4023" s="1">
        <v>30494</v>
      </c>
      <c r="H4023" s="1">
        <v>44726</v>
      </c>
      <c r="I4023" t="s">
        <v>189</v>
      </c>
      <c r="J4023">
        <v>1</v>
      </c>
      <c r="K4023" t="s">
        <v>10908</v>
      </c>
      <c r="L4023" t="s">
        <v>10909</v>
      </c>
      <c r="M4023" t="s">
        <v>329</v>
      </c>
      <c r="Q4023" t="s">
        <v>408</v>
      </c>
      <c r="R4023" t="s">
        <v>261</v>
      </c>
      <c r="S4023" t="s">
        <v>261</v>
      </c>
      <c r="T4023" t="s">
        <v>261</v>
      </c>
      <c r="U4023" t="s">
        <v>261</v>
      </c>
      <c r="V4023" t="s">
        <v>262</v>
      </c>
      <c r="W4023" t="s">
        <v>261</v>
      </c>
      <c r="X4023" t="s">
        <v>261</v>
      </c>
      <c r="Y4023" t="s">
        <v>261</v>
      </c>
      <c r="Z4023" t="s">
        <v>409</v>
      </c>
      <c r="AA4023" t="s">
        <v>409</v>
      </c>
      <c r="AB4023" t="s">
        <v>409</v>
      </c>
      <c r="AC4023" t="s">
        <v>409</v>
      </c>
      <c r="AD4023" t="s">
        <v>261</v>
      </c>
      <c r="AH4023" t="s">
        <v>262</v>
      </c>
      <c r="AI4023" t="s">
        <v>262</v>
      </c>
      <c r="AJ4023" t="s">
        <v>261</v>
      </c>
      <c r="AK4023" t="s">
        <v>261</v>
      </c>
      <c r="AM4023" t="s">
        <v>262</v>
      </c>
      <c r="AN4023" t="s">
        <v>10910</v>
      </c>
    </row>
    <row r="4024" spans="1:40" x14ac:dyDescent="0.35">
      <c r="A4024">
        <v>7014965</v>
      </c>
      <c r="B4024" t="s">
        <v>10911</v>
      </c>
      <c r="C4024" t="str">
        <f>""</f>
        <v/>
      </c>
      <c r="D4024" t="str">
        <f>"9783110734690"</f>
        <v>9783110734690</v>
      </c>
      <c r="E4024" t="s">
        <v>346</v>
      </c>
      <c r="F4024" t="s">
        <v>2637</v>
      </c>
      <c r="G4024" s="1">
        <v>44396</v>
      </c>
      <c r="H4024" s="1">
        <v>44726</v>
      </c>
      <c r="I4024" t="s">
        <v>189</v>
      </c>
      <c r="J4024">
        <v>1</v>
      </c>
      <c r="K4024" t="s">
        <v>2357</v>
      </c>
      <c r="L4024" t="s">
        <v>10912</v>
      </c>
    </row>
    <row r="4025" spans="1:40" x14ac:dyDescent="0.35">
      <c r="A4025">
        <v>7014966</v>
      </c>
      <c r="B4025" t="s">
        <v>10913</v>
      </c>
      <c r="C4025" t="str">
        <f>""</f>
        <v/>
      </c>
      <c r="D4025" t="str">
        <f>"9783110675788"</f>
        <v>9783110675788</v>
      </c>
      <c r="E4025" t="s">
        <v>415</v>
      </c>
      <c r="F4025" t="s">
        <v>665</v>
      </c>
      <c r="G4025" s="1">
        <v>44536</v>
      </c>
      <c r="H4025" s="1">
        <v>44726</v>
      </c>
      <c r="I4025" t="s">
        <v>189</v>
      </c>
      <c r="J4025">
        <v>1</v>
      </c>
      <c r="L4025" t="s">
        <v>6881</v>
      </c>
      <c r="M4025" t="s">
        <v>239</v>
      </c>
      <c r="Q4025" t="s">
        <v>408</v>
      </c>
      <c r="R4025" t="s">
        <v>261</v>
      </c>
      <c r="S4025" t="s">
        <v>261</v>
      </c>
      <c r="T4025" t="s">
        <v>261</v>
      </c>
      <c r="U4025" t="s">
        <v>261</v>
      </c>
      <c r="V4025" t="s">
        <v>262</v>
      </c>
      <c r="W4025" t="s">
        <v>261</v>
      </c>
      <c r="X4025" t="s">
        <v>261</v>
      </c>
      <c r="Y4025" t="s">
        <v>261</v>
      </c>
      <c r="Z4025" t="s">
        <v>409</v>
      </c>
      <c r="AA4025" t="s">
        <v>409</v>
      </c>
      <c r="AB4025" t="s">
        <v>409</v>
      </c>
      <c r="AC4025" t="s">
        <v>409</v>
      </c>
      <c r="AD4025" t="s">
        <v>261</v>
      </c>
      <c r="AH4025" t="s">
        <v>262</v>
      </c>
      <c r="AI4025" t="s">
        <v>262</v>
      </c>
      <c r="AJ4025" t="s">
        <v>261</v>
      </c>
      <c r="AK4025" t="s">
        <v>261</v>
      </c>
      <c r="AM4025" t="s">
        <v>262</v>
      </c>
      <c r="AN4025" t="s">
        <v>10914</v>
      </c>
    </row>
    <row r="4026" spans="1:40" x14ac:dyDescent="0.35">
      <c r="A4026">
        <v>7014967</v>
      </c>
      <c r="B4026" t="s">
        <v>10915</v>
      </c>
      <c r="C4026" t="str">
        <f>"9783110586343"</f>
        <v>9783110586343</v>
      </c>
      <c r="D4026" t="str">
        <f>"9783110586374"</f>
        <v>9783110586374</v>
      </c>
      <c r="E4026" t="s">
        <v>415</v>
      </c>
      <c r="F4026" t="s">
        <v>415</v>
      </c>
      <c r="G4026" s="1">
        <v>43395</v>
      </c>
      <c r="H4026" s="1">
        <v>44726</v>
      </c>
      <c r="I4026" t="s">
        <v>189</v>
      </c>
      <c r="J4026">
        <v>1</v>
      </c>
      <c r="K4026" t="s">
        <v>6746</v>
      </c>
      <c r="L4026" t="s">
        <v>6747</v>
      </c>
    </row>
    <row r="4027" spans="1:40" x14ac:dyDescent="0.35">
      <c r="A4027">
        <v>7014968</v>
      </c>
      <c r="B4027" t="s">
        <v>10916</v>
      </c>
      <c r="C4027" t="str">
        <f>""</f>
        <v/>
      </c>
      <c r="D4027" t="str">
        <f>"9783110735574"</f>
        <v>9783110735574</v>
      </c>
      <c r="E4027" t="s">
        <v>415</v>
      </c>
      <c r="F4027" t="s">
        <v>415</v>
      </c>
      <c r="G4027" s="1">
        <v>44326</v>
      </c>
      <c r="H4027" s="1">
        <v>44726</v>
      </c>
      <c r="I4027" t="s">
        <v>189</v>
      </c>
      <c r="J4027">
        <v>1</v>
      </c>
      <c r="K4027" t="s">
        <v>354</v>
      </c>
      <c r="L4027" t="s">
        <v>10917</v>
      </c>
      <c r="M4027" t="s">
        <v>239</v>
      </c>
    </row>
    <row r="4028" spans="1:40" x14ac:dyDescent="0.35">
      <c r="A4028">
        <v>7014969</v>
      </c>
      <c r="B4028" t="s">
        <v>10918</v>
      </c>
      <c r="C4028" t="str">
        <f>""</f>
        <v/>
      </c>
      <c r="D4028" t="str">
        <f>"9783486778342"</f>
        <v>9783486778342</v>
      </c>
      <c r="E4028" t="s">
        <v>415</v>
      </c>
      <c r="F4028" t="s">
        <v>665</v>
      </c>
      <c r="G4028" s="1">
        <v>18719</v>
      </c>
      <c r="H4028" s="1">
        <v>44726</v>
      </c>
      <c r="I4028" t="s">
        <v>189</v>
      </c>
      <c r="J4028">
        <v>1</v>
      </c>
      <c r="L4028" t="s">
        <v>10919</v>
      </c>
      <c r="M4028" t="s">
        <v>239</v>
      </c>
    </row>
    <row r="4029" spans="1:40" x14ac:dyDescent="0.35">
      <c r="A4029">
        <v>7014970</v>
      </c>
      <c r="B4029" t="s">
        <v>10920</v>
      </c>
      <c r="C4029" t="str">
        <f>""</f>
        <v/>
      </c>
      <c r="D4029" t="str">
        <f>"9783111689692"</f>
        <v>9783111689692</v>
      </c>
      <c r="E4029" t="s">
        <v>415</v>
      </c>
      <c r="F4029" t="s">
        <v>415</v>
      </c>
      <c r="G4029" s="1">
        <v>457</v>
      </c>
      <c r="H4029" s="1">
        <v>44726</v>
      </c>
      <c r="I4029" t="s">
        <v>189</v>
      </c>
      <c r="J4029">
        <v>1</v>
      </c>
      <c r="L4029" t="s">
        <v>10921</v>
      </c>
      <c r="M4029" t="s">
        <v>219</v>
      </c>
      <c r="Q4029" t="s">
        <v>408</v>
      </c>
      <c r="R4029" t="s">
        <v>261</v>
      </c>
      <c r="S4029" t="s">
        <v>261</v>
      </c>
      <c r="T4029" t="s">
        <v>261</v>
      </c>
      <c r="U4029" t="s">
        <v>261</v>
      </c>
      <c r="V4029" t="s">
        <v>262</v>
      </c>
      <c r="W4029" t="s">
        <v>261</v>
      </c>
      <c r="X4029" t="s">
        <v>261</v>
      </c>
      <c r="Y4029" t="s">
        <v>261</v>
      </c>
      <c r="Z4029" t="s">
        <v>409</v>
      </c>
      <c r="AA4029" t="s">
        <v>409</v>
      </c>
      <c r="AB4029" t="s">
        <v>409</v>
      </c>
      <c r="AC4029" t="s">
        <v>409</v>
      </c>
      <c r="AD4029" t="s">
        <v>261</v>
      </c>
      <c r="AH4029" t="s">
        <v>262</v>
      </c>
      <c r="AI4029" t="s">
        <v>262</v>
      </c>
      <c r="AJ4029" t="s">
        <v>261</v>
      </c>
      <c r="AK4029" t="s">
        <v>261</v>
      </c>
      <c r="AM4029" t="s">
        <v>262</v>
      </c>
      <c r="AN4029" t="s">
        <v>10922</v>
      </c>
    </row>
    <row r="4030" spans="1:40" x14ac:dyDescent="0.35">
      <c r="A4030">
        <v>7014971</v>
      </c>
      <c r="B4030" t="s">
        <v>10923</v>
      </c>
      <c r="C4030" t="str">
        <f>""</f>
        <v/>
      </c>
      <c r="D4030" t="str">
        <f>"9783110891041"</f>
        <v>9783110891041</v>
      </c>
      <c r="E4030" t="s">
        <v>346</v>
      </c>
      <c r="F4030" t="s">
        <v>2637</v>
      </c>
      <c r="G4030" s="1">
        <v>26299</v>
      </c>
      <c r="H4030" s="1">
        <v>44732</v>
      </c>
      <c r="I4030" t="s">
        <v>189</v>
      </c>
      <c r="J4030">
        <v>1</v>
      </c>
      <c r="K4030" t="s">
        <v>10924</v>
      </c>
      <c r="M4030" t="s">
        <v>249</v>
      </c>
    </row>
    <row r="4031" spans="1:40" x14ac:dyDescent="0.35">
      <c r="A4031">
        <v>7014972</v>
      </c>
      <c r="B4031" t="s">
        <v>10925</v>
      </c>
      <c r="C4031" t="str">
        <f>""</f>
        <v/>
      </c>
      <c r="D4031" t="str">
        <f>"9783111569598"</f>
        <v>9783111569598</v>
      </c>
      <c r="E4031" t="s">
        <v>415</v>
      </c>
      <c r="F4031" t="s">
        <v>415</v>
      </c>
      <c r="G4031" s="1">
        <v>1187</v>
      </c>
      <c r="H4031" s="1">
        <v>44726</v>
      </c>
      <c r="I4031" t="s">
        <v>189</v>
      </c>
      <c r="J4031">
        <v>1</v>
      </c>
      <c r="L4031" t="s">
        <v>10926</v>
      </c>
      <c r="M4031" t="s">
        <v>239</v>
      </c>
      <c r="Q4031" t="s">
        <v>408</v>
      </c>
      <c r="R4031" t="s">
        <v>261</v>
      </c>
      <c r="S4031" t="s">
        <v>261</v>
      </c>
      <c r="T4031" t="s">
        <v>261</v>
      </c>
      <c r="U4031" t="s">
        <v>261</v>
      </c>
      <c r="V4031" t="s">
        <v>262</v>
      </c>
      <c r="W4031" t="s">
        <v>261</v>
      </c>
      <c r="X4031" t="s">
        <v>261</v>
      </c>
      <c r="Y4031" t="s">
        <v>261</v>
      </c>
      <c r="Z4031" t="s">
        <v>409</v>
      </c>
      <c r="AA4031" t="s">
        <v>409</v>
      </c>
      <c r="AB4031" t="s">
        <v>409</v>
      </c>
      <c r="AC4031" t="s">
        <v>409</v>
      </c>
      <c r="AD4031" t="s">
        <v>261</v>
      </c>
      <c r="AH4031" t="s">
        <v>262</v>
      </c>
      <c r="AI4031" t="s">
        <v>262</v>
      </c>
      <c r="AJ4031" t="s">
        <v>261</v>
      </c>
      <c r="AK4031" t="s">
        <v>261</v>
      </c>
      <c r="AM4031" t="s">
        <v>262</v>
      </c>
      <c r="AN4031" t="s">
        <v>10927</v>
      </c>
    </row>
    <row r="4032" spans="1:40" x14ac:dyDescent="0.35">
      <c r="A4032">
        <v>7014973</v>
      </c>
      <c r="B4032" t="s">
        <v>10928</v>
      </c>
      <c r="C4032" t="str">
        <f>"9783110601251"</f>
        <v>9783110601251</v>
      </c>
      <c r="D4032" t="str">
        <f>"9783110601268"</f>
        <v>9783110601268</v>
      </c>
      <c r="E4032" t="s">
        <v>415</v>
      </c>
      <c r="F4032" t="s">
        <v>415</v>
      </c>
      <c r="G4032" s="1">
        <v>43395</v>
      </c>
      <c r="H4032" s="1">
        <v>44726</v>
      </c>
      <c r="I4032" t="s">
        <v>189</v>
      </c>
      <c r="J4032">
        <v>1</v>
      </c>
      <c r="K4032" t="s">
        <v>2214</v>
      </c>
      <c r="L4032" t="s">
        <v>10929</v>
      </c>
      <c r="M4032" t="s">
        <v>239</v>
      </c>
      <c r="Q4032" t="s">
        <v>408</v>
      </c>
      <c r="R4032" t="s">
        <v>261</v>
      </c>
      <c r="S4032" t="s">
        <v>261</v>
      </c>
      <c r="T4032" t="s">
        <v>261</v>
      </c>
      <c r="U4032" t="s">
        <v>261</v>
      </c>
      <c r="V4032" t="s">
        <v>262</v>
      </c>
      <c r="W4032" t="s">
        <v>261</v>
      </c>
      <c r="X4032" t="s">
        <v>261</v>
      </c>
      <c r="Y4032" t="s">
        <v>261</v>
      </c>
      <c r="Z4032" t="s">
        <v>409</v>
      </c>
      <c r="AA4032" t="s">
        <v>409</v>
      </c>
      <c r="AB4032" t="s">
        <v>409</v>
      </c>
      <c r="AC4032" t="s">
        <v>409</v>
      </c>
      <c r="AD4032" t="s">
        <v>261</v>
      </c>
      <c r="AH4032" t="s">
        <v>262</v>
      </c>
      <c r="AI4032" t="s">
        <v>262</v>
      </c>
      <c r="AJ4032" t="s">
        <v>261</v>
      </c>
      <c r="AK4032" t="s">
        <v>261</v>
      </c>
      <c r="AM4032" t="s">
        <v>262</v>
      </c>
      <c r="AN4032" t="s">
        <v>10930</v>
      </c>
    </row>
    <row r="4033" spans="1:40" x14ac:dyDescent="0.35">
      <c r="A4033">
        <v>7014974</v>
      </c>
      <c r="B4033" t="s">
        <v>10931</v>
      </c>
      <c r="C4033" t="str">
        <f>""</f>
        <v/>
      </c>
      <c r="D4033" t="str">
        <f>"9783110665376"</f>
        <v>9783110665376</v>
      </c>
      <c r="E4033" t="s">
        <v>415</v>
      </c>
      <c r="F4033" t="s">
        <v>665</v>
      </c>
      <c r="G4033" s="1">
        <v>43990</v>
      </c>
      <c r="H4033" s="1">
        <v>44726</v>
      </c>
      <c r="I4033" t="s">
        <v>189</v>
      </c>
      <c r="J4033">
        <v>1</v>
      </c>
      <c r="K4033" t="s">
        <v>10932</v>
      </c>
      <c r="L4033" t="s">
        <v>10933</v>
      </c>
    </row>
    <row r="4034" spans="1:40" x14ac:dyDescent="0.35">
      <c r="A4034">
        <v>7014975</v>
      </c>
      <c r="B4034" t="s">
        <v>10934</v>
      </c>
      <c r="C4034" t="str">
        <f>"9783110607192"</f>
        <v>9783110607192</v>
      </c>
      <c r="D4034" t="str">
        <f>"9783110607208"</f>
        <v>9783110607208</v>
      </c>
      <c r="E4034" t="s">
        <v>415</v>
      </c>
      <c r="F4034" t="s">
        <v>659</v>
      </c>
      <c r="G4034" s="1">
        <v>43465</v>
      </c>
      <c r="H4034" s="1">
        <v>44726</v>
      </c>
      <c r="I4034" t="s">
        <v>189</v>
      </c>
      <c r="J4034">
        <v>1</v>
      </c>
      <c r="L4034" t="s">
        <v>10935</v>
      </c>
    </row>
    <row r="4035" spans="1:40" x14ac:dyDescent="0.35">
      <c r="A4035">
        <v>7014976</v>
      </c>
      <c r="B4035" t="s">
        <v>10936</v>
      </c>
      <c r="C4035" t="str">
        <f>""</f>
        <v/>
      </c>
      <c r="D4035" t="str">
        <f>"9783111642673"</f>
        <v>9783111642673</v>
      </c>
      <c r="E4035" t="s">
        <v>415</v>
      </c>
      <c r="F4035" t="s">
        <v>415</v>
      </c>
      <c r="G4035" s="1">
        <v>21641</v>
      </c>
      <c r="H4035" s="1">
        <v>44726</v>
      </c>
      <c r="I4035" t="s">
        <v>189</v>
      </c>
      <c r="J4035">
        <v>1</v>
      </c>
      <c r="L4035" t="s">
        <v>10937</v>
      </c>
    </row>
    <row r="4036" spans="1:40" x14ac:dyDescent="0.35">
      <c r="A4036">
        <v>7014977</v>
      </c>
      <c r="B4036" t="s">
        <v>10938</v>
      </c>
      <c r="C4036" t="str">
        <f>""</f>
        <v/>
      </c>
      <c r="D4036" t="str">
        <f>"9783110719253"</f>
        <v>9783110719253</v>
      </c>
      <c r="E4036" t="s">
        <v>415</v>
      </c>
      <c r="F4036" t="s">
        <v>665</v>
      </c>
      <c r="G4036" s="1">
        <v>44305</v>
      </c>
      <c r="H4036" s="1">
        <v>44726</v>
      </c>
      <c r="I4036" t="s">
        <v>189</v>
      </c>
      <c r="J4036">
        <v>1</v>
      </c>
      <c r="L4036" t="s">
        <v>10939</v>
      </c>
      <c r="M4036" t="s">
        <v>239</v>
      </c>
      <c r="O4036" s="2">
        <v>951055</v>
      </c>
      <c r="Q4036" t="s">
        <v>408</v>
      </c>
      <c r="R4036" t="s">
        <v>261</v>
      </c>
      <c r="S4036" t="s">
        <v>261</v>
      </c>
      <c r="T4036" t="s">
        <v>261</v>
      </c>
      <c r="U4036" t="s">
        <v>261</v>
      </c>
      <c r="V4036" t="s">
        <v>262</v>
      </c>
      <c r="W4036" t="s">
        <v>261</v>
      </c>
      <c r="X4036" t="s">
        <v>261</v>
      </c>
      <c r="Y4036" t="s">
        <v>261</v>
      </c>
      <c r="Z4036" t="s">
        <v>409</v>
      </c>
      <c r="AA4036" t="s">
        <v>409</v>
      </c>
      <c r="AB4036" t="s">
        <v>409</v>
      </c>
      <c r="AC4036" t="s">
        <v>409</v>
      </c>
      <c r="AD4036" t="s">
        <v>261</v>
      </c>
      <c r="AH4036" t="s">
        <v>262</v>
      </c>
      <c r="AI4036" t="s">
        <v>262</v>
      </c>
      <c r="AJ4036" t="s">
        <v>261</v>
      </c>
      <c r="AK4036" t="s">
        <v>261</v>
      </c>
      <c r="AM4036" t="s">
        <v>262</v>
      </c>
      <c r="AN4036" t="s">
        <v>10940</v>
      </c>
    </row>
    <row r="4037" spans="1:40" x14ac:dyDescent="0.35">
      <c r="A4037">
        <v>7014978</v>
      </c>
      <c r="B4037" t="s">
        <v>10941</v>
      </c>
      <c r="C4037" t="str">
        <f>""</f>
        <v/>
      </c>
      <c r="D4037" t="str">
        <f>"9788395720451"</f>
        <v>9788395720451</v>
      </c>
      <c r="E4037" t="s">
        <v>415</v>
      </c>
      <c r="F4037" t="s">
        <v>659</v>
      </c>
      <c r="G4037" s="1">
        <v>44063</v>
      </c>
      <c r="H4037" s="1">
        <v>44726</v>
      </c>
      <c r="I4037" t="s">
        <v>189</v>
      </c>
      <c r="J4037">
        <v>1</v>
      </c>
      <c r="L4037" t="s">
        <v>10942</v>
      </c>
    </row>
    <row r="4038" spans="1:40" x14ac:dyDescent="0.35">
      <c r="A4038">
        <v>7014979</v>
      </c>
      <c r="B4038" t="s">
        <v>10943</v>
      </c>
      <c r="C4038" t="str">
        <f>""</f>
        <v/>
      </c>
      <c r="D4038" t="str">
        <f>"9783110709889"</f>
        <v>9783110709889</v>
      </c>
      <c r="E4038" t="s">
        <v>415</v>
      </c>
      <c r="F4038" t="s">
        <v>415</v>
      </c>
      <c r="G4038" s="1">
        <v>44263</v>
      </c>
      <c r="H4038" s="1">
        <v>44726</v>
      </c>
      <c r="I4038" t="s">
        <v>189</v>
      </c>
      <c r="J4038">
        <v>1</v>
      </c>
      <c r="K4038" t="s">
        <v>10944</v>
      </c>
      <c r="L4038" t="s">
        <v>10945</v>
      </c>
      <c r="M4038" t="s">
        <v>199</v>
      </c>
    </row>
    <row r="4039" spans="1:40" x14ac:dyDescent="0.35">
      <c r="A4039">
        <v>7014980</v>
      </c>
      <c r="B4039" t="s">
        <v>10946</v>
      </c>
      <c r="C4039" t="str">
        <f>""</f>
        <v/>
      </c>
      <c r="D4039" t="str">
        <f>"9783110703467"</f>
        <v>9783110703467</v>
      </c>
      <c r="E4039" t="s">
        <v>415</v>
      </c>
      <c r="F4039" t="s">
        <v>415</v>
      </c>
      <c r="G4039" s="1">
        <v>44536</v>
      </c>
      <c r="H4039" s="1">
        <v>44726</v>
      </c>
      <c r="I4039" t="s">
        <v>189</v>
      </c>
      <c r="J4039">
        <v>1</v>
      </c>
      <c r="L4039" t="s">
        <v>3873</v>
      </c>
      <c r="M4039" t="s">
        <v>219</v>
      </c>
      <c r="Q4039" t="s">
        <v>408</v>
      </c>
      <c r="R4039" t="s">
        <v>261</v>
      </c>
      <c r="S4039" t="s">
        <v>261</v>
      </c>
      <c r="T4039" t="s">
        <v>261</v>
      </c>
      <c r="U4039" t="s">
        <v>261</v>
      </c>
      <c r="V4039" t="s">
        <v>262</v>
      </c>
      <c r="W4039" t="s">
        <v>261</v>
      </c>
      <c r="X4039" t="s">
        <v>261</v>
      </c>
      <c r="Y4039" t="s">
        <v>261</v>
      </c>
      <c r="Z4039" t="s">
        <v>409</v>
      </c>
      <c r="AA4039" t="s">
        <v>409</v>
      </c>
      <c r="AB4039" t="s">
        <v>409</v>
      </c>
      <c r="AC4039" t="s">
        <v>409</v>
      </c>
      <c r="AD4039" t="s">
        <v>261</v>
      </c>
      <c r="AH4039" t="s">
        <v>262</v>
      </c>
      <c r="AI4039" t="s">
        <v>262</v>
      </c>
      <c r="AJ4039" t="s">
        <v>261</v>
      </c>
      <c r="AK4039" t="s">
        <v>261</v>
      </c>
      <c r="AM4039" t="s">
        <v>262</v>
      </c>
      <c r="AN4039" t="s">
        <v>10947</v>
      </c>
    </row>
    <row r="4040" spans="1:40" x14ac:dyDescent="0.35">
      <c r="A4040">
        <v>7014981</v>
      </c>
      <c r="B4040" t="s">
        <v>10948</v>
      </c>
      <c r="C4040" t="str">
        <f>""</f>
        <v/>
      </c>
      <c r="D4040" t="str">
        <f>"9783111590677"</f>
        <v>9783111590677</v>
      </c>
      <c r="E4040" t="s">
        <v>415</v>
      </c>
      <c r="F4040" t="s">
        <v>415</v>
      </c>
      <c r="G4040" s="1">
        <v>5936</v>
      </c>
      <c r="H4040" s="1">
        <v>44726</v>
      </c>
      <c r="I4040" t="s">
        <v>189</v>
      </c>
      <c r="J4040">
        <v>1</v>
      </c>
      <c r="L4040" t="s">
        <v>10949</v>
      </c>
      <c r="M4040" t="s">
        <v>239</v>
      </c>
      <c r="Q4040" t="s">
        <v>408</v>
      </c>
      <c r="R4040" t="s">
        <v>261</v>
      </c>
      <c r="S4040" t="s">
        <v>261</v>
      </c>
      <c r="T4040" t="s">
        <v>261</v>
      </c>
      <c r="U4040" t="s">
        <v>261</v>
      </c>
      <c r="V4040" t="s">
        <v>262</v>
      </c>
      <c r="W4040" t="s">
        <v>261</v>
      </c>
      <c r="X4040" t="s">
        <v>261</v>
      </c>
      <c r="Y4040" t="s">
        <v>261</v>
      </c>
      <c r="Z4040" t="s">
        <v>409</v>
      </c>
      <c r="AA4040" t="s">
        <v>409</v>
      </c>
      <c r="AB4040" t="s">
        <v>409</v>
      </c>
      <c r="AC4040" t="s">
        <v>409</v>
      </c>
      <c r="AD4040" t="s">
        <v>261</v>
      </c>
      <c r="AH4040" t="s">
        <v>262</v>
      </c>
      <c r="AI4040" t="s">
        <v>262</v>
      </c>
      <c r="AJ4040" t="s">
        <v>261</v>
      </c>
      <c r="AK4040" t="s">
        <v>261</v>
      </c>
      <c r="AM4040" t="s">
        <v>262</v>
      </c>
      <c r="AN4040" t="s">
        <v>10950</v>
      </c>
    </row>
    <row r="4041" spans="1:40" x14ac:dyDescent="0.35">
      <c r="A4041">
        <v>7014982</v>
      </c>
      <c r="B4041" t="s">
        <v>10951</v>
      </c>
      <c r="C4041" t="str">
        <f>""</f>
        <v/>
      </c>
      <c r="D4041" t="str">
        <f>"9783111667515"</f>
        <v>9783111667515</v>
      </c>
      <c r="E4041" t="s">
        <v>346</v>
      </c>
      <c r="F4041" t="s">
        <v>2637</v>
      </c>
      <c r="G4041" s="1">
        <v>43556</v>
      </c>
      <c r="H4041" s="1">
        <v>44726</v>
      </c>
      <c r="I4041" t="s">
        <v>189</v>
      </c>
      <c r="J4041">
        <v>1</v>
      </c>
      <c r="K4041" t="s">
        <v>10952</v>
      </c>
      <c r="L4041" t="s">
        <v>10953</v>
      </c>
      <c r="M4041" t="s">
        <v>676</v>
      </c>
    </row>
    <row r="4042" spans="1:40" x14ac:dyDescent="0.35">
      <c r="A4042">
        <v>7014983</v>
      </c>
      <c r="B4042" t="s">
        <v>10954</v>
      </c>
      <c r="C4042" t="str">
        <f>""</f>
        <v/>
      </c>
      <c r="D4042" t="str">
        <f>"9783422986398"</f>
        <v>9783422986398</v>
      </c>
      <c r="E4042" t="s">
        <v>6557</v>
      </c>
      <c r="F4042" t="s">
        <v>6557</v>
      </c>
      <c r="G4042" s="1">
        <v>44454</v>
      </c>
      <c r="H4042" s="1">
        <v>44726</v>
      </c>
      <c r="I4042" t="s">
        <v>189</v>
      </c>
      <c r="J4042">
        <v>1</v>
      </c>
      <c r="L4042" t="s">
        <v>10955</v>
      </c>
    </row>
    <row r="4043" spans="1:40" x14ac:dyDescent="0.35">
      <c r="A4043">
        <v>7014984</v>
      </c>
      <c r="B4043" t="s">
        <v>10956</v>
      </c>
      <c r="C4043" t="str">
        <f>""</f>
        <v/>
      </c>
      <c r="D4043" t="str">
        <f>"9783110730937"</f>
        <v>9783110730937</v>
      </c>
      <c r="E4043" t="s">
        <v>415</v>
      </c>
      <c r="F4043" t="s">
        <v>415</v>
      </c>
      <c r="G4043" s="1">
        <v>44263</v>
      </c>
      <c r="H4043" s="1">
        <v>44726</v>
      </c>
      <c r="I4043" t="s">
        <v>189</v>
      </c>
      <c r="J4043">
        <v>1</v>
      </c>
      <c r="K4043" t="s">
        <v>10957</v>
      </c>
      <c r="L4043" t="s">
        <v>10958</v>
      </c>
      <c r="M4043" t="s">
        <v>219</v>
      </c>
      <c r="Q4043" t="s">
        <v>408</v>
      </c>
      <c r="R4043" t="s">
        <v>261</v>
      </c>
      <c r="S4043" t="s">
        <v>261</v>
      </c>
      <c r="T4043" t="s">
        <v>261</v>
      </c>
      <c r="U4043" t="s">
        <v>261</v>
      </c>
      <c r="V4043" t="s">
        <v>262</v>
      </c>
      <c r="W4043" t="s">
        <v>261</v>
      </c>
      <c r="X4043" t="s">
        <v>261</v>
      </c>
      <c r="Y4043" t="s">
        <v>261</v>
      </c>
      <c r="Z4043" t="s">
        <v>409</v>
      </c>
      <c r="AA4043" t="s">
        <v>409</v>
      </c>
      <c r="AB4043" t="s">
        <v>409</v>
      </c>
      <c r="AC4043" t="s">
        <v>409</v>
      </c>
      <c r="AD4043" t="s">
        <v>261</v>
      </c>
      <c r="AH4043" t="s">
        <v>262</v>
      </c>
      <c r="AI4043" t="s">
        <v>262</v>
      </c>
      <c r="AJ4043" t="s">
        <v>261</v>
      </c>
      <c r="AK4043" t="s">
        <v>261</v>
      </c>
      <c r="AM4043" t="s">
        <v>262</v>
      </c>
      <c r="AN4043" t="s">
        <v>10959</v>
      </c>
    </row>
    <row r="4044" spans="1:40" x14ac:dyDescent="0.35">
      <c r="A4044">
        <v>7014985</v>
      </c>
      <c r="B4044" t="s">
        <v>10960</v>
      </c>
      <c r="C4044" t="str">
        <f>""</f>
        <v/>
      </c>
      <c r="D4044" t="str">
        <f>"9783486761177"</f>
        <v>9783486761177</v>
      </c>
      <c r="E4044" t="s">
        <v>415</v>
      </c>
      <c r="F4044" t="s">
        <v>665</v>
      </c>
      <c r="G4044" s="1">
        <v>25934</v>
      </c>
      <c r="H4044" s="1">
        <v>44726</v>
      </c>
      <c r="I4044" t="s">
        <v>189</v>
      </c>
      <c r="J4044">
        <v>1</v>
      </c>
      <c r="L4044" t="s">
        <v>10961</v>
      </c>
      <c r="M4044" t="s">
        <v>199</v>
      </c>
      <c r="Q4044" t="s">
        <v>408</v>
      </c>
      <c r="R4044" t="s">
        <v>261</v>
      </c>
      <c r="S4044" t="s">
        <v>261</v>
      </c>
      <c r="T4044" t="s">
        <v>261</v>
      </c>
      <c r="U4044" t="s">
        <v>261</v>
      </c>
      <c r="V4044" t="s">
        <v>262</v>
      </c>
      <c r="W4044" t="s">
        <v>261</v>
      </c>
      <c r="X4044" t="s">
        <v>261</v>
      </c>
      <c r="Y4044" t="s">
        <v>261</v>
      </c>
      <c r="Z4044" t="s">
        <v>409</v>
      </c>
      <c r="AA4044" t="s">
        <v>409</v>
      </c>
      <c r="AB4044" t="s">
        <v>409</v>
      </c>
      <c r="AC4044" t="s">
        <v>409</v>
      </c>
      <c r="AD4044" t="s">
        <v>261</v>
      </c>
      <c r="AH4044" t="s">
        <v>262</v>
      </c>
      <c r="AI4044" t="s">
        <v>262</v>
      </c>
      <c r="AJ4044" t="s">
        <v>261</v>
      </c>
      <c r="AK4044" t="s">
        <v>261</v>
      </c>
      <c r="AM4044" t="s">
        <v>262</v>
      </c>
      <c r="AN4044" t="s">
        <v>10962</v>
      </c>
    </row>
    <row r="4045" spans="1:40" x14ac:dyDescent="0.35">
      <c r="A4045">
        <v>7014986</v>
      </c>
      <c r="B4045" t="s">
        <v>10963</v>
      </c>
      <c r="C4045" t="str">
        <f>""</f>
        <v/>
      </c>
      <c r="D4045" t="str">
        <f>"9783110679151"</f>
        <v>9783110679151</v>
      </c>
      <c r="E4045" t="s">
        <v>415</v>
      </c>
      <c r="F4045" t="s">
        <v>665</v>
      </c>
      <c r="G4045" s="1">
        <v>44382</v>
      </c>
      <c r="H4045" s="1">
        <v>44726</v>
      </c>
      <c r="I4045" t="s">
        <v>189</v>
      </c>
      <c r="J4045">
        <v>1</v>
      </c>
      <c r="L4045" t="s">
        <v>10964</v>
      </c>
    </row>
    <row r="4046" spans="1:40" x14ac:dyDescent="0.35">
      <c r="A4046">
        <v>7014987</v>
      </c>
      <c r="B4046" t="s">
        <v>10965</v>
      </c>
      <c r="C4046" t="str">
        <f>""</f>
        <v/>
      </c>
      <c r="D4046" t="str">
        <f>"9783486746624"</f>
        <v>9783486746624</v>
      </c>
      <c r="E4046" t="s">
        <v>415</v>
      </c>
      <c r="F4046" t="s">
        <v>665</v>
      </c>
      <c r="G4046" s="1">
        <v>7762</v>
      </c>
      <c r="H4046" s="1">
        <v>44726</v>
      </c>
      <c r="I4046" t="s">
        <v>189</v>
      </c>
      <c r="J4046">
        <v>1</v>
      </c>
      <c r="K4046" t="s">
        <v>10966</v>
      </c>
      <c r="L4046" t="s">
        <v>10967</v>
      </c>
      <c r="M4046" t="s">
        <v>239</v>
      </c>
      <c r="Q4046" t="s">
        <v>408</v>
      </c>
      <c r="R4046" t="s">
        <v>261</v>
      </c>
      <c r="S4046" t="s">
        <v>261</v>
      </c>
      <c r="T4046" t="s">
        <v>261</v>
      </c>
      <c r="U4046" t="s">
        <v>261</v>
      </c>
      <c r="V4046" t="s">
        <v>262</v>
      </c>
      <c r="W4046" t="s">
        <v>261</v>
      </c>
      <c r="X4046" t="s">
        <v>261</v>
      </c>
      <c r="Y4046" t="s">
        <v>261</v>
      </c>
      <c r="Z4046" t="s">
        <v>409</v>
      </c>
      <c r="AA4046" t="s">
        <v>409</v>
      </c>
      <c r="AB4046" t="s">
        <v>409</v>
      </c>
      <c r="AC4046" t="s">
        <v>409</v>
      </c>
      <c r="AD4046" t="s">
        <v>261</v>
      </c>
      <c r="AH4046" t="s">
        <v>262</v>
      </c>
      <c r="AI4046" t="s">
        <v>262</v>
      </c>
      <c r="AJ4046" t="s">
        <v>261</v>
      </c>
      <c r="AK4046" t="s">
        <v>261</v>
      </c>
      <c r="AM4046" t="s">
        <v>262</v>
      </c>
      <c r="AN4046" t="s">
        <v>10968</v>
      </c>
    </row>
    <row r="4047" spans="1:40" x14ac:dyDescent="0.35">
      <c r="A4047">
        <v>7014988</v>
      </c>
      <c r="B4047" t="s">
        <v>10969</v>
      </c>
      <c r="C4047" t="str">
        <f>""</f>
        <v/>
      </c>
      <c r="D4047" t="str">
        <f>"9783111596372"</f>
        <v>9783111596372</v>
      </c>
      <c r="E4047" t="s">
        <v>415</v>
      </c>
      <c r="F4047" t="s">
        <v>415</v>
      </c>
      <c r="G4047" t="s">
        <v>10970</v>
      </c>
      <c r="H4047" s="1">
        <v>44726</v>
      </c>
      <c r="I4047" t="s">
        <v>189</v>
      </c>
      <c r="J4047">
        <v>1</v>
      </c>
      <c r="L4047" t="s">
        <v>10971</v>
      </c>
      <c r="M4047" t="s">
        <v>389</v>
      </c>
      <c r="Q4047" t="s">
        <v>408</v>
      </c>
      <c r="R4047" t="s">
        <v>261</v>
      </c>
      <c r="S4047" t="s">
        <v>261</v>
      </c>
      <c r="T4047" t="s">
        <v>261</v>
      </c>
      <c r="U4047" t="s">
        <v>261</v>
      </c>
      <c r="V4047" t="s">
        <v>262</v>
      </c>
      <c r="W4047" t="s">
        <v>261</v>
      </c>
      <c r="X4047" t="s">
        <v>261</v>
      </c>
      <c r="Y4047" t="s">
        <v>261</v>
      </c>
      <c r="Z4047" t="s">
        <v>409</v>
      </c>
      <c r="AA4047" t="s">
        <v>409</v>
      </c>
      <c r="AB4047" t="s">
        <v>409</v>
      </c>
      <c r="AC4047" t="s">
        <v>409</v>
      </c>
      <c r="AD4047" t="s">
        <v>261</v>
      </c>
      <c r="AH4047" t="s">
        <v>262</v>
      </c>
      <c r="AI4047" t="s">
        <v>262</v>
      </c>
      <c r="AJ4047" t="s">
        <v>261</v>
      </c>
      <c r="AK4047" t="s">
        <v>261</v>
      </c>
      <c r="AM4047" t="s">
        <v>262</v>
      </c>
      <c r="AN4047" t="s">
        <v>10972</v>
      </c>
    </row>
    <row r="4048" spans="1:40" x14ac:dyDescent="0.35">
      <c r="A4048">
        <v>7014989</v>
      </c>
      <c r="B4048" t="s">
        <v>10973</v>
      </c>
      <c r="C4048" t="str">
        <f>""</f>
        <v/>
      </c>
      <c r="D4048" t="str">
        <f>"9783111476513"</f>
        <v>9783111476513</v>
      </c>
      <c r="E4048" t="s">
        <v>415</v>
      </c>
      <c r="F4048" t="s">
        <v>415</v>
      </c>
      <c r="G4048" t="s">
        <v>10974</v>
      </c>
      <c r="H4048" s="1">
        <v>44726</v>
      </c>
      <c r="I4048" t="s">
        <v>189</v>
      </c>
      <c r="J4048">
        <v>2</v>
      </c>
      <c r="L4048" t="s">
        <v>10975</v>
      </c>
    </row>
    <row r="4049" spans="1:40" x14ac:dyDescent="0.35">
      <c r="A4049">
        <v>7014990</v>
      </c>
      <c r="B4049" t="s">
        <v>10976</v>
      </c>
      <c r="C4049" t="str">
        <f>""</f>
        <v/>
      </c>
      <c r="D4049" t="str">
        <f>"9783111655406"</f>
        <v>9783111655406</v>
      </c>
      <c r="E4049" t="s">
        <v>346</v>
      </c>
      <c r="F4049" t="s">
        <v>2637</v>
      </c>
      <c r="G4049" s="1">
        <v>23833</v>
      </c>
      <c r="H4049" s="1">
        <v>44726</v>
      </c>
      <c r="I4049" t="s">
        <v>189</v>
      </c>
      <c r="J4049">
        <v>1</v>
      </c>
      <c r="K4049" t="s">
        <v>10977</v>
      </c>
      <c r="L4049" t="s">
        <v>10978</v>
      </c>
      <c r="M4049" t="s">
        <v>676</v>
      </c>
    </row>
    <row r="4050" spans="1:40" x14ac:dyDescent="0.35">
      <c r="A4050">
        <v>7014991</v>
      </c>
      <c r="B4050" t="s">
        <v>10979</v>
      </c>
      <c r="C4050" t="str">
        <f>""</f>
        <v/>
      </c>
      <c r="D4050" t="str">
        <f>"9783111383057"</f>
        <v>9783111383057</v>
      </c>
      <c r="E4050" t="s">
        <v>415</v>
      </c>
      <c r="F4050" t="s">
        <v>415</v>
      </c>
      <c r="G4050" s="1">
        <v>26024</v>
      </c>
      <c r="H4050" s="1">
        <v>44726</v>
      </c>
      <c r="I4050" t="s">
        <v>189</v>
      </c>
      <c r="J4050">
        <v>1</v>
      </c>
      <c r="K4050" t="s">
        <v>10980</v>
      </c>
      <c r="L4050" t="s">
        <v>10981</v>
      </c>
      <c r="M4050" t="s">
        <v>807</v>
      </c>
    </row>
    <row r="4051" spans="1:40" x14ac:dyDescent="0.35">
      <c r="A4051">
        <v>7014992</v>
      </c>
      <c r="B4051" t="s">
        <v>10982</v>
      </c>
      <c r="C4051" t="str">
        <f>""</f>
        <v/>
      </c>
      <c r="D4051" t="str">
        <f>"9783111557823"</f>
        <v>9783111557823</v>
      </c>
      <c r="E4051" t="s">
        <v>346</v>
      </c>
      <c r="F4051" t="s">
        <v>2637</v>
      </c>
      <c r="G4051" s="1">
        <v>24929</v>
      </c>
      <c r="H4051" s="1">
        <v>44726</v>
      </c>
      <c r="I4051" t="s">
        <v>189</v>
      </c>
      <c r="J4051">
        <v>1</v>
      </c>
      <c r="K4051" t="s">
        <v>10983</v>
      </c>
      <c r="L4051" t="s">
        <v>10984</v>
      </c>
    </row>
    <row r="4052" spans="1:40" x14ac:dyDescent="0.35">
      <c r="A4052">
        <v>7014993</v>
      </c>
      <c r="B4052" t="s">
        <v>10985</v>
      </c>
      <c r="C4052" t="str">
        <f>""</f>
        <v/>
      </c>
      <c r="D4052" t="str">
        <f>"9783486780079"</f>
        <v>9783486780079</v>
      </c>
      <c r="E4052" t="s">
        <v>415</v>
      </c>
      <c r="F4052" t="s">
        <v>665</v>
      </c>
      <c r="G4052" s="1">
        <v>43617</v>
      </c>
      <c r="H4052" s="1">
        <v>44726</v>
      </c>
      <c r="I4052" t="s">
        <v>189</v>
      </c>
      <c r="J4052">
        <v>1</v>
      </c>
      <c r="L4052" t="s">
        <v>10986</v>
      </c>
      <c r="M4052" t="s">
        <v>239</v>
      </c>
      <c r="Q4052" t="s">
        <v>408</v>
      </c>
      <c r="R4052" t="s">
        <v>261</v>
      </c>
      <c r="S4052" t="s">
        <v>261</v>
      </c>
      <c r="T4052" t="s">
        <v>261</v>
      </c>
      <c r="U4052" t="s">
        <v>261</v>
      </c>
      <c r="V4052" t="s">
        <v>262</v>
      </c>
      <c r="W4052" t="s">
        <v>261</v>
      </c>
      <c r="X4052" t="s">
        <v>261</v>
      </c>
      <c r="Y4052" t="s">
        <v>261</v>
      </c>
      <c r="Z4052" t="s">
        <v>409</v>
      </c>
      <c r="AA4052" t="s">
        <v>409</v>
      </c>
      <c r="AB4052" t="s">
        <v>409</v>
      </c>
      <c r="AC4052" t="s">
        <v>409</v>
      </c>
      <c r="AD4052" t="s">
        <v>261</v>
      </c>
      <c r="AH4052" t="s">
        <v>262</v>
      </c>
      <c r="AI4052" t="s">
        <v>262</v>
      </c>
      <c r="AJ4052" t="s">
        <v>261</v>
      </c>
      <c r="AK4052" t="s">
        <v>261</v>
      </c>
      <c r="AM4052" t="s">
        <v>262</v>
      </c>
      <c r="AN4052" t="s">
        <v>10987</v>
      </c>
    </row>
    <row r="4053" spans="1:40" x14ac:dyDescent="0.35">
      <c r="A4053">
        <v>7014994</v>
      </c>
      <c r="B4053" t="s">
        <v>10988</v>
      </c>
      <c r="C4053" t="str">
        <f>""</f>
        <v/>
      </c>
      <c r="D4053" t="str">
        <f>"9783110685015"</f>
        <v>9783110685015</v>
      </c>
      <c r="E4053" t="s">
        <v>415</v>
      </c>
      <c r="F4053" t="s">
        <v>415</v>
      </c>
      <c r="G4053" s="1">
        <v>44277</v>
      </c>
      <c r="H4053" s="1">
        <v>44726</v>
      </c>
      <c r="I4053" t="s">
        <v>189</v>
      </c>
      <c r="J4053">
        <v>1</v>
      </c>
      <c r="K4053" t="s">
        <v>10577</v>
      </c>
      <c r="L4053" t="s">
        <v>10989</v>
      </c>
      <c r="M4053" t="s">
        <v>210</v>
      </c>
      <c r="O4053" s="2">
        <v>327430612</v>
      </c>
      <c r="Q4053" t="s">
        <v>260</v>
      </c>
      <c r="R4053" t="s">
        <v>261</v>
      </c>
      <c r="S4053" t="s">
        <v>261</v>
      </c>
      <c r="T4053" t="s">
        <v>261</v>
      </c>
      <c r="U4053" t="s">
        <v>261</v>
      </c>
      <c r="V4053" t="s">
        <v>262</v>
      </c>
      <c r="W4053" t="s">
        <v>261</v>
      </c>
      <c r="X4053" t="s">
        <v>261</v>
      </c>
      <c r="Y4053" t="s">
        <v>261</v>
      </c>
      <c r="Z4053" t="s">
        <v>409</v>
      </c>
      <c r="AA4053" t="s">
        <v>409</v>
      </c>
      <c r="AB4053" t="s">
        <v>409</v>
      </c>
      <c r="AC4053" t="s">
        <v>409</v>
      </c>
      <c r="AD4053" t="s">
        <v>261</v>
      </c>
      <c r="AH4053" t="s">
        <v>262</v>
      </c>
      <c r="AI4053" t="s">
        <v>262</v>
      </c>
      <c r="AJ4053" t="s">
        <v>261</v>
      </c>
      <c r="AK4053" t="s">
        <v>261</v>
      </c>
      <c r="AM4053" t="s">
        <v>262</v>
      </c>
      <c r="AN4053" t="s">
        <v>10990</v>
      </c>
    </row>
    <row r="4054" spans="1:40" x14ac:dyDescent="0.35">
      <c r="A4054">
        <v>7014995</v>
      </c>
      <c r="B4054" t="s">
        <v>10991</v>
      </c>
      <c r="C4054" t="str">
        <f>""</f>
        <v/>
      </c>
      <c r="D4054" t="str">
        <f>"9783111645551"</f>
        <v>9783111645551</v>
      </c>
      <c r="E4054" t="s">
        <v>415</v>
      </c>
      <c r="F4054" t="s">
        <v>415</v>
      </c>
      <c r="G4054" s="1">
        <v>22007</v>
      </c>
      <c r="H4054" s="1">
        <v>44726</v>
      </c>
      <c r="I4054" t="s">
        <v>189</v>
      </c>
      <c r="J4054">
        <v>1</v>
      </c>
      <c r="L4054" t="s">
        <v>10992</v>
      </c>
      <c r="M4054" t="s">
        <v>1578</v>
      </c>
    </row>
    <row r="4055" spans="1:40" x14ac:dyDescent="0.35">
      <c r="A4055">
        <v>7014996</v>
      </c>
      <c r="B4055" t="s">
        <v>10993</v>
      </c>
      <c r="C4055" t="str">
        <f>""</f>
        <v/>
      </c>
      <c r="D4055" t="str">
        <f>"9783110673265"</f>
        <v>9783110673265</v>
      </c>
      <c r="E4055" t="s">
        <v>415</v>
      </c>
      <c r="F4055" t="s">
        <v>665</v>
      </c>
      <c r="G4055" s="1">
        <v>43990</v>
      </c>
      <c r="H4055" s="1">
        <v>44726</v>
      </c>
      <c r="I4055" t="s">
        <v>189</v>
      </c>
      <c r="J4055">
        <v>1</v>
      </c>
      <c r="L4055" t="s">
        <v>1014</v>
      </c>
    </row>
    <row r="4056" spans="1:40" x14ac:dyDescent="0.35">
      <c r="A4056">
        <v>7014997</v>
      </c>
      <c r="B4056" t="s">
        <v>10994</v>
      </c>
      <c r="C4056" t="str">
        <f>""</f>
        <v/>
      </c>
      <c r="D4056" t="str">
        <f>"9783486755688"</f>
        <v>9783486755688</v>
      </c>
      <c r="E4056" t="s">
        <v>415</v>
      </c>
      <c r="F4056" t="s">
        <v>665</v>
      </c>
      <c r="G4056" s="1">
        <v>9863</v>
      </c>
      <c r="H4056" s="1">
        <v>44726</v>
      </c>
      <c r="I4056" t="s">
        <v>189</v>
      </c>
      <c r="J4056">
        <v>1</v>
      </c>
      <c r="L4056" t="s">
        <v>10995</v>
      </c>
      <c r="M4056" t="s">
        <v>1687</v>
      </c>
      <c r="Q4056" t="s">
        <v>408</v>
      </c>
      <c r="R4056" t="s">
        <v>261</v>
      </c>
      <c r="S4056" t="s">
        <v>261</v>
      </c>
      <c r="T4056" t="s">
        <v>261</v>
      </c>
      <c r="U4056" t="s">
        <v>261</v>
      </c>
      <c r="V4056" t="s">
        <v>262</v>
      </c>
      <c r="W4056" t="s">
        <v>261</v>
      </c>
      <c r="X4056" t="s">
        <v>261</v>
      </c>
      <c r="Y4056" t="s">
        <v>261</v>
      </c>
      <c r="Z4056" t="s">
        <v>409</v>
      </c>
      <c r="AA4056" t="s">
        <v>409</v>
      </c>
      <c r="AB4056" t="s">
        <v>409</v>
      </c>
      <c r="AC4056" t="s">
        <v>409</v>
      </c>
      <c r="AD4056" t="s">
        <v>261</v>
      </c>
      <c r="AH4056" t="s">
        <v>262</v>
      </c>
      <c r="AI4056" t="s">
        <v>262</v>
      </c>
      <c r="AJ4056" t="s">
        <v>261</v>
      </c>
      <c r="AK4056" t="s">
        <v>261</v>
      </c>
      <c r="AM4056" t="s">
        <v>262</v>
      </c>
      <c r="AN4056" t="s">
        <v>10996</v>
      </c>
    </row>
    <row r="4057" spans="1:40" x14ac:dyDescent="0.35">
      <c r="A4057">
        <v>7014998</v>
      </c>
      <c r="B4057" t="s">
        <v>10997</v>
      </c>
      <c r="C4057" t="str">
        <f>""</f>
        <v/>
      </c>
      <c r="D4057" t="str">
        <f>"9783111683898"</f>
        <v>9783111683898</v>
      </c>
      <c r="E4057" t="s">
        <v>415</v>
      </c>
      <c r="F4057" t="s">
        <v>415</v>
      </c>
      <c r="G4057" t="s">
        <v>10998</v>
      </c>
      <c r="H4057" s="1">
        <v>44726</v>
      </c>
      <c r="I4057" t="s">
        <v>189</v>
      </c>
      <c r="J4057">
        <v>1</v>
      </c>
      <c r="L4057" t="s">
        <v>10865</v>
      </c>
      <c r="M4057" t="s">
        <v>339</v>
      </c>
      <c r="Q4057" t="s">
        <v>408</v>
      </c>
      <c r="R4057" t="s">
        <v>261</v>
      </c>
      <c r="S4057" t="s">
        <v>261</v>
      </c>
      <c r="T4057" t="s">
        <v>261</v>
      </c>
      <c r="U4057" t="s">
        <v>261</v>
      </c>
      <c r="V4057" t="s">
        <v>262</v>
      </c>
      <c r="W4057" t="s">
        <v>261</v>
      </c>
      <c r="X4057" t="s">
        <v>261</v>
      </c>
      <c r="Y4057" t="s">
        <v>261</v>
      </c>
      <c r="Z4057" t="s">
        <v>409</v>
      </c>
      <c r="AA4057" t="s">
        <v>409</v>
      </c>
      <c r="AB4057" t="s">
        <v>409</v>
      </c>
      <c r="AC4057" t="s">
        <v>409</v>
      </c>
      <c r="AD4057" t="s">
        <v>261</v>
      </c>
      <c r="AH4057" t="s">
        <v>262</v>
      </c>
      <c r="AI4057" t="s">
        <v>262</v>
      </c>
      <c r="AJ4057" t="s">
        <v>261</v>
      </c>
      <c r="AK4057" t="s">
        <v>261</v>
      </c>
      <c r="AM4057" t="s">
        <v>262</v>
      </c>
      <c r="AN4057" t="s">
        <v>10999</v>
      </c>
    </row>
    <row r="4058" spans="1:40" x14ac:dyDescent="0.35">
      <c r="A4058">
        <v>7014999</v>
      </c>
      <c r="B4058" t="s">
        <v>11000</v>
      </c>
      <c r="C4058" t="str">
        <f>""</f>
        <v/>
      </c>
      <c r="D4058" t="str">
        <f>"9783486762013"</f>
        <v>9783486762013</v>
      </c>
      <c r="E4058" t="s">
        <v>415</v>
      </c>
      <c r="F4058" t="s">
        <v>665</v>
      </c>
      <c r="G4058" s="1">
        <v>10959</v>
      </c>
      <c r="H4058" s="1">
        <v>44726</v>
      </c>
      <c r="I4058" t="s">
        <v>189</v>
      </c>
      <c r="J4058">
        <v>3</v>
      </c>
      <c r="L4058" t="s">
        <v>11001</v>
      </c>
      <c r="M4058" t="s">
        <v>3574</v>
      </c>
      <c r="Q4058" t="s">
        <v>408</v>
      </c>
      <c r="R4058" t="s">
        <v>261</v>
      </c>
      <c r="S4058" t="s">
        <v>261</v>
      </c>
      <c r="T4058" t="s">
        <v>261</v>
      </c>
      <c r="U4058" t="s">
        <v>261</v>
      </c>
      <c r="V4058" t="s">
        <v>262</v>
      </c>
      <c r="W4058" t="s">
        <v>261</v>
      </c>
      <c r="X4058" t="s">
        <v>261</v>
      </c>
      <c r="Y4058" t="s">
        <v>261</v>
      </c>
      <c r="Z4058" t="s">
        <v>409</v>
      </c>
      <c r="AA4058" t="s">
        <v>409</v>
      </c>
      <c r="AB4058" t="s">
        <v>409</v>
      </c>
      <c r="AC4058" t="s">
        <v>409</v>
      </c>
      <c r="AD4058" t="s">
        <v>261</v>
      </c>
      <c r="AH4058" t="s">
        <v>262</v>
      </c>
      <c r="AI4058" t="s">
        <v>262</v>
      </c>
      <c r="AJ4058" t="s">
        <v>261</v>
      </c>
      <c r="AK4058" t="s">
        <v>261</v>
      </c>
      <c r="AM4058" t="s">
        <v>262</v>
      </c>
      <c r="AN4058" t="s">
        <v>11002</v>
      </c>
    </row>
    <row r="4059" spans="1:40" x14ac:dyDescent="0.35">
      <c r="A4059">
        <v>7015000</v>
      </c>
      <c r="B4059" t="s">
        <v>11003</v>
      </c>
      <c r="C4059" t="str">
        <f>"9783486558449"</f>
        <v>9783486558449</v>
      </c>
      <c r="D4059" t="str">
        <f>"9783486595635"</f>
        <v>9783486595635</v>
      </c>
      <c r="E4059" t="s">
        <v>415</v>
      </c>
      <c r="F4059" t="s">
        <v>665</v>
      </c>
      <c r="G4059" s="1">
        <v>33427</v>
      </c>
      <c r="H4059" s="1">
        <v>44726</v>
      </c>
      <c r="I4059" t="s">
        <v>189</v>
      </c>
      <c r="J4059">
        <v>1</v>
      </c>
      <c r="K4059" t="s">
        <v>1387</v>
      </c>
      <c r="L4059" t="s">
        <v>11004</v>
      </c>
    </row>
    <row r="4060" spans="1:40" x14ac:dyDescent="0.35">
      <c r="A4060">
        <v>7015001</v>
      </c>
      <c r="B4060" t="s">
        <v>11005</v>
      </c>
      <c r="C4060" t="str">
        <f>""</f>
        <v/>
      </c>
      <c r="D4060" t="str">
        <f>"9783110622423"</f>
        <v>9783110622423</v>
      </c>
      <c r="E4060" t="s">
        <v>415</v>
      </c>
      <c r="F4060" t="s">
        <v>415</v>
      </c>
      <c r="G4060" s="1">
        <v>32933</v>
      </c>
      <c r="H4060" s="1">
        <v>44726</v>
      </c>
      <c r="I4060" t="s">
        <v>189</v>
      </c>
      <c r="J4060">
        <v>1</v>
      </c>
      <c r="K4060" t="s">
        <v>10673</v>
      </c>
      <c r="L4060" t="s">
        <v>10715</v>
      </c>
      <c r="M4060" t="s">
        <v>676</v>
      </c>
      <c r="Q4060" t="s">
        <v>408</v>
      </c>
      <c r="R4060" t="s">
        <v>261</v>
      </c>
      <c r="S4060" t="s">
        <v>261</v>
      </c>
      <c r="T4060" t="s">
        <v>261</v>
      </c>
      <c r="U4060" t="s">
        <v>261</v>
      </c>
      <c r="V4060" t="s">
        <v>262</v>
      </c>
      <c r="W4060" t="s">
        <v>261</v>
      </c>
      <c r="X4060" t="s">
        <v>261</v>
      </c>
      <c r="Y4060" t="s">
        <v>261</v>
      </c>
      <c r="Z4060" t="s">
        <v>409</v>
      </c>
      <c r="AA4060" t="s">
        <v>409</v>
      </c>
      <c r="AB4060" t="s">
        <v>409</v>
      </c>
      <c r="AC4060" t="s">
        <v>409</v>
      </c>
      <c r="AD4060" t="s">
        <v>261</v>
      </c>
      <c r="AH4060" t="s">
        <v>262</v>
      </c>
      <c r="AI4060" t="s">
        <v>262</v>
      </c>
      <c r="AJ4060" t="s">
        <v>261</v>
      </c>
      <c r="AK4060" t="s">
        <v>261</v>
      </c>
      <c r="AM4060" t="s">
        <v>262</v>
      </c>
      <c r="AN4060" t="s">
        <v>11006</v>
      </c>
    </row>
    <row r="4061" spans="1:40" x14ac:dyDescent="0.35">
      <c r="A4061">
        <v>7015002</v>
      </c>
      <c r="B4061" t="s">
        <v>11007</v>
      </c>
      <c r="C4061" t="str">
        <f>""</f>
        <v/>
      </c>
      <c r="D4061" t="str">
        <f>"9783486776775"</f>
        <v>9783486776775</v>
      </c>
      <c r="E4061" t="s">
        <v>415</v>
      </c>
      <c r="F4061" t="s">
        <v>665</v>
      </c>
      <c r="G4061" s="1">
        <v>17258</v>
      </c>
      <c r="H4061" s="1">
        <v>44726</v>
      </c>
      <c r="I4061" t="s">
        <v>189</v>
      </c>
      <c r="J4061">
        <v>6</v>
      </c>
      <c r="L4061" t="s">
        <v>11008</v>
      </c>
      <c r="M4061" t="s">
        <v>944</v>
      </c>
      <c r="Q4061" t="s">
        <v>408</v>
      </c>
      <c r="R4061" t="s">
        <v>261</v>
      </c>
      <c r="S4061" t="s">
        <v>261</v>
      </c>
      <c r="T4061" t="s">
        <v>261</v>
      </c>
      <c r="U4061" t="s">
        <v>261</v>
      </c>
      <c r="V4061" t="s">
        <v>262</v>
      </c>
      <c r="W4061" t="s">
        <v>261</v>
      </c>
      <c r="X4061" t="s">
        <v>261</v>
      </c>
      <c r="Y4061" t="s">
        <v>261</v>
      </c>
      <c r="Z4061" t="s">
        <v>409</v>
      </c>
      <c r="AA4061" t="s">
        <v>409</v>
      </c>
      <c r="AB4061" t="s">
        <v>409</v>
      </c>
      <c r="AC4061" t="s">
        <v>409</v>
      </c>
      <c r="AD4061" t="s">
        <v>261</v>
      </c>
      <c r="AH4061" t="s">
        <v>262</v>
      </c>
      <c r="AI4061" t="s">
        <v>262</v>
      </c>
      <c r="AJ4061" t="s">
        <v>261</v>
      </c>
      <c r="AK4061" t="s">
        <v>261</v>
      </c>
      <c r="AM4061" t="s">
        <v>262</v>
      </c>
      <c r="AN4061" t="s">
        <v>11009</v>
      </c>
    </row>
    <row r="4062" spans="1:40" x14ac:dyDescent="0.35">
      <c r="A4062">
        <v>7015003</v>
      </c>
      <c r="B4062" t="s">
        <v>11010</v>
      </c>
      <c r="C4062" t="str">
        <f>""</f>
        <v/>
      </c>
      <c r="D4062" t="str">
        <f>"9783486777932"</f>
        <v>9783486777932</v>
      </c>
      <c r="E4062" t="s">
        <v>415</v>
      </c>
      <c r="F4062" t="s">
        <v>665</v>
      </c>
      <c r="G4062" s="1">
        <v>18354</v>
      </c>
      <c r="H4062" s="1">
        <v>44726</v>
      </c>
      <c r="I4062" t="s">
        <v>189</v>
      </c>
      <c r="J4062">
        <v>1</v>
      </c>
      <c r="L4062" t="s">
        <v>11011</v>
      </c>
      <c r="M4062" t="s">
        <v>944</v>
      </c>
      <c r="Q4062" t="s">
        <v>408</v>
      </c>
      <c r="R4062" t="s">
        <v>261</v>
      </c>
      <c r="S4062" t="s">
        <v>261</v>
      </c>
      <c r="T4062" t="s">
        <v>261</v>
      </c>
      <c r="U4062" t="s">
        <v>261</v>
      </c>
      <c r="V4062" t="s">
        <v>262</v>
      </c>
      <c r="W4062" t="s">
        <v>261</v>
      </c>
      <c r="X4062" t="s">
        <v>261</v>
      </c>
      <c r="Y4062" t="s">
        <v>261</v>
      </c>
      <c r="Z4062" t="s">
        <v>409</v>
      </c>
      <c r="AA4062" t="s">
        <v>409</v>
      </c>
      <c r="AB4062" t="s">
        <v>409</v>
      </c>
      <c r="AC4062" t="s">
        <v>409</v>
      </c>
      <c r="AD4062" t="s">
        <v>261</v>
      </c>
      <c r="AH4062" t="s">
        <v>262</v>
      </c>
      <c r="AI4062" t="s">
        <v>262</v>
      </c>
      <c r="AJ4062" t="s">
        <v>261</v>
      </c>
      <c r="AK4062" t="s">
        <v>261</v>
      </c>
      <c r="AM4062" t="s">
        <v>262</v>
      </c>
      <c r="AN4062" t="s">
        <v>11012</v>
      </c>
    </row>
    <row r="4063" spans="1:40" x14ac:dyDescent="0.35">
      <c r="A4063">
        <v>7015004</v>
      </c>
      <c r="B4063" t="s">
        <v>11013</v>
      </c>
      <c r="C4063" t="str">
        <f>""</f>
        <v/>
      </c>
      <c r="D4063" t="str">
        <f>"9783111604114"</f>
        <v>9783111604114</v>
      </c>
      <c r="E4063" t="s">
        <v>415</v>
      </c>
      <c r="F4063" t="s">
        <v>415</v>
      </c>
      <c r="G4063" s="1">
        <v>5936</v>
      </c>
      <c r="H4063" s="1">
        <v>44726</v>
      </c>
      <c r="I4063" t="s">
        <v>189</v>
      </c>
      <c r="J4063">
        <v>1</v>
      </c>
      <c r="L4063" t="s">
        <v>11014</v>
      </c>
      <c r="M4063" t="s">
        <v>316</v>
      </c>
      <c r="Q4063" t="s">
        <v>408</v>
      </c>
      <c r="R4063" t="s">
        <v>261</v>
      </c>
      <c r="S4063" t="s">
        <v>261</v>
      </c>
      <c r="T4063" t="s">
        <v>261</v>
      </c>
      <c r="U4063" t="s">
        <v>261</v>
      </c>
      <c r="V4063" t="s">
        <v>262</v>
      </c>
      <c r="W4063" t="s">
        <v>261</v>
      </c>
      <c r="X4063" t="s">
        <v>261</v>
      </c>
      <c r="Y4063" t="s">
        <v>261</v>
      </c>
      <c r="Z4063" t="s">
        <v>409</v>
      </c>
      <c r="AA4063" t="s">
        <v>409</v>
      </c>
      <c r="AB4063" t="s">
        <v>409</v>
      </c>
      <c r="AC4063" t="s">
        <v>409</v>
      </c>
      <c r="AD4063" t="s">
        <v>261</v>
      </c>
      <c r="AH4063" t="s">
        <v>262</v>
      </c>
      <c r="AI4063" t="s">
        <v>262</v>
      </c>
      <c r="AJ4063" t="s">
        <v>261</v>
      </c>
      <c r="AK4063" t="s">
        <v>261</v>
      </c>
      <c r="AM4063" t="s">
        <v>262</v>
      </c>
      <c r="AN4063" t="s">
        <v>11015</v>
      </c>
    </row>
    <row r="4064" spans="1:40" x14ac:dyDescent="0.35">
      <c r="A4064">
        <v>7015005</v>
      </c>
      <c r="B4064" t="s">
        <v>11016</v>
      </c>
      <c r="C4064" t="str">
        <f>""</f>
        <v/>
      </c>
      <c r="D4064" t="str">
        <f>"9783110707014"</f>
        <v>9783110707014</v>
      </c>
      <c r="E4064" t="s">
        <v>415</v>
      </c>
      <c r="F4064" t="s">
        <v>415</v>
      </c>
      <c r="G4064" s="1">
        <v>44508</v>
      </c>
      <c r="H4064" s="1">
        <v>44726</v>
      </c>
      <c r="I4064" t="s">
        <v>189</v>
      </c>
      <c r="J4064">
        <v>1</v>
      </c>
      <c r="K4064" t="s">
        <v>10749</v>
      </c>
      <c r="L4064" t="s">
        <v>11017</v>
      </c>
    </row>
    <row r="4065" spans="1:40" x14ac:dyDescent="0.35">
      <c r="A4065">
        <v>7015006</v>
      </c>
      <c r="B4065" t="s">
        <v>11018</v>
      </c>
      <c r="C4065" t="str">
        <f>""</f>
        <v/>
      </c>
      <c r="D4065" t="str">
        <f>"9783111656892"</f>
        <v>9783111656892</v>
      </c>
      <c r="E4065" t="s">
        <v>415</v>
      </c>
      <c r="F4065" t="s">
        <v>415</v>
      </c>
      <c r="G4065" s="1">
        <v>2648</v>
      </c>
      <c r="H4065" s="1">
        <v>44726</v>
      </c>
      <c r="I4065" t="s">
        <v>189</v>
      </c>
      <c r="J4065">
        <v>1</v>
      </c>
      <c r="L4065" t="s">
        <v>11019</v>
      </c>
      <c r="M4065" t="s">
        <v>239</v>
      </c>
      <c r="Q4065" t="s">
        <v>408</v>
      </c>
      <c r="R4065" t="s">
        <v>261</v>
      </c>
      <c r="S4065" t="s">
        <v>261</v>
      </c>
      <c r="T4065" t="s">
        <v>261</v>
      </c>
      <c r="U4065" t="s">
        <v>261</v>
      </c>
      <c r="V4065" t="s">
        <v>262</v>
      </c>
      <c r="W4065" t="s">
        <v>261</v>
      </c>
      <c r="X4065" t="s">
        <v>261</v>
      </c>
      <c r="Y4065" t="s">
        <v>261</v>
      </c>
      <c r="Z4065" t="s">
        <v>409</v>
      </c>
      <c r="AA4065" t="s">
        <v>409</v>
      </c>
      <c r="AB4065" t="s">
        <v>409</v>
      </c>
      <c r="AC4065" t="s">
        <v>409</v>
      </c>
      <c r="AD4065" t="s">
        <v>261</v>
      </c>
      <c r="AH4065" t="s">
        <v>262</v>
      </c>
      <c r="AI4065" t="s">
        <v>262</v>
      </c>
      <c r="AJ4065" t="s">
        <v>261</v>
      </c>
      <c r="AK4065" t="s">
        <v>261</v>
      </c>
      <c r="AM4065" t="s">
        <v>262</v>
      </c>
      <c r="AN4065" t="s">
        <v>11020</v>
      </c>
    </row>
    <row r="4066" spans="1:40" x14ac:dyDescent="0.35">
      <c r="A4066">
        <v>7015007</v>
      </c>
      <c r="B4066" t="s">
        <v>11021</v>
      </c>
      <c r="C4066" t="str">
        <f>""</f>
        <v/>
      </c>
      <c r="D4066" t="str">
        <f>"9783110688917"</f>
        <v>9783110688917</v>
      </c>
      <c r="E4066" t="s">
        <v>415</v>
      </c>
      <c r="F4066" t="s">
        <v>415</v>
      </c>
      <c r="G4066" s="1">
        <v>44396</v>
      </c>
      <c r="H4066" s="1">
        <v>44726</v>
      </c>
      <c r="I4066" t="s">
        <v>189</v>
      </c>
      <c r="J4066">
        <v>1</v>
      </c>
      <c r="K4066" t="s">
        <v>11022</v>
      </c>
      <c r="L4066" t="s">
        <v>11023</v>
      </c>
    </row>
    <row r="4067" spans="1:40" x14ac:dyDescent="0.35">
      <c r="A4067">
        <v>7015008</v>
      </c>
      <c r="B4067" t="s">
        <v>11024</v>
      </c>
      <c r="C4067" t="str">
        <f>""</f>
        <v/>
      </c>
      <c r="D4067" t="str">
        <f>"9783110745832"</f>
        <v>9783110745832</v>
      </c>
      <c r="E4067" t="s">
        <v>415</v>
      </c>
      <c r="F4067" t="s">
        <v>415</v>
      </c>
      <c r="G4067" s="1">
        <v>44536</v>
      </c>
      <c r="H4067" s="1">
        <v>44726</v>
      </c>
      <c r="I4067" t="s">
        <v>189</v>
      </c>
      <c r="J4067">
        <v>1</v>
      </c>
      <c r="K4067" t="s">
        <v>3923</v>
      </c>
      <c r="L4067" t="s">
        <v>6537</v>
      </c>
      <c r="M4067" t="s">
        <v>239</v>
      </c>
    </row>
    <row r="4068" spans="1:40" x14ac:dyDescent="0.35">
      <c r="A4068">
        <v>7015009</v>
      </c>
      <c r="B4068" t="s">
        <v>11025</v>
      </c>
      <c r="C4068" t="str">
        <f>""</f>
        <v/>
      </c>
      <c r="D4068" t="str">
        <f>"9783110642018"</f>
        <v>9783110642018</v>
      </c>
      <c r="E4068" t="s">
        <v>415</v>
      </c>
      <c r="F4068" t="s">
        <v>415</v>
      </c>
      <c r="G4068" s="1">
        <v>44214</v>
      </c>
      <c r="H4068" s="1">
        <v>44726</v>
      </c>
      <c r="I4068" t="s">
        <v>189</v>
      </c>
      <c r="J4068">
        <v>1</v>
      </c>
      <c r="L4068" t="s">
        <v>11026</v>
      </c>
      <c r="M4068" t="s">
        <v>219</v>
      </c>
      <c r="Q4068" t="s">
        <v>260</v>
      </c>
      <c r="R4068" t="s">
        <v>261</v>
      </c>
      <c r="S4068" t="s">
        <v>261</v>
      </c>
      <c r="T4068" t="s">
        <v>261</v>
      </c>
      <c r="U4068" t="s">
        <v>261</v>
      </c>
      <c r="V4068" t="s">
        <v>262</v>
      </c>
      <c r="W4068" t="s">
        <v>261</v>
      </c>
      <c r="X4068" t="s">
        <v>261</v>
      </c>
      <c r="Y4068" t="s">
        <v>261</v>
      </c>
      <c r="Z4068" t="s">
        <v>409</v>
      </c>
      <c r="AA4068" t="s">
        <v>409</v>
      </c>
      <c r="AB4068" t="s">
        <v>409</v>
      </c>
      <c r="AC4068" t="s">
        <v>409</v>
      </c>
      <c r="AD4068" t="s">
        <v>261</v>
      </c>
      <c r="AH4068" t="s">
        <v>262</v>
      </c>
      <c r="AI4068" t="s">
        <v>262</v>
      </c>
      <c r="AJ4068" t="s">
        <v>261</v>
      </c>
      <c r="AK4068" t="s">
        <v>261</v>
      </c>
      <c r="AM4068" t="s">
        <v>262</v>
      </c>
      <c r="AN4068" t="s">
        <v>11027</v>
      </c>
    </row>
    <row r="4069" spans="1:40" x14ac:dyDescent="0.35">
      <c r="A4069">
        <v>7015010</v>
      </c>
      <c r="B4069" t="s">
        <v>11028</v>
      </c>
      <c r="C4069" t="str">
        <f>""</f>
        <v/>
      </c>
      <c r="D4069" t="str">
        <f>"9783110446609"</f>
        <v>9783110446609</v>
      </c>
      <c r="E4069" t="s">
        <v>415</v>
      </c>
      <c r="F4069" t="s">
        <v>665</v>
      </c>
      <c r="G4069" s="1">
        <v>33955</v>
      </c>
      <c r="H4069" s="1">
        <v>44726</v>
      </c>
      <c r="I4069" t="s">
        <v>189</v>
      </c>
      <c r="J4069">
        <v>1</v>
      </c>
      <c r="K4069" t="s">
        <v>1387</v>
      </c>
      <c r="L4069" t="s">
        <v>11029</v>
      </c>
    </row>
    <row r="4070" spans="1:40" x14ac:dyDescent="0.35">
      <c r="A4070">
        <v>7015011</v>
      </c>
      <c r="B4070" t="s">
        <v>11030</v>
      </c>
      <c r="C4070" t="str">
        <f>""</f>
        <v/>
      </c>
      <c r="D4070" t="str">
        <f>"9788395669644"</f>
        <v>9788395669644</v>
      </c>
      <c r="E4070" t="s">
        <v>415</v>
      </c>
      <c r="F4070" t="s">
        <v>659</v>
      </c>
      <c r="G4070" s="1">
        <v>44410</v>
      </c>
      <c r="H4070" s="1">
        <v>44726</v>
      </c>
      <c r="I4070" t="s">
        <v>189</v>
      </c>
      <c r="J4070">
        <v>1</v>
      </c>
      <c r="L4070" t="s">
        <v>11031</v>
      </c>
      <c r="M4070" t="s">
        <v>239</v>
      </c>
    </row>
    <row r="4071" spans="1:40" x14ac:dyDescent="0.35">
      <c r="A4071">
        <v>7015012</v>
      </c>
      <c r="B4071" t="s">
        <v>11032</v>
      </c>
      <c r="C4071" t="str">
        <f>""</f>
        <v/>
      </c>
      <c r="D4071" t="str">
        <f>"9783110614244"</f>
        <v>9783110614244</v>
      </c>
      <c r="E4071" t="s">
        <v>415</v>
      </c>
      <c r="F4071" t="s">
        <v>415</v>
      </c>
      <c r="G4071" s="1">
        <v>43759</v>
      </c>
      <c r="H4071" s="1">
        <v>44726</v>
      </c>
      <c r="I4071" t="s">
        <v>189</v>
      </c>
      <c r="J4071">
        <v>1</v>
      </c>
      <c r="K4071" t="s">
        <v>11033</v>
      </c>
      <c r="L4071" t="s">
        <v>11034</v>
      </c>
    </row>
    <row r="4072" spans="1:40" x14ac:dyDescent="0.35">
      <c r="A4072">
        <v>7015013</v>
      </c>
      <c r="B4072" t="s">
        <v>11035</v>
      </c>
      <c r="C4072" t="str">
        <f>"9783111280967"</f>
        <v>9783111280967</v>
      </c>
      <c r="D4072" t="str">
        <f>"9783111717784"</f>
        <v>9783111717784</v>
      </c>
      <c r="E4072" t="s">
        <v>415</v>
      </c>
      <c r="F4072" t="s">
        <v>415</v>
      </c>
      <c r="G4072" t="s">
        <v>11036</v>
      </c>
      <c r="H4072" s="1">
        <v>44726</v>
      </c>
      <c r="I4072" t="s">
        <v>189</v>
      </c>
      <c r="J4072">
        <v>1</v>
      </c>
      <c r="L4072" t="s">
        <v>11037</v>
      </c>
      <c r="M4072" t="s">
        <v>389</v>
      </c>
      <c r="Q4072" t="s">
        <v>408</v>
      </c>
      <c r="R4072" t="s">
        <v>261</v>
      </c>
      <c r="S4072" t="s">
        <v>261</v>
      </c>
      <c r="T4072" t="s">
        <v>261</v>
      </c>
      <c r="U4072" t="s">
        <v>261</v>
      </c>
      <c r="V4072" t="s">
        <v>262</v>
      </c>
      <c r="W4072" t="s">
        <v>261</v>
      </c>
      <c r="X4072" t="s">
        <v>261</v>
      </c>
      <c r="Y4072" t="s">
        <v>261</v>
      </c>
      <c r="Z4072" t="s">
        <v>409</v>
      </c>
      <c r="AA4072" t="s">
        <v>409</v>
      </c>
      <c r="AB4072" t="s">
        <v>409</v>
      </c>
      <c r="AC4072" t="s">
        <v>409</v>
      </c>
      <c r="AD4072" t="s">
        <v>261</v>
      </c>
      <c r="AH4072" t="s">
        <v>262</v>
      </c>
      <c r="AI4072" t="s">
        <v>262</v>
      </c>
      <c r="AJ4072" t="s">
        <v>261</v>
      </c>
      <c r="AK4072" t="s">
        <v>261</v>
      </c>
      <c r="AM4072" t="s">
        <v>262</v>
      </c>
      <c r="AN4072" t="s">
        <v>11038</v>
      </c>
    </row>
    <row r="4073" spans="1:40" x14ac:dyDescent="0.35">
      <c r="A4073">
        <v>7015014</v>
      </c>
      <c r="B4073" t="s">
        <v>11039</v>
      </c>
      <c r="C4073" t="str">
        <f>""</f>
        <v/>
      </c>
      <c r="D4073" t="str">
        <f>"9783110731361"</f>
        <v>9783110731361</v>
      </c>
      <c r="E4073" t="s">
        <v>415</v>
      </c>
      <c r="F4073" t="s">
        <v>415</v>
      </c>
      <c r="G4073" s="1">
        <v>44292</v>
      </c>
      <c r="H4073" s="1">
        <v>44726</v>
      </c>
      <c r="I4073" t="s">
        <v>189</v>
      </c>
      <c r="J4073">
        <v>1</v>
      </c>
      <c r="K4073" t="s">
        <v>3906</v>
      </c>
      <c r="L4073" t="s">
        <v>11040</v>
      </c>
      <c r="M4073" t="s">
        <v>676</v>
      </c>
    </row>
    <row r="4074" spans="1:40" x14ac:dyDescent="0.35">
      <c r="A4074">
        <v>7015015</v>
      </c>
      <c r="B4074" t="s">
        <v>11041</v>
      </c>
      <c r="C4074" t="str">
        <f>""</f>
        <v/>
      </c>
      <c r="D4074" t="str">
        <f>"9783110732740"</f>
        <v>9783110732740</v>
      </c>
      <c r="E4074" t="s">
        <v>415</v>
      </c>
      <c r="F4074" t="s">
        <v>415</v>
      </c>
      <c r="G4074" s="1">
        <v>44326</v>
      </c>
      <c r="H4074" s="1">
        <v>44726</v>
      </c>
      <c r="I4074" t="s">
        <v>189</v>
      </c>
      <c r="J4074">
        <v>1</v>
      </c>
      <c r="K4074" t="s">
        <v>11042</v>
      </c>
      <c r="L4074" t="s">
        <v>11043</v>
      </c>
      <c r="M4074" t="s">
        <v>239</v>
      </c>
    </row>
    <row r="4075" spans="1:40" x14ac:dyDescent="0.35">
      <c r="A4075">
        <v>7015016</v>
      </c>
      <c r="B4075" t="s">
        <v>11044</v>
      </c>
      <c r="C4075" t="str">
        <f>""</f>
        <v/>
      </c>
      <c r="D4075" t="str">
        <f>"9783110811865"</f>
        <v>9783110811865</v>
      </c>
      <c r="E4075" t="s">
        <v>346</v>
      </c>
      <c r="F4075" t="s">
        <v>2637</v>
      </c>
      <c r="G4075" s="1">
        <v>43497</v>
      </c>
      <c r="H4075" s="1">
        <v>44726</v>
      </c>
      <c r="I4075" t="s">
        <v>189</v>
      </c>
      <c r="J4075">
        <v>1</v>
      </c>
      <c r="L4075" t="s">
        <v>11045</v>
      </c>
    </row>
    <row r="4076" spans="1:40" x14ac:dyDescent="0.35">
      <c r="A4076">
        <v>7015017</v>
      </c>
      <c r="B4076" t="s">
        <v>11046</v>
      </c>
      <c r="C4076" t="str">
        <f>""</f>
        <v/>
      </c>
      <c r="D4076" t="str">
        <f>"9783486817300"</f>
        <v>9783486817300</v>
      </c>
      <c r="E4076" t="s">
        <v>415</v>
      </c>
      <c r="F4076" t="s">
        <v>665</v>
      </c>
      <c r="G4076" s="1">
        <v>27364</v>
      </c>
      <c r="H4076" s="1">
        <v>44726</v>
      </c>
      <c r="I4076" t="s">
        <v>189</v>
      </c>
      <c r="J4076">
        <v>2</v>
      </c>
      <c r="L4076" t="s">
        <v>11047</v>
      </c>
    </row>
    <row r="4077" spans="1:40" x14ac:dyDescent="0.35">
      <c r="A4077">
        <v>7015018</v>
      </c>
      <c r="B4077" t="s">
        <v>11048</v>
      </c>
      <c r="C4077" t="str">
        <f>""</f>
        <v/>
      </c>
      <c r="D4077" t="str">
        <f>"9783110709308"</f>
        <v>9783110709308</v>
      </c>
      <c r="E4077" t="s">
        <v>415</v>
      </c>
      <c r="F4077" t="s">
        <v>415</v>
      </c>
      <c r="G4077" s="1">
        <v>44473</v>
      </c>
      <c r="H4077" s="1">
        <v>44726</v>
      </c>
      <c r="I4077" t="s">
        <v>189</v>
      </c>
      <c r="J4077">
        <v>1</v>
      </c>
      <c r="K4077" t="s">
        <v>11049</v>
      </c>
      <c r="L4077" t="s">
        <v>11050</v>
      </c>
    </row>
    <row r="4078" spans="1:40" x14ac:dyDescent="0.35">
      <c r="A4078">
        <v>7015019</v>
      </c>
      <c r="B4078" t="s">
        <v>11051</v>
      </c>
      <c r="C4078" t="str">
        <f>""</f>
        <v/>
      </c>
      <c r="D4078" t="str">
        <f>"9783486758276"</f>
        <v>9783486758276</v>
      </c>
      <c r="E4078" t="s">
        <v>415</v>
      </c>
      <c r="F4078" t="s">
        <v>665</v>
      </c>
      <c r="G4078" s="1">
        <v>4019</v>
      </c>
      <c r="H4078" s="1">
        <v>44726</v>
      </c>
      <c r="I4078" t="s">
        <v>189</v>
      </c>
      <c r="J4078">
        <v>5</v>
      </c>
      <c r="K4078" t="s">
        <v>11052</v>
      </c>
      <c r="L4078" t="s">
        <v>11053</v>
      </c>
      <c r="M4078" t="s">
        <v>239</v>
      </c>
      <c r="Q4078" t="s">
        <v>408</v>
      </c>
      <c r="R4078" t="s">
        <v>261</v>
      </c>
      <c r="S4078" t="s">
        <v>261</v>
      </c>
      <c r="T4078" t="s">
        <v>261</v>
      </c>
      <c r="U4078" t="s">
        <v>261</v>
      </c>
      <c r="V4078" t="s">
        <v>262</v>
      </c>
      <c r="W4078" t="s">
        <v>261</v>
      </c>
      <c r="X4078" t="s">
        <v>261</v>
      </c>
      <c r="Y4078" t="s">
        <v>261</v>
      </c>
      <c r="Z4078" t="s">
        <v>409</v>
      </c>
      <c r="AA4078" t="s">
        <v>409</v>
      </c>
      <c r="AB4078" t="s">
        <v>409</v>
      </c>
      <c r="AC4078" t="s">
        <v>409</v>
      </c>
      <c r="AD4078" t="s">
        <v>261</v>
      </c>
      <c r="AH4078" t="s">
        <v>262</v>
      </c>
      <c r="AI4078" t="s">
        <v>262</v>
      </c>
      <c r="AJ4078" t="s">
        <v>261</v>
      </c>
      <c r="AK4078" t="s">
        <v>261</v>
      </c>
      <c r="AM4078" t="s">
        <v>262</v>
      </c>
      <c r="AN4078" t="s">
        <v>11054</v>
      </c>
    </row>
    <row r="4079" spans="1:40" x14ac:dyDescent="0.35">
      <c r="A4079">
        <v>7015020</v>
      </c>
      <c r="B4079" t="s">
        <v>11055</v>
      </c>
      <c r="C4079" t="str">
        <f>"9783110586381"</f>
        <v>9783110586381</v>
      </c>
      <c r="D4079" t="str">
        <f>"9783110586459"</f>
        <v>9783110586459</v>
      </c>
      <c r="E4079" t="s">
        <v>415</v>
      </c>
      <c r="F4079" t="s">
        <v>415</v>
      </c>
      <c r="G4079" s="1">
        <v>43395</v>
      </c>
      <c r="H4079" s="1">
        <v>44726</v>
      </c>
      <c r="I4079" t="s">
        <v>189</v>
      </c>
      <c r="J4079">
        <v>1</v>
      </c>
      <c r="K4079" t="s">
        <v>6746</v>
      </c>
      <c r="L4079" t="s">
        <v>6747</v>
      </c>
    </row>
    <row r="4080" spans="1:40" x14ac:dyDescent="0.35">
      <c r="A4080">
        <v>7015021</v>
      </c>
      <c r="B4080" t="s">
        <v>11056</v>
      </c>
      <c r="C4080" t="str">
        <f>"9783110613209"</f>
        <v>9783110613209</v>
      </c>
      <c r="D4080" t="str">
        <f>"9783110614855"</f>
        <v>9783110614855</v>
      </c>
      <c r="E4080" t="s">
        <v>415</v>
      </c>
      <c r="F4080" t="s">
        <v>415</v>
      </c>
      <c r="G4080" s="1">
        <v>43409</v>
      </c>
      <c r="H4080" s="1">
        <v>44726</v>
      </c>
      <c r="I4080" t="s">
        <v>189</v>
      </c>
      <c r="J4080">
        <v>1</v>
      </c>
      <c r="K4080" t="s">
        <v>2641</v>
      </c>
      <c r="L4080" t="s">
        <v>2642</v>
      </c>
      <c r="M4080" t="s">
        <v>578</v>
      </c>
      <c r="Q4080" t="s">
        <v>408</v>
      </c>
      <c r="R4080" t="s">
        <v>261</v>
      </c>
      <c r="S4080" t="s">
        <v>261</v>
      </c>
      <c r="T4080" t="s">
        <v>261</v>
      </c>
      <c r="U4080" t="s">
        <v>261</v>
      </c>
      <c r="V4080" t="s">
        <v>262</v>
      </c>
      <c r="W4080" t="s">
        <v>261</v>
      </c>
      <c r="X4080" t="s">
        <v>261</v>
      </c>
      <c r="Y4080" t="s">
        <v>261</v>
      </c>
      <c r="Z4080" t="s">
        <v>409</v>
      </c>
      <c r="AA4080" t="s">
        <v>409</v>
      </c>
      <c r="AB4080" t="s">
        <v>409</v>
      </c>
      <c r="AC4080" t="s">
        <v>409</v>
      </c>
      <c r="AD4080" t="s">
        <v>261</v>
      </c>
      <c r="AH4080" t="s">
        <v>262</v>
      </c>
      <c r="AI4080" t="s">
        <v>262</v>
      </c>
      <c r="AJ4080" t="s">
        <v>261</v>
      </c>
      <c r="AK4080" t="s">
        <v>261</v>
      </c>
      <c r="AM4080" t="s">
        <v>262</v>
      </c>
      <c r="AN4080" t="s">
        <v>11057</v>
      </c>
    </row>
    <row r="4081" spans="1:40" x14ac:dyDescent="0.35">
      <c r="A4081">
        <v>7015022</v>
      </c>
      <c r="B4081" t="s">
        <v>11058</v>
      </c>
      <c r="C4081" t="str">
        <f>""</f>
        <v/>
      </c>
      <c r="D4081" t="str">
        <f>"9783110636628"</f>
        <v>9783110636628</v>
      </c>
      <c r="E4081" t="s">
        <v>415</v>
      </c>
      <c r="F4081" t="s">
        <v>416</v>
      </c>
      <c r="G4081" s="1">
        <v>44081</v>
      </c>
      <c r="H4081" s="1">
        <v>44726</v>
      </c>
      <c r="I4081" t="s">
        <v>189</v>
      </c>
      <c r="J4081">
        <v>1</v>
      </c>
      <c r="K4081" t="s">
        <v>11059</v>
      </c>
      <c r="L4081" t="s">
        <v>11060</v>
      </c>
    </row>
    <row r="4082" spans="1:40" x14ac:dyDescent="0.35">
      <c r="A4082">
        <v>7015023</v>
      </c>
      <c r="B4082" t="s">
        <v>11061</v>
      </c>
      <c r="C4082" t="str">
        <f>""</f>
        <v/>
      </c>
      <c r="D4082" t="str">
        <f>"9783110683042"</f>
        <v>9783110683042</v>
      </c>
      <c r="E4082" t="s">
        <v>415</v>
      </c>
      <c r="F4082" t="s">
        <v>415</v>
      </c>
      <c r="G4082" s="1">
        <v>44536</v>
      </c>
      <c r="H4082" s="1">
        <v>44726</v>
      </c>
      <c r="I4082" t="s">
        <v>189</v>
      </c>
      <c r="J4082">
        <v>1</v>
      </c>
      <c r="L4082" t="s">
        <v>11062</v>
      </c>
      <c r="M4082" t="s">
        <v>329</v>
      </c>
      <c r="O4082" t="s">
        <v>11063</v>
      </c>
      <c r="Q4082" t="s">
        <v>260</v>
      </c>
      <c r="R4082" t="s">
        <v>261</v>
      </c>
      <c r="S4082" t="s">
        <v>261</v>
      </c>
      <c r="T4082" t="s">
        <v>261</v>
      </c>
      <c r="U4082" t="s">
        <v>261</v>
      </c>
      <c r="V4082" t="s">
        <v>262</v>
      </c>
      <c r="W4082" t="s">
        <v>261</v>
      </c>
      <c r="X4082" t="s">
        <v>261</v>
      </c>
      <c r="Y4082" t="s">
        <v>261</v>
      </c>
      <c r="Z4082" t="s">
        <v>409</v>
      </c>
      <c r="AA4082" t="s">
        <v>409</v>
      </c>
      <c r="AB4082" t="s">
        <v>409</v>
      </c>
      <c r="AC4082" t="s">
        <v>409</v>
      </c>
      <c r="AD4082" t="s">
        <v>261</v>
      </c>
      <c r="AH4082" t="s">
        <v>262</v>
      </c>
      <c r="AI4082" t="s">
        <v>262</v>
      </c>
      <c r="AJ4082" t="s">
        <v>261</v>
      </c>
      <c r="AK4082" t="s">
        <v>261</v>
      </c>
      <c r="AM4082" t="s">
        <v>262</v>
      </c>
      <c r="AN4082" t="s">
        <v>11064</v>
      </c>
    </row>
    <row r="4083" spans="1:40" x14ac:dyDescent="0.35">
      <c r="A4083">
        <v>7015024</v>
      </c>
      <c r="B4083" t="s">
        <v>11065</v>
      </c>
      <c r="C4083" t="str">
        <f>""</f>
        <v/>
      </c>
      <c r="D4083" t="str">
        <f>"9783110667189"</f>
        <v>9783110667189</v>
      </c>
      <c r="E4083" t="s">
        <v>415</v>
      </c>
      <c r="F4083" t="s">
        <v>415</v>
      </c>
      <c r="G4083" s="1">
        <v>44158</v>
      </c>
      <c r="H4083" s="1">
        <v>44726</v>
      </c>
      <c r="I4083" t="s">
        <v>189</v>
      </c>
      <c r="J4083">
        <v>1</v>
      </c>
      <c r="L4083" t="s">
        <v>11066</v>
      </c>
    </row>
    <row r="4084" spans="1:40" x14ac:dyDescent="0.35">
      <c r="A4084">
        <v>7015025</v>
      </c>
      <c r="B4084" t="s">
        <v>11067</v>
      </c>
      <c r="C4084" t="str">
        <f>"9783110605198"</f>
        <v>9783110605198</v>
      </c>
      <c r="D4084" t="str">
        <f>"9783110605570"</f>
        <v>9783110605570</v>
      </c>
      <c r="E4084" t="s">
        <v>415</v>
      </c>
      <c r="F4084" t="s">
        <v>659</v>
      </c>
      <c r="G4084" s="1">
        <v>43451</v>
      </c>
      <c r="H4084" s="1">
        <v>44726</v>
      </c>
      <c r="I4084" t="s">
        <v>189</v>
      </c>
      <c r="J4084">
        <v>1</v>
      </c>
      <c r="L4084" t="s">
        <v>2327</v>
      </c>
    </row>
    <row r="4085" spans="1:40" x14ac:dyDescent="0.35">
      <c r="A4085">
        <v>7015026</v>
      </c>
      <c r="B4085" t="s">
        <v>11068</v>
      </c>
      <c r="C4085" t="str">
        <f>"9783110576832"</f>
        <v>9783110576832</v>
      </c>
      <c r="D4085" t="str">
        <f>"9783110591484"</f>
        <v>9783110591484</v>
      </c>
      <c r="E4085" t="s">
        <v>346</v>
      </c>
      <c r="F4085" t="s">
        <v>2637</v>
      </c>
      <c r="G4085" s="1">
        <v>44158</v>
      </c>
      <c r="H4085" s="1">
        <v>44726</v>
      </c>
      <c r="I4085" t="s">
        <v>189</v>
      </c>
      <c r="J4085">
        <v>1</v>
      </c>
      <c r="K4085" t="s">
        <v>11069</v>
      </c>
      <c r="L4085" t="s">
        <v>11070</v>
      </c>
    </row>
    <row r="4086" spans="1:40" x14ac:dyDescent="0.35">
      <c r="A4086">
        <v>7015027</v>
      </c>
      <c r="B4086" t="s">
        <v>11071</v>
      </c>
      <c r="C4086" t="str">
        <f>""</f>
        <v/>
      </c>
      <c r="D4086" t="str">
        <f>"9783111578156"</f>
        <v>9783111578156</v>
      </c>
      <c r="E4086" t="s">
        <v>415</v>
      </c>
      <c r="F4086" t="s">
        <v>415</v>
      </c>
      <c r="G4086" s="1">
        <v>23102</v>
      </c>
      <c r="H4086" s="1">
        <v>44726</v>
      </c>
      <c r="I4086" t="s">
        <v>189</v>
      </c>
      <c r="J4086">
        <v>1</v>
      </c>
      <c r="L4086" t="s">
        <v>11072</v>
      </c>
      <c r="M4086" t="s">
        <v>1687</v>
      </c>
      <c r="Q4086" t="s">
        <v>408</v>
      </c>
      <c r="R4086" t="s">
        <v>261</v>
      </c>
      <c r="S4086" t="s">
        <v>261</v>
      </c>
      <c r="T4086" t="s">
        <v>261</v>
      </c>
      <c r="U4086" t="s">
        <v>261</v>
      </c>
      <c r="V4086" t="s">
        <v>262</v>
      </c>
      <c r="W4086" t="s">
        <v>261</v>
      </c>
      <c r="X4086" t="s">
        <v>261</v>
      </c>
      <c r="Y4086" t="s">
        <v>261</v>
      </c>
      <c r="Z4086" t="s">
        <v>409</v>
      </c>
      <c r="AA4086" t="s">
        <v>409</v>
      </c>
      <c r="AB4086" t="s">
        <v>409</v>
      </c>
      <c r="AC4086" t="s">
        <v>409</v>
      </c>
      <c r="AD4086" t="s">
        <v>261</v>
      </c>
      <c r="AH4086" t="s">
        <v>262</v>
      </c>
      <c r="AI4086" t="s">
        <v>262</v>
      </c>
      <c r="AJ4086" t="s">
        <v>261</v>
      </c>
      <c r="AK4086" t="s">
        <v>261</v>
      </c>
      <c r="AM4086" t="s">
        <v>262</v>
      </c>
      <c r="AN4086" t="s">
        <v>11073</v>
      </c>
    </row>
    <row r="4087" spans="1:40" x14ac:dyDescent="0.35">
      <c r="A4087">
        <v>7015028</v>
      </c>
      <c r="B4087" t="s">
        <v>11074</v>
      </c>
      <c r="C4087" t="str">
        <f>""</f>
        <v/>
      </c>
      <c r="D4087" t="str">
        <f>"9783110695755"</f>
        <v>9783110695755</v>
      </c>
      <c r="E4087" t="s">
        <v>415</v>
      </c>
      <c r="F4087" t="s">
        <v>415</v>
      </c>
      <c r="G4087" s="1">
        <v>44235</v>
      </c>
      <c r="H4087" s="1">
        <v>44726</v>
      </c>
      <c r="I4087" t="s">
        <v>189</v>
      </c>
      <c r="J4087">
        <v>1</v>
      </c>
      <c r="L4087" t="s">
        <v>6698</v>
      </c>
      <c r="M4087" t="s">
        <v>219</v>
      </c>
      <c r="O4087" t="s">
        <v>11075</v>
      </c>
      <c r="Q4087" t="s">
        <v>260</v>
      </c>
      <c r="R4087" t="s">
        <v>261</v>
      </c>
      <c r="S4087" t="s">
        <v>261</v>
      </c>
      <c r="T4087" t="s">
        <v>261</v>
      </c>
      <c r="U4087" t="s">
        <v>261</v>
      </c>
      <c r="V4087" t="s">
        <v>262</v>
      </c>
      <c r="W4087" t="s">
        <v>261</v>
      </c>
      <c r="X4087" t="s">
        <v>261</v>
      </c>
      <c r="Y4087" t="s">
        <v>261</v>
      </c>
      <c r="Z4087" t="s">
        <v>409</v>
      </c>
      <c r="AA4087" t="s">
        <v>409</v>
      </c>
      <c r="AB4087" t="s">
        <v>409</v>
      </c>
      <c r="AC4087" t="s">
        <v>409</v>
      </c>
      <c r="AD4087" t="s">
        <v>261</v>
      </c>
      <c r="AH4087" t="s">
        <v>262</v>
      </c>
      <c r="AI4087" t="s">
        <v>262</v>
      </c>
      <c r="AJ4087" t="s">
        <v>261</v>
      </c>
      <c r="AK4087" t="s">
        <v>261</v>
      </c>
      <c r="AM4087" t="s">
        <v>262</v>
      </c>
      <c r="AN4087" t="s">
        <v>11076</v>
      </c>
    </row>
    <row r="4088" spans="1:40" x14ac:dyDescent="0.35">
      <c r="A4088">
        <v>7015029</v>
      </c>
      <c r="B4088" t="s">
        <v>11077</v>
      </c>
      <c r="C4088" t="str">
        <f>""</f>
        <v/>
      </c>
      <c r="D4088" t="str">
        <f>"9783110828368"</f>
        <v>9783110828368</v>
      </c>
      <c r="E4088" t="s">
        <v>346</v>
      </c>
      <c r="F4088" t="s">
        <v>2637</v>
      </c>
      <c r="G4088" s="1">
        <v>43497</v>
      </c>
      <c r="H4088" s="1">
        <v>44726</v>
      </c>
      <c r="I4088" t="s">
        <v>189</v>
      </c>
      <c r="J4088">
        <v>1</v>
      </c>
      <c r="K4088" t="s">
        <v>10952</v>
      </c>
      <c r="L4088" t="s">
        <v>11078</v>
      </c>
      <c r="M4088" t="s">
        <v>210</v>
      </c>
    </row>
    <row r="4089" spans="1:40" x14ac:dyDescent="0.35">
      <c r="A4089">
        <v>7015030</v>
      </c>
      <c r="B4089" t="s">
        <v>11079</v>
      </c>
      <c r="C4089" t="str">
        <f>""</f>
        <v/>
      </c>
      <c r="D4089" t="str">
        <f>"9783486772548"</f>
        <v>9783486772548</v>
      </c>
      <c r="E4089" t="s">
        <v>415</v>
      </c>
      <c r="F4089" t="s">
        <v>665</v>
      </c>
      <c r="G4089" s="1">
        <v>14702</v>
      </c>
      <c r="H4089" s="1">
        <v>44726</v>
      </c>
      <c r="I4089" t="s">
        <v>189</v>
      </c>
      <c r="J4089">
        <v>1</v>
      </c>
      <c r="L4089" t="s">
        <v>11080</v>
      </c>
      <c r="M4089" t="s">
        <v>239</v>
      </c>
      <c r="Q4089" t="s">
        <v>408</v>
      </c>
      <c r="R4089" t="s">
        <v>261</v>
      </c>
      <c r="S4089" t="s">
        <v>261</v>
      </c>
      <c r="T4089" t="s">
        <v>261</v>
      </c>
      <c r="U4089" t="s">
        <v>261</v>
      </c>
      <c r="V4089" t="s">
        <v>262</v>
      </c>
      <c r="W4089" t="s">
        <v>261</v>
      </c>
      <c r="X4089" t="s">
        <v>261</v>
      </c>
      <c r="Y4089" t="s">
        <v>261</v>
      </c>
      <c r="Z4089" t="s">
        <v>409</v>
      </c>
      <c r="AA4089" t="s">
        <v>409</v>
      </c>
      <c r="AB4089" t="s">
        <v>409</v>
      </c>
      <c r="AC4089" t="s">
        <v>409</v>
      </c>
      <c r="AD4089" t="s">
        <v>261</v>
      </c>
      <c r="AH4089" t="s">
        <v>262</v>
      </c>
      <c r="AI4089" t="s">
        <v>262</v>
      </c>
      <c r="AJ4089" t="s">
        <v>261</v>
      </c>
      <c r="AK4089" t="s">
        <v>261</v>
      </c>
      <c r="AM4089" t="s">
        <v>262</v>
      </c>
      <c r="AN4089" t="s">
        <v>11081</v>
      </c>
    </row>
    <row r="4090" spans="1:40" x14ac:dyDescent="0.35">
      <c r="A4090">
        <v>7015031</v>
      </c>
      <c r="B4090" t="s">
        <v>11082</v>
      </c>
      <c r="C4090" t="str">
        <f>""</f>
        <v/>
      </c>
      <c r="D4090" t="str">
        <f>"9783110825411"</f>
        <v>9783110825411</v>
      </c>
      <c r="E4090" t="s">
        <v>415</v>
      </c>
      <c r="F4090" t="s">
        <v>415</v>
      </c>
      <c r="G4090" s="1">
        <v>24077</v>
      </c>
      <c r="H4090" s="1">
        <v>44726</v>
      </c>
      <c r="I4090" t="s">
        <v>189</v>
      </c>
      <c r="J4090">
        <v>1</v>
      </c>
      <c r="K4090" t="s">
        <v>11083</v>
      </c>
      <c r="L4090" t="s">
        <v>11084</v>
      </c>
    </row>
    <row r="4091" spans="1:40" x14ac:dyDescent="0.35">
      <c r="A4091">
        <v>7015032</v>
      </c>
      <c r="B4091" t="s">
        <v>11085</v>
      </c>
      <c r="C4091" t="str">
        <f>""</f>
        <v/>
      </c>
      <c r="D4091" t="str">
        <f>"9783110671995"</f>
        <v>9783110671995</v>
      </c>
      <c r="E4091" t="s">
        <v>415</v>
      </c>
      <c r="F4091" t="s">
        <v>415</v>
      </c>
      <c r="G4091" s="1">
        <v>44431</v>
      </c>
      <c r="H4091" s="1">
        <v>44726</v>
      </c>
      <c r="I4091" t="s">
        <v>189</v>
      </c>
      <c r="J4091">
        <v>1</v>
      </c>
      <c r="L4091" t="s">
        <v>3882</v>
      </c>
    </row>
    <row r="4092" spans="1:40" x14ac:dyDescent="0.35">
      <c r="A4092">
        <v>7015033</v>
      </c>
      <c r="B4092" t="s">
        <v>11086</v>
      </c>
      <c r="C4092" t="str">
        <f>""</f>
        <v/>
      </c>
      <c r="D4092" t="str">
        <f>"9783110677072"</f>
        <v>9783110677072</v>
      </c>
      <c r="E4092" t="s">
        <v>415</v>
      </c>
      <c r="F4092" t="s">
        <v>415</v>
      </c>
      <c r="G4092" s="1">
        <v>44004</v>
      </c>
      <c r="H4092" s="1">
        <v>44726</v>
      </c>
      <c r="I4092" t="s">
        <v>189</v>
      </c>
      <c r="J4092">
        <v>1</v>
      </c>
      <c r="K4092" t="s">
        <v>354</v>
      </c>
      <c r="L4092" t="s">
        <v>11087</v>
      </c>
      <c r="M4092" t="s">
        <v>219</v>
      </c>
      <c r="Q4092" t="s">
        <v>408</v>
      </c>
      <c r="R4092" t="s">
        <v>261</v>
      </c>
      <c r="S4092" t="s">
        <v>261</v>
      </c>
      <c r="T4092" t="s">
        <v>261</v>
      </c>
      <c r="U4092" t="s">
        <v>261</v>
      </c>
      <c r="V4092" t="s">
        <v>262</v>
      </c>
      <c r="W4092" t="s">
        <v>261</v>
      </c>
      <c r="X4092" t="s">
        <v>261</v>
      </c>
      <c r="Y4092" t="s">
        <v>261</v>
      </c>
      <c r="Z4092" t="s">
        <v>409</v>
      </c>
      <c r="AA4092" t="s">
        <v>409</v>
      </c>
      <c r="AB4092" t="s">
        <v>409</v>
      </c>
      <c r="AC4092" t="s">
        <v>409</v>
      </c>
      <c r="AD4092" t="s">
        <v>261</v>
      </c>
      <c r="AH4092" t="s">
        <v>262</v>
      </c>
      <c r="AI4092" t="s">
        <v>262</v>
      </c>
      <c r="AJ4092" t="s">
        <v>261</v>
      </c>
      <c r="AK4092" t="s">
        <v>261</v>
      </c>
      <c r="AM4092" t="s">
        <v>262</v>
      </c>
      <c r="AN4092" t="s">
        <v>11088</v>
      </c>
    </row>
    <row r="4093" spans="1:40" x14ac:dyDescent="0.35">
      <c r="A4093">
        <v>7015034</v>
      </c>
      <c r="B4093" t="s">
        <v>11089</v>
      </c>
      <c r="C4093" t="str">
        <f>""</f>
        <v/>
      </c>
      <c r="D4093" t="str">
        <f>"9788395793875"</f>
        <v>9788395793875</v>
      </c>
      <c r="E4093" t="s">
        <v>415</v>
      </c>
      <c r="F4093" t="s">
        <v>3134</v>
      </c>
      <c r="G4093" s="1">
        <v>44195</v>
      </c>
      <c r="H4093" s="1">
        <v>44726</v>
      </c>
      <c r="I4093" t="s">
        <v>189</v>
      </c>
      <c r="J4093">
        <v>1</v>
      </c>
      <c r="L4093" t="s">
        <v>11090</v>
      </c>
    </row>
    <row r="4094" spans="1:40" x14ac:dyDescent="0.35">
      <c r="A4094">
        <v>7015035</v>
      </c>
      <c r="B4094" t="s">
        <v>11091</v>
      </c>
      <c r="C4094" t="str">
        <f>""</f>
        <v/>
      </c>
      <c r="D4094" t="str">
        <f>"9783110684827"</f>
        <v>9783110684827</v>
      </c>
      <c r="E4094" t="s">
        <v>415</v>
      </c>
      <c r="F4094" t="s">
        <v>415</v>
      </c>
      <c r="G4094" s="1">
        <v>44214</v>
      </c>
      <c r="H4094" s="1">
        <v>44726</v>
      </c>
      <c r="I4094" t="s">
        <v>189</v>
      </c>
      <c r="J4094">
        <v>1</v>
      </c>
      <c r="K4094" t="s">
        <v>6797</v>
      </c>
      <c r="L4094" t="s">
        <v>6798</v>
      </c>
      <c r="M4094" t="s">
        <v>239</v>
      </c>
    </row>
    <row r="4095" spans="1:40" x14ac:dyDescent="0.35">
      <c r="A4095">
        <v>7015036</v>
      </c>
      <c r="B4095" t="s">
        <v>11092</v>
      </c>
      <c r="C4095" t="str">
        <f>""</f>
        <v/>
      </c>
      <c r="D4095" t="str">
        <f>"9783111457550"</f>
        <v>9783111457550</v>
      </c>
      <c r="E4095" t="s">
        <v>415</v>
      </c>
      <c r="F4095" t="s">
        <v>415</v>
      </c>
      <c r="G4095" s="1">
        <v>457</v>
      </c>
      <c r="H4095" s="1">
        <v>44726</v>
      </c>
      <c r="I4095" t="s">
        <v>189</v>
      </c>
      <c r="J4095">
        <v>1</v>
      </c>
      <c r="L4095" t="s">
        <v>11093</v>
      </c>
      <c r="M4095" t="s">
        <v>239</v>
      </c>
      <c r="Q4095" t="s">
        <v>408</v>
      </c>
      <c r="R4095" t="s">
        <v>261</v>
      </c>
      <c r="S4095" t="s">
        <v>261</v>
      </c>
      <c r="T4095" t="s">
        <v>261</v>
      </c>
      <c r="U4095" t="s">
        <v>261</v>
      </c>
      <c r="V4095" t="s">
        <v>262</v>
      </c>
      <c r="W4095" t="s">
        <v>261</v>
      </c>
      <c r="X4095" t="s">
        <v>261</v>
      </c>
      <c r="Y4095" t="s">
        <v>261</v>
      </c>
      <c r="Z4095" t="s">
        <v>409</v>
      </c>
      <c r="AA4095" t="s">
        <v>409</v>
      </c>
      <c r="AB4095" t="s">
        <v>409</v>
      </c>
      <c r="AC4095" t="s">
        <v>409</v>
      </c>
      <c r="AD4095" t="s">
        <v>261</v>
      </c>
      <c r="AH4095" t="s">
        <v>262</v>
      </c>
      <c r="AI4095" t="s">
        <v>262</v>
      </c>
      <c r="AJ4095" t="s">
        <v>261</v>
      </c>
      <c r="AK4095" t="s">
        <v>261</v>
      </c>
      <c r="AM4095" t="s">
        <v>262</v>
      </c>
      <c r="AN4095" t="s">
        <v>11094</v>
      </c>
    </row>
    <row r="4096" spans="1:40" x14ac:dyDescent="0.35">
      <c r="A4096">
        <v>7015037</v>
      </c>
      <c r="B4096" t="s">
        <v>11095</v>
      </c>
      <c r="C4096" t="str">
        <f>""</f>
        <v/>
      </c>
      <c r="D4096" t="str">
        <f>"9783111611242"</f>
        <v>9783111611242</v>
      </c>
      <c r="E4096" t="s">
        <v>415</v>
      </c>
      <c r="F4096" t="s">
        <v>415</v>
      </c>
      <c r="G4096" s="1">
        <v>21276</v>
      </c>
      <c r="H4096" s="1">
        <v>44726</v>
      </c>
      <c r="I4096" t="s">
        <v>189</v>
      </c>
      <c r="J4096">
        <v>1</v>
      </c>
      <c r="L4096" t="s">
        <v>11096</v>
      </c>
    </row>
    <row r="4097" spans="1:40" x14ac:dyDescent="0.35">
      <c r="A4097">
        <v>7015038</v>
      </c>
      <c r="B4097" t="s">
        <v>11097</v>
      </c>
      <c r="C4097" t="str">
        <f>""</f>
        <v/>
      </c>
      <c r="D4097" t="str">
        <f>"9783111575803"</f>
        <v>9783111575803</v>
      </c>
      <c r="E4097" t="s">
        <v>415</v>
      </c>
      <c r="F4097" t="s">
        <v>415</v>
      </c>
      <c r="G4097" s="1">
        <v>43497</v>
      </c>
      <c r="H4097" s="1">
        <v>44726</v>
      </c>
      <c r="I4097" t="s">
        <v>189</v>
      </c>
      <c r="J4097">
        <v>1</v>
      </c>
      <c r="L4097" t="s">
        <v>11098</v>
      </c>
      <c r="M4097" t="s">
        <v>249</v>
      </c>
      <c r="Q4097" t="s">
        <v>408</v>
      </c>
      <c r="R4097" t="s">
        <v>261</v>
      </c>
      <c r="S4097" t="s">
        <v>261</v>
      </c>
      <c r="T4097" t="s">
        <v>261</v>
      </c>
      <c r="U4097" t="s">
        <v>261</v>
      </c>
      <c r="V4097" t="s">
        <v>262</v>
      </c>
      <c r="W4097" t="s">
        <v>261</v>
      </c>
      <c r="X4097" t="s">
        <v>261</v>
      </c>
      <c r="Y4097" t="s">
        <v>261</v>
      </c>
      <c r="Z4097" t="s">
        <v>409</v>
      </c>
      <c r="AA4097" t="s">
        <v>409</v>
      </c>
      <c r="AB4097" t="s">
        <v>409</v>
      </c>
      <c r="AC4097" t="s">
        <v>409</v>
      </c>
      <c r="AD4097" t="s">
        <v>261</v>
      </c>
      <c r="AH4097" t="s">
        <v>262</v>
      </c>
      <c r="AI4097" t="s">
        <v>262</v>
      </c>
      <c r="AJ4097" t="s">
        <v>261</v>
      </c>
      <c r="AK4097" t="s">
        <v>261</v>
      </c>
      <c r="AM4097" t="s">
        <v>262</v>
      </c>
      <c r="AN4097" t="s">
        <v>11099</v>
      </c>
    </row>
    <row r="4098" spans="1:40" x14ac:dyDescent="0.35">
      <c r="A4098">
        <v>7015039</v>
      </c>
      <c r="B4098" t="s">
        <v>11100</v>
      </c>
      <c r="C4098" t="str">
        <f>""</f>
        <v/>
      </c>
      <c r="D4098" t="str">
        <f>"9783110627275"</f>
        <v>9783110627275</v>
      </c>
      <c r="E4098" t="s">
        <v>415</v>
      </c>
      <c r="F4098" t="s">
        <v>665</v>
      </c>
      <c r="G4098" s="1">
        <v>44249</v>
      </c>
      <c r="H4098" s="1">
        <v>44726</v>
      </c>
      <c r="I4098" t="s">
        <v>189</v>
      </c>
      <c r="J4098">
        <v>1</v>
      </c>
      <c r="L4098" t="s">
        <v>113</v>
      </c>
    </row>
    <row r="4099" spans="1:40" x14ac:dyDescent="0.35">
      <c r="A4099">
        <v>7015040</v>
      </c>
      <c r="B4099" t="s">
        <v>11101</v>
      </c>
      <c r="C4099" t="str">
        <f>"9783111114552"</f>
        <v>9783111114552</v>
      </c>
      <c r="D4099" t="str">
        <f>"9783111481395"</f>
        <v>9783111481395</v>
      </c>
      <c r="E4099" t="s">
        <v>415</v>
      </c>
      <c r="F4099" t="s">
        <v>415</v>
      </c>
      <c r="G4099" s="1">
        <v>7031</v>
      </c>
      <c r="H4099" s="1">
        <v>44726</v>
      </c>
      <c r="I4099" t="s">
        <v>189</v>
      </c>
      <c r="J4099">
        <v>1</v>
      </c>
      <c r="L4099" t="s">
        <v>11102</v>
      </c>
      <c r="M4099" t="s">
        <v>249</v>
      </c>
    </row>
    <row r="4100" spans="1:40" x14ac:dyDescent="0.35">
      <c r="A4100">
        <v>7015041</v>
      </c>
      <c r="B4100" t="s">
        <v>11103</v>
      </c>
      <c r="C4100" t="str">
        <f>""</f>
        <v/>
      </c>
      <c r="D4100" t="str">
        <f>"9783110714333"</f>
        <v>9783110714333</v>
      </c>
      <c r="E4100" t="s">
        <v>415</v>
      </c>
      <c r="F4100" t="s">
        <v>415</v>
      </c>
      <c r="G4100" s="1">
        <v>44158</v>
      </c>
      <c r="H4100" s="1">
        <v>44726</v>
      </c>
      <c r="I4100" t="s">
        <v>189</v>
      </c>
      <c r="J4100">
        <v>1</v>
      </c>
      <c r="K4100" t="s">
        <v>2442</v>
      </c>
      <c r="L4100" t="s">
        <v>11104</v>
      </c>
    </row>
    <row r="4101" spans="1:40" x14ac:dyDescent="0.35">
      <c r="A4101">
        <v>7015042</v>
      </c>
      <c r="B4101" t="s">
        <v>11105</v>
      </c>
      <c r="C4101" t="str">
        <f>""</f>
        <v/>
      </c>
      <c r="D4101" t="str">
        <f>"9783110756432"</f>
        <v>9783110756432</v>
      </c>
      <c r="E4101" t="s">
        <v>415</v>
      </c>
      <c r="F4101" t="s">
        <v>415</v>
      </c>
      <c r="G4101" s="1">
        <v>44494</v>
      </c>
      <c r="H4101" s="1">
        <v>44726</v>
      </c>
      <c r="I4101" t="s">
        <v>189</v>
      </c>
      <c r="J4101">
        <v>1</v>
      </c>
      <c r="K4101" t="s">
        <v>11106</v>
      </c>
      <c r="L4101" t="s">
        <v>11107</v>
      </c>
      <c r="M4101" t="s">
        <v>199</v>
      </c>
      <c r="Q4101" t="s">
        <v>408</v>
      </c>
      <c r="R4101" t="s">
        <v>261</v>
      </c>
      <c r="S4101" t="s">
        <v>261</v>
      </c>
      <c r="T4101" t="s">
        <v>261</v>
      </c>
      <c r="U4101" t="s">
        <v>261</v>
      </c>
      <c r="V4101" t="s">
        <v>262</v>
      </c>
      <c r="W4101" t="s">
        <v>261</v>
      </c>
      <c r="X4101" t="s">
        <v>261</v>
      </c>
      <c r="Y4101" t="s">
        <v>261</v>
      </c>
      <c r="Z4101" t="s">
        <v>409</v>
      </c>
      <c r="AA4101" t="s">
        <v>409</v>
      </c>
      <c r="AB4101" t="s">
        <v>409</v>
      </c>
      <c r="AC4101" t="s">
        <v>409</v>
      </c>
      <c r="AD4101" t="s">
        <v>261</v>
      </c>
      <c r="AH4101" t="s">
        <v>262</v>
      </c>
      <c r="AI4101" t="s">
        <v>262</v>
      </c>
      <c r="AJ4101" t="s">
        <v>261</v>
      </c>
      <c r="AK4101" t="s">
        <v>261</v>
      </c>
      <c r="AM4101" t="s">
        <v>262</v>
      </c>
      <c r="AN4101" t="s">
        <v>11108</v>
      </c>
    </row>
    <row r="4102" spans="1:40" x14ac:dyDescent="0.35">
      <c r="A4102">
        <v>7015043</v>
      </c>
      <c r="B4102" t="s">
        <v>11109</v>
      </c>
      <c r="C4102" t="str">
        <f>""</f>
        <v/>
      </c>
      <c r="D4102" t="str">
        <f>"9783111543222"</f>
        <v>9783111543222</v>
      </c>
      <c r="E4102" t="s">
        <v>346</v>
      </c>
      <c r="F4102" t="s">
        <v>2637</v>
      </c>
      <c r="G4102" s="1">
        <v>24929</v>
      </c>
      <c r="H4102" s="1">
        <v>44726</v>
      </c>
      <c r="I4102" t="s">
        <v>189</v>
      </c>
      <c r="J4102">
        <v>1</v>
      </c>
      <c r="K4102" t="s">
        <v>11110</v>
      </c>
      <c r="L4102" t="s">
        <v>11111</v>
      </c>
      <c r="M4102" t="s">
        <v>676</v>
      </c>
    </row>
    <row r="4103" spans="1:40" x14ac:dyDescent="0.35">
      <c r="A4103">
        <v>7015044</v>
      </c>
      <c r="B4103" t="s">
        <v>11112</v>
      </c>
      <c r="C4103" t="str">
        <f>""</f>
        <v/>
      </c>
      <c r="D4103" t="str">
        <f>"9783110671056"</f>
        <v>9783110671056</v>
      </c>
      <c r="E4103" t="s">
        <v>415</v>
      </c>
      <c r="F4103" t="s">
        <v>665</v>
      </c>
      <c r="G4103" s="1">
        <v>44368</v>
      </c>
      <c r="H4103" s="1">
        <v>44726</v>
      </c>
      <c r="I4103" t="s">
        <v>189</v>
      </c>
      <c r="J4103">
        <v>1</v>
      </c>
      <c r="K4103" t="s">
        <v>3034</v>
      </c>
      <c r="L4103" t="s">
        <v>11113</v>
      </c>
    </row>
    <row r="4104" spans="1:40" x14ac:dyDescent="0.35">
      <c r="A4104">
        <v>7015045</v>
      </c>
      <c r="B4104" t="s">
        <v>11114</v>
      </c>
      <c r="C4104" t="str">
        <f>""</f>
        <v/>
      </c>
      <c r="D4104" t="str">
        <f>"9783111698281"</f>
        <v>9783111698281</v>
      </c>
      <c r="E4104" t="s">
        <v>346</v>
      </c>
      <c r="F4104" t="s">
        <v>2637</v>
      </c>
      <c r="G4104" s="1">
        <v>25569</v>
      </c>
      <c r="H4104" s="1">
        <v>44726</v>
      </c>
      <c r="I4104" t="s">
        <v>189</v>
      </c>
      <c r="J4104">
        <v>1</v>
      </c>
      <c r="K4104" t="s">
        <v>11115</v>
      </c>
      <c r="L4104" t="s">
        <v>11116</v>
      </c>
    </row>
    <row r="4105" spans="1:40" x14ac:dyDescent="0.35">
      <c r="A4105">
        <v>7015046</v>
      </c>
      <c r="B4105" t="s">
        <v>11117</v>
      </c>
      <c r="C4105" t="str">
        <f>""</f>
        <v/>
      </c>
      <c r="D4105" t="str">
        <f>"9783111502731"</f>
        <v>9783111502731</v>
      </c>
      <c r="E4105" t="s">
        <v>415</v>
      </c>
      <c r="F4105" t="s">
        <v>415</v>
      </c>
      <c r="G4105" s="1">
        <v>21276</v>
      </c>
      <c r="H4105" s="1">
        <v>44726</v>
      </c>
      <c r="I4105" t="s">
        <v>189</v>
      </c>
      <c r="J4105">
        <v>5</v>
      </c>
      <c r="L4105" t="s">
        <v>11118</v>
      </c>
      <c r="M4105" t="s">
        <v>339</v>
      </c>
      <c r="Q4105" t="s">
        <v>408</v>
      </c>
      <c r="R4105" t="s">
        <v>261</v>
      </c>
      <c r="S4105" t="s">
        <v>261</v>
      </c>
      <c r="T4105" t="s">
        <v>261</v>
      </c>
      <c r="U4105" t="s">
        <v>261</v>
      </c>
      <c r="V4105" t="s">
        <v>262</v>
      </c>
      <c r="W4105" t="s">
        <v>261</v>
      </c>
      <c r="X4105" t="s">
        <v>261</v>
      </c>
      <c r="Y4105" t="s">
        <v>261</v>
      </c>
      <c r="Z4105" t="s">
        <v>409</v>
      </c>
      <c r="AA4105" t="s">
        <v>409</v>
      </c>
      <c r="AB4105" t="s">
        <v>409</v>
      </c>
      <c r="AC4105" t="s">
        <v>409</v>
      </c>
      <c r="AD4105" t="s">
        <v>261</v>
      </c>
      <c r="AH4105" t="s">
        <v>262</v>
      </c>
      <c r="AI4105" t="s">
        <v>262</v>
      </c>
      <c r="AJ4105" t="s">
        <v>261</v>
      </c>
      <c r="AK4105" t="s">
        <v>261</v>
      </c>
      <c r="AM4105" t="s">
        <v>262</v>
      </c>
      <c r="AN4105" t="s">
        <v>11119</v>
      </c>
    </row>
    <row r="4106" spans="1:40" x14ac:dyDescent="0.35">
      <c r="A4106">
        <v>7015047</v>
      </c>
      <c r="B4106" t="s">
        <v>11120</v>
      </c>
      <c r="C4106" t="str">
        <f>""</f>
        <v/>
      </c>
      <c r="D4106" t="str">
        <f>"9783110720358"</f>
        <v>9783110720358</v>
      </c>
      <c r="E4106" t="s">
        <v>415</v>
      </c>
      <c r="F4106" t="s">
        <v>6576</v>
      </c>
      <c r="G4106" s="1">
        <v>43008</v>
      </c>
      <c r="H4106" s="1">
        <v>44726</v>
      </c>
      <c r="I4106" t="s">
        <v>189</v>
      </c>
      <c r="J4106">
        <v>1</v>
      </c>
      <c r="L4106" t="s">
        <v>11121</v>
      </c>
    </row>
    <row r="4107" spans="1:40" x14ac:dyDescent="0.35">
      <c r="A4107">
        <v>7015048</v>
      </c>
      <c r="B4107" t="s">
        <v>11122</v>
      </c>
      <c r="C4107" t="str">
        <f>""</f>
        <v/>
      </c>
      <c r="D4107" t="str">
        <f>"9783110698732"</f>
        <v>9783110698732</v>
      </c>
      <c r="E4107" t="s">
        <v>415</v>
      </c>
      <c r="F4107" t="s">
        <v>415</v>
      </c>
      <c r="G4107" s="1">
        <v>44158</v>
      </c>
      <c r="H4107" s="1">
        <v>44726</v>
      </c>
      <c r="I4107" t="s">
        <v>189</v>
      </c>
      <c r="J4107">
        <v>1</v>
      </c>
      <c r="K4107" t="s">
        <v>3906</v>
      </c>
      <c r="L4107" t="s">
        <v>11123</v>
      </c>
      <c r="M4107" t="s">
        <v>578</v>
      </c>
    </row>
    <row r="4108" spans="1:40" x14ac:dyDescent="0.35">
      <c r="A4108">
        <v>7015049</v>
      </c>
      <c r="B4108" t="s">
        <v>11124</v>
      </c>
      <c r="C4108" t="str">
        <f>""</f>
        <v/>
      </c>
      <c r="D4108" t="str">
        <f>"9783110726534"</f>
        <v>9783110726534</v>
      </c>
      <c r="E4108" t="s">
        <v>415</v>
      </c>
      <c r="F4108" t="s">
        <v>415</v>
      </c>
      <c r="G4108" s="1">
        <v>44382</v>
      </c>
      <c r="H4108" s="1">
        <v>44726</v>
      </c>
      <c r="I4108" t="s">
        <v>189</v>
      </c>
      <c r="J4108">
        <v>1</v>
      </c>
      <c r="K4108" t="s">
        <v>10577</v>
      </c>
      <c r="L4108" t="s">
        <v>11125</v>
      </c>
    </row>
    <row r="4109" spans="1:40" x14ac:dyDescent="0.35">
      <c r="A4109">
        <v>7015050</v>
      </c>
      <c r="B4109" t="s">
        <v>11126</v>
      </c>
      <c r="C4109" t="str">
        <f>""</f>
        <v/>
      </c>
      <c r="D4109" t="str">
        <f>"9783110718133"</f>
        <v>9783110718133</v>
      </c>
      <c r="E4109" t="s">
        <v>415</v>
      </c>
      <c r="F4109" t="s">
        <v>415</v>
      </c>
      <c r="G4109" s="1">
        <v>44235</v>
      </c>
      <c r="H4109" s="1">
        <v>44726</v>
      </c>
      <c r="I4109" t="s">
        <v>189</v>
      </c>
      <c r="J4109">
        <v>1</v>
      </c>
      <c r="K4109" t="s">
        <v>11127</v>
      </c>
      <c r="L4109" t="s">
        <v>11128</v>
      </c>
      <c r="M4109" t="s">
        <v>1191</v>
      </c>
      <c r="O4109" s="2">
        <v>91430014</v>
      </c>
      <c r="Q4109" t="s">
        <v>408</v>
      </c>
      <c r="R4109" t="s">
        <v>261</v>
      </c>
      <c r="S4109" t="s">
        <v>261</v>
      </c>
      <c r="T4109" t="s">
        <v>261</v>
      </c>
      <c r="U4109" t="s">
        <v>261</v>
      </c>
      <c r="V4109" t="s">
        <v>262</v>
      </c>
      <c r="W4109" t="s">
        <v>261</v>
      </c>
      <c r="X4109" t="s">
        <v>261</v>
      </c>
      <c r="Y4109" t="s">
        <v>261</v>
      </c>
      <c r="Z4109" t="s">
        <v>409</v>
      </c>
      <c r="AA4109" t="s">
        <v>409</v>
      </c>
      <c r="AB4109" t="s">
        <v>409</v>
      </c>
      <c r="AC4109" t="s">
        <v>409</v>
      </c>
      <c r="AD4109" t="s">
        <v>261</v>
      </c>
      <c r="AH4109" t="s">
        <v>262</v>
      </c>
      <c r="AI4109" t="s">
        <v>262</v>
      </c>
      <c r="AJ4109" t="s">
        <v>261</v>
      </c>
      <c r="AK4109" t="s">
        <v>261</v>
      </c>
      <c r="AM4109" t="s">
        <v>262</v>
      </c>
      <c r="AN4109" t="s">
        <v>11129</v>
      </c>
    </row>
    <row r="4110" spans="1:40" x14ac:dyDescent="0.35">
      <c r="A4110">
        <v>7015051</v>
      </c>
      <c r="B4110" t="s">
        <v>11130</v>
      </c>
      <c r="C4110" t="str">
        <f>""</f>
        <v/>
      </c>
      <c r="D4110" t="str">
        <f>"9783110736199"</f>
        <v>9783110736199</v>
      </c>
      <c r="E4110" t="s">
        <v>415</v>
      </c>
      <c r="F4110" t="s">
        <v>415</v>
      </c>
      <c r="G4110" s="1">
        <v>44494</v>
      </c>
      <c r="H4110" s="1">
        <v>44726</v>
      </c>
      <c r="I4110" t="s">
        <v>189</v>
      </c>
      <c r="J4110">
        <v>1</v>
      </c>
      <c r="K4110" t="s">
        <v>11131</v>
      </c>
      <c r="L4110" t="s">
        <v>11132</v>
      </c>
      <c r="M4110" t="s">
        <v>199</v>
      </c>
      <c r="O4110" t="s">
        <v>11133</v>
      </c>
      <c r="Q4110" t="s">
        <v>260</v>
      </c>
      <c r="R4110" t="s">
        <v>261</v>
      </c>
      <c r="S4110" t="s">
        <v>261</v>
      </c>
      <c r="T4110" t="s">
        <v>261</v>
      </c>
      <c r="U4110" t="s">
        <v>261</v>
      </c>
      <c r="V4110" t="s">
        <v>262</v>
      </c>
      <c r="W4110" t="s">
        <v>261</v>
      </c>
      <c r="X4110" t="s">
        <v>261</v>
      </c>
      <c r="Y4110" t="s">
        <v>261</v>
      </c>
      <c r="Z4110" t="s">
        <v>409</v>
      </c>
      <c r="AA4110" t="s">
        <v>409</v>
      </c>
      <c r="AB4110" t="s">
        <v>409</v>
      </c>
      <c r="AC4110" t="s">
        <v>409</v>
      </c>
      <c r="AD4110" t="s">
        <v>261</v>
      </c>
      <c r="AH4110" t="s">
        <v>262</v>
      </c>
      <c r="AI4110" t="s">
        <v>262</v>
      </c>
      <c r="AJ4110" t="s">
        <v>261</v>
      </c>
      <c r="AK4110" t="s">
        <v>261</v>
      </c>
      <c r="AM4110" t="s">
        <v>262</v>
      </c>
      <c r="AN4110" t="s">
        <v>11134</v>
      </c>
    </row>
    <row r="4111" spans="1:40" x14ac:dyDescent="0.35">
      <c r="A4111">
        <v>7015052</v>
      </c>
      <c r="B4111" t="s">
        <v>11135</v>
      </c>
      <c r="C4111" t="str">
        <f>""</f>
        <v/>
      </c>
      <c r="D4111" t="str">
        <f>"9783110729085"</f>
        <v>9783110729085</v>
      </c>
      <c r="E4111" t="s">
        <v>415</v>
      </c>
      <c r="F4111" t="s">
        <v>415</v>
      </c>
      <c r="G4111" s="1">
        <v>44355</v>
      </c>
      <c r="H4111" s="1">
        <v>44726</v>
      </c>
      <c r="I4111" t="s">
        <v>189</v>
      </c>
      <c r="J4111">
        <v>1</v>
      </c>
      <c r="K4111" t="s">
        <v>10544</v>
      </c>
      <c r="L4111" t="s">
        <v>11136</v>
      </c>
    </row>
    <row r="4112" spans="1:40" x14ac:dyDescent="0.35">
      <c r="A4112">
        <v>7015053</v>
      </c>
      <c r="B4112" t="s">
        <v>11137</v>
      </c>
      <c r="C4112" t="str">
        <f>""</f>
        <v/>
      </c>
      <c r="D4112" t="str">
        <f>"9783110743838"</f>
        <v>9783110743838</v>
      </c>
      <c r="E4112" t="s">
        <v>415</v>
      </c>
      <c r="F4112" t="s">
        <v>415</v>
      </c>
      <c r="G4112" s="1">
        <v>44522</v>
      </c>
      <c r="H4112" s="1">
        <v>44726</v>
      </c>
      <c r="I4112" t="s">
        <v>189</v>
      </c>
      <c r="J4112">
        <v>1</v>
      </c>
      <c r="K4112" t="s">
        <v>2442</v>
      </c>
      <c r="L4112" t="s">
        <v>11138</v>
      </c>
      <c r="M4112" t="s">
        <v>219</v>
      </c>
      <c r="Q4112" t="s">
        <v>260</v>
      </c>
      <c r="R4112" t="s">
        <v>261</v>
      </c>
      <c r="S4112" t="s">
        <v>261</v>
      </c>
      <c r="T4112" t="s">
        <v>261</v>
      </c>
      <c r="U4112" t="s">
        <v>261</v>
      </c>
      <c r="V4112" t="s">
        <v>262</v>
      </c>
      <c r="W4112" t="s">
        <v>261</v>
      </c>
      <c r="X4112" t="s">
        <v>261</v>
      </c>
      <c r="Y4112" t="s">
        <v>261</v>
      </c>
      <c r="Z4112" t="s">
        <v>409</v>
      </c>
      <c r="AA4112" t="s">
        <v>409</v>
      </c>
      <c r="AB4112" t="s">
        <v>409</v>
      </c>
      <c r="AC4112" t="s">
        <v>409</v>
      </c>
      <c r="AD4112" t="s">
        <v>261</v>
      </c>
      <c r="AH4112" t="s">
        <v>262</v>
      </c>
      <c r="AI4112" t="s">
        <v>262</v>
      </c>
      <c r="AJ4112" t="s">
        <v>261</v>
      </c>
      <c r="AK4112" t="s">
        <v>261</v>
      </c>
      <c r="AM4112" t="s">
        <v>262</v>
      </c>
      <c r="AN4112" t="s">
        <v>11139</v>
      </c>
    </row>
    <row r="4113" spans="1:40" x14ac:dyDescent="0.35">
      <c r="A4113">
        <v>7015054</v>
      </c>
      <c r="B4113" t="s">
        <v>11140</v>
      </c>
      <c r="C4113" t="str">
        <f>""</f>
        <v/>
      </c>
      <c r="D4113" t="str">
        <f>"9783111337579"</f>
        <v>9783111337579</v>
      </c>
      <c r="E4113" t="s">
        <v>415</v>
      </c>
      <c r="F4113" t="s">
        <v>415</v>
      </c>
      <c r="G4113" s="1">
        <v>24563</v>
      </c>
      <c r="H4113" s="1">
        <v>44726</v>
      </c>
      <c r="I4113" t="s">
        <v>189</v>
      </c>
      <c r="J4113">
        <v>2</v>
      </c>
      <c r="K4113" t="s">
        <v>11141</v>
      </c>
      <c r="L4113" t="s">
        <v>11142</v>
      </c>
      <c r="M4113" t="s">
        <v>1318</v>
      </c>
      <c r="Q4113" t="s">
        <v>408</v>
      </c>
      <c r="R4113" t="s">
        <v>261</v>
      </c>
      <c r="S4113" t="s">
        <v>261</v>
      </c>
      <c r="T4113" t="s">
        <v>261</v>
      </c>
      <c r="U4113" t="s">
        <v>261</v>
      </c>
      <c r="V4113" t="s">
        <v>262</v>
      </c>
      <c r="W4113" t="s">
        <v>261</v>
      </c>
      <c r="X4113" t="s">
        <v>261</v>
      </c>
      <c r="Y4113" t="s">
        <v>261</v>
      </c>
      <c r="Z4113" t="s">
        <v>409</v>
      </c>
      <c r="AA4113" t="s">
        <v>409</v>
      </c>
      <c r="AB4113" t="s">
        <v>409</v>
      </c>
      <c r="AC4113" t="s">
        <v>409</v>
      </c>
      <c r="AD4113" t="s">
        <v>261</v>
      </c>
      <c r="AH4113" t="s">
        <v>262</v>
      </c>
      <c r="AI4113" t="s">
        <v>262</v>
      </c>
      <c r="AJ4113" t="s">
        <v>261</v>
      </c>
      <c r="AK4113" t="s">
        <v>261</v>
      </c>
      <c r="AM4113" t="s">
        <v>262</v>
      </c>
      <c r="AN4113" t="s">
        <v>11143</v>
      </c>
    </row>
    <row r="4114" spans="1:40" x14ac:dyDescent="0.35">
      <c r="A4114">
        <v>7015055</v>
      </c>
      <c r="B4114" t="s">
        <v>11144</v>
      </c>
      <c r="C4114" t="str">
        <f>""</f>
        <v/>
      </c>
      <c r="D4114" t="str">
        <f>"9783110821482"</f>
        <v>9783110821482</v>
      </c>
      <c r="E4114" t="s">
        <v>415</v>
      </c>
      <c r="F4114" t="s">
        <v>415</v>
      </c>
      <c r="G4114" s="1">
        <v>43497</v>
      </c>
      <c r="H4114" s="1">
        <v>44726</v>
      </c>
      <c r="I4114" t="s">
        <v>189</v>
      </c>
      <c r="J4114">
        <v>1</v>
      </c>
      <c r="L4114" t="s">
        <v>11145</v>
      </c>
      <c r="M4114" t="s">
        <v>239</v>
      </c>
      <c r="Q4114" t="s">
        <v>408</v>
      </c>
      <c r="R4114" t="s">
        <v>261</v>
      </c>
      <c r="S4114" t="s">
        <v>261</v>
      </c>
      <c r="T4114" t="s">
        <v>261</v>
      </c>
      <c r="U4114" t="s">
        <v>261</v>
      </c>
      <c r="V4114" t="s">
        <v>262</v>
      </c>
      <c r="W4114" t="s">
        <v>261</v>
      </c>
      <c r="X4114" t="s">
        <v>261</v>
      </c>
      <c r="Y4114" t="s">
        <v>261</v>
      </c>
      <c r="Z4114" t="s">
        <v>409</v>
      </c>
      <c r="AA4114" t="s">
        <v>409</v>
      </c>
      <c r="AB4114" t="s">
        <v>409</v>
      </c>
      <c r="AC4114" t="s">
        <v>409</v>
      </c>
      <c r="AD4114" t="s">
        <v>261</v>
      </c>
      <c r="AH4114" t="s">
        <v>262</v>
      </c>
      <c r="AI4114" t="s">
        <v>262</v>
      </c>
      <c r="AJ4114" t="s">
        <v>261</v>
      </c>
      <c r="AK4114" t="s">
        <v>261</v>
      </c>
      <c r="AM4114" t="s">
        <v>262</v>
      </c>
      <c r="AN4114" t="s">
        <v>11146</v>
      </c>
    </row>
    <row r="4115" spans="1:40" x14ac:dyDescent="0.35">
      <c r="A4115">
        <v>7015056</v>
      </c>
      <c r="B4115" t="s">
        <v>11147</v>
      </c>
      <c r="C4115" t="str">
        <f>""</f>
        <v/>
      </c>
      <c r="D4115" t="str">
        <f>"9783110657760"</f>
        <v>9783110657760</v>
      </c>
      <c r="E4115" t="s">
        <v>415</v>
      </c>
      <c r="F4115" t="s">
        <v>415</v>
      </c>
      <c r="G4115" s="1">
        <v>44181</v>
      </c>
      <c r="H4115" s="1">
        <v>44726</v>
      </c>
      <c r="I4115" t="s">
        <v>189</v>
      </c>
      <c r="J4115">
        <v>1</v>
      </c>
      <c r="K4115" t="s">
        <v>3860</v>
      </c>
      <c r="L4115" t="s">
        <v>11148</v>
      </c>
      <c r="M4115" t="s">
        <v>210</v>
      </c>
      <c r="O4115" s="2">
        <v>32338209481</v>
      </c>
      <c r="Q4115" t="s">
        <v>260</v>
      </c>
      <c r="R4115" t="s">
        <v>261</v>
      </c>
      <c r="S4115" t="s">
        <v>261</v>
      </c>
      <c r="T4115" t="s">
        <v>261</v>
      </c>
      <c r="U4115" t="s">
        <v>261</v>
      </c>
      <c r="V4115" t="s">
        <v>262</v>
      </c>
      <c r="W4115" t="s">
        <v>261</v>
      </c>
      <c r="X4115" t="s">
        <v>261</v>
      </c>
      <c r="Y4115" t="s">
        <v>261</v>
      </c>
      <c r="Z4115" t="s">
        <v>409</v>
      </c>
      <c r="AA4115" t="s">
        <v>409</v>
      </c>
      <c r="AB4115" t="s">
        <v>409</v>
      </c>
      <c r="AC4115" t="s">
        <v>409</v>
      </c>
      <c r="AD4115" t="s">
        <v>261</v>
      </c>
      <c r="AH4115" t="s">
        <v>262</v>
      </c>
      <c r="AI4115" t="s">
        <v>262</v>
      </c>
      <c r="AJ4115" t="s">
        <v>261</v>
      </c>
      <c r="AK4115" t="s">
        <v>261</v>
      </c>
      <c r="AM4115" t="s">
        <v>262</v>
      </c>
      <c r="AN4115" t="s">
        <v>11149</v>
      </c>
    </row>
    <row r="4116" spans="1:40" x14ac:dyDescent="0.35">
      <c r="A4116">
        <v>7015057</v>
      </c>
      <c r="B4116" t="s">
        <v>11150</v>
      </c>
      <c r="C4116" t="str">
        <f>""</f>
        <v/>
      </c>
      <c r="D4116" t="str">
        <f>"9783110692990"</f>
        <v>9783110692990</v>
      </c>
      <c r="E4116" t="s">
        <v>415</v>
      </c>
      <c r="F4116" t="s">
        <v>415</v>
      </c>
      <c r="G4116" s="1">
        <v>44522</v>
      </c>
      <c r="H4116" s="1">
        <v>44726</v>
      </c>
      <c r="I4116" t="s">
        <v>189</v>
      </c>
      <c r="J4116">
        <v>1</v>
      </c>
      <c r="L4116" t="s">
        <v>126</v>
      </c>
    </row>
    <row r="4117" spans="1:40" x14ac:dyDescent="0.35">
      <c r="A4117">
        <v>7015058</v>
      </c>
      <c r="B4117" t="s">
        <v>11151</v>
      </c>
      <c r="C4117" t="str">
        <f>""</f>
        <v/>
      </c>
      <c r="D4117" t="str">
        <f>"9783110730777"</f>
        <v>9783110730777</v>
      </c>
      <c r="E4117" t="s">
        <v>415</v>
      </c>
      <c r="F4117" t="s">
        <v>665</v>
      </c>
      <c r="G4117" s="1">
        <v>44508</v>
      </c>
      <c r="H4117" s="1">
        <v>44726</v>
      </c>
      <c r="I4117" t="s">
        <v>189</v>
      </c>
      <c r="J4117">
        <v>1</v>
      </c>
      <c r="L4117" t="s">
        <v>11152</v>
      </c>
      <c r="M4117" t="s">
        <v>239</v>
      </c>
      <c r="Q4117" t="s">
        <v>408</v>
      </c>
      <c r="R4117" t="s">
        <v>261</v>
      </c>
      <c r="S4117" t="s">
        <v>261</v>
      </c>
      <c r="T4117" t="s">
        <v>261</v>
      </c>
      <c r="U4117" t="s">
        <v>261</v>
      </c>
      <c r="V4117" t="s">
        <v>262</v>
      </c>
      <c r="W4117" t="s">
        <v>261</v>
      </c>
      <c r="X4117" t="s">
        <v>261</v>
      </c>
      <c r="Y4117" t="s">
        <v>261</v>
      </c>
      <c r="Z4117" t="s">
        <v>409</v>
      </c>
      <c r="AA4117" t="s">
        <v>409</v>
      </c>
      <c r="AB4117" t="s">
        <v>409</v>
      </c>
      <c r="AC4117" t="s">
        <v>409</v>
      </c>
      <c r="AD4117" t="s">
        <v>261</v>
      </c>
      <c r="AH4117" t="s">
        <v>262</v>
      </c>
      <c r="AI4117" t="s">
        <v>262</v>
      </c>
      <c r="AJ4117" t="s">
        <v>261</v>
      </c>
      <c r="AK4117" t="s">
        <v>261</v>
      </c>
      <c r="AM4117" t="s">
        <v>262</v>
      </c>
      <c r="AN4117" t="s">
        <v>11153</v>
      </c>
    </row>
    <row r="4118" spans="1:40" x14ac:dyDescent="0.35">
      <c r="A4118">
        <v>7015059</v>
      </c>
      <c r="B4118" t="s">
        <v>11154</v>
      </c>
      <c r="C4118" t="str">
        <f>""</f>
        <v/>
      </c>
      <c r="D4118" t="str">
        <f>"9783110720112"</f>
        <v>9783110720112</v>
      </c>
      <c r="E4118" t="s">
        <v>415</v>
      </c>
      <c r="F4118" t="s">
        <v>6576</v>
      </c>
      <c r="G4118" s="1">
        <v>42114</v>
      </c>
      <c r="H4118" s="1">
        <v>44726</v>
      </c>
      <c r="I4118" t="s">
        <v>189</v>
      </c>
      <c r="J4118">
        <v>2</v>
      </c>
      <c r="K4118" t="s">
        <v>11155</v>
      </c>
      <c r="L4118" t="s">
        <v>11156</v>
      </c>
      <c r="M4118" t="s">
        <v>389</v>
      </c>
      <c r="Q4118" t="s">
        <v>408</v>
      </c>
      <c r="R4118" t="s">
        <v>261</v>
      </c>
      <c r="S4118" t="s">
        <v>261</v>
      </c>
      <c r="T4118" t="s">
        <v>261</v>
      </c>
      <c r="U4118" t="s">
        <v>261</v>
      </c>
      <c r="V4118" t="s">
        <v>262</v>
      </c>
      <c r="W4118" t="s">
        <v>261</v>
      </c>
      <c r="X4118" t="s">
        <v>261</v>
      </c>
      <c r="Y4118" t="s">
        <v>261</v>
      </c>
      <c r="Z4118" t="s">
        <v>409</v>
      </c>
      <c r="AA4118" t="s">
        <v>409</v>
      </c>
      <c r="AB4118" t="s">
        <v>409</v>
      </c>
      <c r="AC4118" t="s">
        <v>409</v>
      </c>
      <c r="AD4118" t="s">
        <v>261</v>
      </c>
      <c r="AH4118" t="s">
        <v>262</v>
      </c>
      <c r="AI4118" t="s">
        <v>262</v>
      </c>
      <c r="AJ4118" t="s">
        <v>261</v>
      </c>
      <c r="AK4118" t="s">
        <v>261</v>
      </c>
      <c r="AM4118" t="s">
        <v>262</v>
      </c>
      <c r="AN4118" t="s">
        <v>11157</v>
      </c>
    </row>
    <row r="4119" spans="1:40" x14ac:dyDescent="0.35">
      <c r="A4119">
        <v>7015060</v>
      </c>
      <c r="B4119" t="s">
        <v>11158</v>
      </c>
      <c r="C4119" t="str">
        <f>""</f>
        <v/>
      </c>
      <c r="D4119" t="str">
        <f>"9783110732139"</f>
        <v>9783110732139</v>
      </c>
      <c r="E4119" t="s">
        <v>415</v>
      </c>
      <c r="F4119" t="s">
        <v>415</v>
      </c>
      <c r="G4119" s="1">
        <v>44305</v>
      </c>
      <c r="H4119" s="1">
        <v>44726</v>
      </c>
      <c r="I4119" t="s">
        <v>189</v>
      </c>
      <c r="J4119">
        <v>1</v>
      </c>
      <c r="K4119" t="s">
        <v>10793</v>
      </c>
      <c r="L4119" t="s">
        <v>89</v>
      </c>
    </row>
    <row r="4120" spans="1:40" x14ac:dyDescent="0.35">
      <c r="A4120">
        <v>7015061</v>
      </c>
      <c r="B4120" t="s">
        <v>11159</v>
      </c>
      <c r="C4120" t="str">
        <f>""</f>
        <v/>
      </c>
      <c r="D4120" t="str">
        <f>"9783111665023"</f>
        <v>9783111665023</v>
      </c>
      <c r="E4120" t="s">
        <v>415</v>
      </c>
      <c r="F4120" t="s">
        <v>415</v>
      </c>
      <c r="G4120" s="1">
        <v>22737</v>
      </c>
      <c r="H4120" s="1">
        <v>44726</v>
      </c>
      <c r="I4120" t="s">
        <v>189</v>
      </c>
      <c r="J4120">
        <v>65</v>
      </c>
      <c r="K4120" t="s">
        <v>10709</v>
      </c>
      <c r="L4120" t="s">
        <v>11160</v>
      </c>
    </row>
    <row r="4121" spans="1:40" x14ac:dyDescent="0.35">
      <c r="A4121">
        <v>7015062</v>
      </c>
      <c r="B4121" t="s">
        <v>11161</v>
      </c>
      <c r="C4121" t="str">
        <f>""</f>
        <v/>
      </c>
      <c r="D4121" t="str">
        <f>"9783111621098"</f>
        <v>9783111621098</v>
      </c>
      <c r="E4121" t="s">
        <v>415</v>
      </c>
      <c r="F4121" t="s">
        <v>415</v>
      </c>
      <c r="G4121" s="1">
        <v>43497</v>
      </c>
      <c r="H4121" s="1">
        <v>44726</v>
      </c>
      <c r="I4121" t="s">
        <v>189</v>
      </c>
      <c r="J4121">
        <v>1</v>
      </c>
      <c r="K4121" t="s">
        <v>11162</v>
      </c>
      <c r="L4121" t="s">
        <v>11163</v>
      </c>
      <c r="M4121" t="s">
        <v>582</v>
      </c>
      <c r="Q4121" t="s">
        <v>408</v>
      </c>
      <c r="R4121" t="s">
        <v>261</v>
      </c>
      <c r="S4121" t="s">
        <v>261</v>
      </c>
      <c r="T4121" t="s">
        <v>261</v>
      </c>
      <c r="U4121" t="s">
        <v>261</v>
      </c>
      <c r="V4121" t="s">
        <v>262</v>
      </c>
      <c r="W4121" t="s">
        <v>261</v>
      </c>
      <c r="X4121" t="s">
        <v>261</v>
      </c>
      <c r="Y4121" t="s">
        <v>261</v>
      </c>
      <c r="Z4121" t="s">
        <v>409</v>
      </c>
      <c r="AA4121" t="s">
        <v>409</v>
      </c>
      <c r="AB4121" t="s">
        <v>409</v>
      </c>
      <c r="AC4121" t="s">
        <v>409</v>
      </c>
      <c r="AD4121" t="s">
        <v>261</v>
      </c>
      <c r="AH4121" t="s">
        <v>262</v>
      </c>
      <c r="AI4121" t="s">
        <v>262</v>
      </c>
      <c r="AJ4121" t="s">
        <v>261</v>
      </c>
      <c r="AK4121" t="s">
        <v>261</v>
      </c>
      <c r="AM4121" t="s">
        <v>262</v>
      </c>
      <c r="AN4121" t="s">
        <v>11164</v>
      </c>
    </row>
    <row r="4122" spans="1:40" x14ac:dyDescent="0.35">
      <c r="A4122">
        <v>7015063</v>
      </c>
      <c r="B4122" t="s">
        <v>11165</v>
      </c>
      <c r="C4122" t="str">
        <f>""</f>
        <v/>
      </c>
      <c r="D4122" t="str">
        <f>"9783110715309"</f>
        <v>9783110715309</v>
      </c>
      <c r="E4122" t="s">
        <v>415</v>
      </c>
      <c r="F4122" t="s">
        <v>415</v>
      </c>
      <c r="G4122" s="1">
        <v>44181</v>
      </c>
      <c r="H4122" s="1">
        <v>44726</v>
      </c>
      <c r="I4122" t="s">
        <v>189</v>
      </c>
      <c r="J4122">
        <v>1</v>
      </c>
      <c r="K4122" t="s">
        <v>6654</v>
      </c>
      <c r="L4122" t="s">
        <v>11166</v>
      </c>
      <c r="M4122" t="s">
        <v>239</v>
      </c>
    </row>
    <row r="4123" spans="1:40" x14ac:dyDescent="0.35">
      <c r="A4123">
        <v>7015064</v>
      </c>
      <c r="B4123" t="s">
        <v>11167</v>
      </c>
      <c r="C4123" t="str">
        <f>"9783110612479"</f>
        <v>9783110612479</v>
      </c>
      <c r="D4123" t="str">
        <f>"9783110615463"</f>
        <v>9783110615463</v>
      </c>
      <c r="E4123" t="s">
        <v>415</v>
      </c>
      <c r="F4123" t="s">
        <v>665</v>
      </c>
      <c r="G4123" s="1">
        <v>44081</v>
      </c>
      <c r="H4123" s="1">
        <v>44726</v>
      </c>
      <c r="I4123" t="s">
        <v>189</v>
      </c>
      <c r="J4123">
        <v>1</v>
      </c>
      <c r="K4123" t="s">
        <v>666</v>
      </c>
      <c r="L4123" t="s">
        <v>11168</v>
      </c>
    </row>
    <row r="4124" spans="1:40" x14ac:dyDescent="0.35">
      <c r="A4124">
        <v>7015065</v>
      </c>
      <c r="B4124" t="s">
        <v>11169</v>
      </c>
      <c r="C4124" t="str">
        <f>""</f>
        <v/>
      </c>
      <c r="D4124" t="str">
        <f>"9783111352862"</f>
        <v>9783111352862</v>
      </c>
      <c r="E4124" t="s">
        <v>346</v>
      </c>
      <c r="F4124" t="s">
        <v>2637</v>
      </c>
      <c r="G4124" s="1">
        <v>24198</v>
      </c>
      <c r="H4124" s="1">
        <v>44726</v>
      </c>
      <c r="I4124" t="s">
        <v>189</v>
      </c>
      <c r="J4124">
        <v>1</v>
      </c>
      <c r="K4124" t="s">
        <v>11170</v>
      </c>
      <c r="L4124" t="s">
        <v>11171</v>
      </c>
      <c r="M4124" t="s">
        <v>676</v>
      </c>
      <c r="Q4124" t="s">
        <v>260</v>
      </c>
      <c r="R4124" t="s">
        <v>261</v>
      </c>
      <c r="S4124" t="s">
        <v>261</v>
      </c>
      <c r="T4124" t="s">
        <v>261</v>
      </c>
      <c r="U4124" t="s">
        <v>261</v>
      </c>
      <c r="V4124" t="s">
        <v>262</v>
      </c>
      <c r="W4124" t="s">
        <v>261</v>
      </c>
      <c r="X4124" t="s">
        <v>261</v>
      </c>
      <c r="Y4124" t="s">
        <v>261</v>
      </c>
      <c r="Z4124" t="s">
        <v>409</v>
      </c>
      <c r="AA4124" t="s">
        <v>409</v>
      </c>
      <c r="AB4124" t="s">
        <v>409</v>
      </c>
      <c r="AC4124" t="s">
        <v>409</v>
      </c>
      <c r="AD4124" t="s">
        <v>261</v>
      </c>
      <c r="AH4124" t="s">
        <v>262</v>
      </c>
      <c r="AI4124" t="s">
        <v>262</v>
      </c>
      <c r="AJ4124" t="s">
        <v>261</v>
      </c>
      <c r="AK4124" t="s">
        <v>261</v>
      </c>
      <c r="AM4124" t="s">
        <v>262</v>
      </c>
      <c r="AN4124" t="s">
        <v>11172</v>
      </c>
    </row>
    <row r="4125" spans="1:40" x14ac:dyDescent="0.35">
      <c r="A4125">
        <v>7015066</v>
      </c>
      <c r="B4125" t="s">
        <v>11173</v>
      </c>
      <c r="C4125" t="str">
        <f>"9783110557893"</f>
        <v>9783110557893</v>
      </c>
      <c r="D4125" t="str">
        <f>"9783110615746"</f>
        <v>9783110615746</v>
      </c>
      <c r="E4125" t="s">
        <v>415</v>
      </c>
      <c r="F4125" t="s">
        <v>415</v>
      </c>
      <c r="G4125" s="1">
        <v>43333</v>
      </c>
      <c r="H4125" s="1">
        <v>44726</v>
      </c>
      <c r="I4125" t="s">
        <v>189</v>
      </c>
      <c r="J4125">
        <v>1</v>
      </c>
      <c r="K4125" t="s">
        <v>2489</v>
      </c>
      <c r="L4125" t="s">
        <v>11174</v>
      </c>
      <c r="M4125" t="s">
        <v>676</v>
      </c>
      <c r="N4125" t="s">
        <v>11175</v>
      </c>
      <c r="Q4125" t="s">
        <v>408</v>
      </c>
      <c r="R4125" t="s">
        <v>261</v>
      </c>
      <c r="S4125" t="s">
        <v>261</v>
      </c>
      <c r="T4125" t="s">
        <v>261</v>
      </c>
      <c r="U4125" t="s">
        <v>261</v>
      </c>
      <c r="V4125" t="s">
        <v>262</v>
      </c>
      <c r="W4125" t="s">
        <v>261</v>
      </c>
      <c r="X4125" t="s">
        <v>261</v>
      </c>
      <c r="Y4125" t="s">
        <v>261</v>
      </c>
      <c r="Z4125" t="s">
        <v>409</v>
      </c>
      <c r="AA4125" t="s">
        <v>409</v>
      </c>
      <c r="AB4125" t="s">
        <v>409</v>
      </c>
      <c r="AC4125" t="s">
        <v>409</v>
      </c>
      <c r="AD4125" t="s">
        <v>261</v>
      </c>
      <c r="AH4125" t="s">
        <v>262</v>
      </c>
      <c r="AI4125" t="s">
        <v>262</v>
      </c>
      <c r="AJ4125" t="s">
        <v>261</v>
      </c>
      <c r="AK4125" t="s">
        <v>261</v>
      </c>
      <c r="AM4125" t="s">
        <v>262</v>
      </c>
      <c r="AN4125" t="s">
        <v>11176</v>
      </c>
    </row>
    <row r="4126" spans="1:40" x14ac:dyDescent="0.35">
      <c r="A4126">
        <v>7015067</v>
      </c>
      <c r="B4126" t="s">
        <v>11177</v>
      </c>
      <c r="C4126" t="str">
        <f>"9783111269849"</f>
        <v>9783111269849</v>
      </c>
      <c r="D4126" t="str">
        <f>"9783111653877"</f>
        <v>9783111653877</v>
      </c>
      <c r="E4126" t="s">
        <v>415</v>
      </c>
      <c r="F4126" t="s">
        <v>415</v>
      </c>
      <c r="G4126" t="s">
        <v>11178</v>
      </c>
      <c r="H4126" s="1">
        <v>44726</v>
      </c>
      <c r="I4126" t="s">
        <v>189</v>
      </c>
      <c r="J4126">
        <v>1</v>
      </c>
      <c r="L4126" t="s">
        <v>11179</v>
      </c>
      <c r="M4126" t="s">
        <v>239</v>
      </c>
      <c r="Q4126" t="s">
        <v>408</v>
      </c>
      <c r="R4126" t="s">
        <v>261</v>
      </c>
      <c r="S4126" t="s">
        <v>261</v>
      </c>
      <c r="T4126" t="s">
        <v>261</v>
      </c>
      <c r="U4126" t="s">
        <v>261</v>
      </c>
      <c r="V4126" t="s">
        <v>262</v>
      </c>
      <c r="W4126" t="s">
        <v>261</v>
      </c>
      <c r="X4126" t="s">
        <v>261</v>
      </c>
      <c r="Y4126" t="s">
        <v>261</v>
      </c>
      <c r="Z4126" t="s">
        <v>409</v>
      </c>
      <c r="AA4126" t="s">
        <v>409</v>
      </c>
      <c r="AB4126" t="s">
        <v>409</v>
      </c>
      <c r="AC4126" t="s">
        <v>409</v>
      </c>
      <c r="AD4126" t="s">
        <v>261</v>
      </c>
      <c r="AH4126" t="s">
        <v>262</v>
      </c>
      <c r="AI4126" t="s">
        <v>262</v>
      </c>
      <c r="AJ4126" t="s">
        <v>261</v>
      </c>
      <c r="AK4126" t="s">
        <v>261</v>
      </c>
      <c r="AM4126" t="s">
        <v>262</v>
      </c>
      <c r="AN4126" t="s">
        <v>11180</v>
      </c>
    </row>
    <row r="4127" spans="1:40" x14ac:dyDescent="0.35">
      <c r="A4127">
        <v>7015068</v>
      </c>
      <c r="B4127" t="s">
        <v>11181</v>
      </c>
      <c r="C4127" t="str">
        <f>""</f>
        <v/>
      </c>
      <c r="D4127" t="str">
        <f>"9783110748406"</f>
        <v>9783110748406</v>
      </c>
      <c r="E4127" t="s">
        <v>415</v>
      </c>
      <c r="F4127" t="s">
        <v>415</v>
      </c>
      <c r="G4127" s="1">
        <v>44494</v>
      </c>
      <c r="H4127" s="1">
        <v>44726</v>
      </c>
      <c r="I4127" t="s">
        <v>189</v>
      </c>
      <c r="J4127">
        <v>1</v>
      </c>
      <c r="K4127" t="s">
        <v>3327</v>
      </c>
      <c r="L4127" t="s">
        <v>11182</v>
      </c>
      <c r="M4127" t="s">
        <v>219</v>
      </c>
    </row>
    <row r="4128" spans="1:40" x14ac:dyDescent="0.35">
      <c r="A4128">
        <v>7015069</v>
      </c>
      <c r="B4128" t="s">
        <v>11183</v>
      </c>
      <c r="C4128" t="str">
        <f>""</f>
        <v/>
      </c>
      <c r="D4128" t="str">
        <f>"9783110682038"</f>
        <v>9783110682038</v>
      </c>
      <c r="E4128" t="s">
        <v>415</v>
      </c>
      <c r="F4128" t="s">
        <v>415</v>
      </c>
      <c r="G4128" s="1">
        <v>43990</v>
      </c>
      <c r="H4128" s="1">
        <v>44726</v>
      </c>
      <c r="I4128" t="s">
        <v>189</v>
      </c>
      <c r="J4128">
        <v>1</v>
      </c>
      <c r="K4128" t="s">
        <v>10577</v>
      </c>
      <c r="L4128" t="s">
        <v>11184</v>
      </c>
      <c r="M4128" t="s">
        <v>239</v>
      </c>
      <c r="O4128" t="s">
        <v>11185</v>
      </c>
      <c r="Q4128" t="s">
        <v>408</v>
      </c>
      <c r="R4128" t="s">
        <v>261</v>
      </c>
      <c r="S4128" t="s">
        <v>261</v>
      </c>
      <c r="T4128" t="s">
        <v>261</v>
      </c>
      <c r="U4128" t="s">
        <v>261</v>
      </c>
      <c r="V4128" t="s">
        <v>262</v>
      </c>
      <c r="W4128" t="s">
        <v>261</v>
      </c>
      <c r="X4128" t="s">
        <v>261</v>
      </c>
      <c r="Y4128" t="s">
        <v>261</v>
      </c>
      <c r="Z4128" t="s">
        <v>409</v>
      </c>
      <c r="AA4128" t="s">
        <v>409</v>
      </c>
      <c r="AB4128" t="s">
        <v>409</v>
      </c>
      <c r="AC4128" t="s">
        <v>409</v>
      </c>
      <c r="AD4128" t="s">
        <v>261</v>
      </c>
      <c r="AH4128" t="s">
        <v>262</v>
      </c>
      <c r="AI4128" t="s">
        <v>262</v>
      </c>
      <c r="AJ4128" t="s">
        <v>261</v>
      </c>
      <c r="AK4128" t="s">
        <v>261</v>
      </c>
      <c r="AM4128" t="s">
        <v>262</v>
      </c>
      <c r="AN4128" t="s">
        <v>11186</v>
      </c>
    </row>
    <row r="4129" spans="1:40" x14ac:dyDescent="0.35">
      <c r="A4129">
        <v>7015070</v>
      </c>
      <c r="B4129" t="s">
        <v>11187</v>
      </c>
      <c r="C4129" t="str">
        <f>""</f>
        <v/>
      </c>
      <c r="D4129" t="str">
        <f>"9783110709292"</f>
        <v>9783110709292</v>
      </c>
      <c r="E4129" t="s">
        <v>415</v>
      </c>
      <c r="F4129" t="s">
        <v>415</v>
      </c>
      <c r="G4129" s="1">
        <v>44494</v>
      </c>
      <c r="H4129" s="1">
        <v>44726</v>
      </c>
      <c r="I4129" t="s">
        <v>189</v>
      </c>
      <c r="J4129">
        <v>1</v>
      </c>
      <c r="L4129" t="s">
        <v>11188</v>
      </c>
      <c r="M4129" t="s">
        <v>199</v>
      </c>
      <c r="O4129" t="s">
        <v>11189</v>
      </c>
      <c r="Q4129" t="s">
        <v>260</v>
      </c>
      <c r="R4129" t="s">
        <v>261</v>
      </c>
      <c r="S4129" t="s">
        <v>261</v>
      </c>
      <c r="T4129" t="s">
        <v>261</v>
      </c>
      <c r="U4129" t="s">
        <v>261</v>
      </c>
      <c r="V4129" t="s">
        <v>262</v>
      </c>
      <c r="W4129" t="s">
        <v>261</v>
      </c>
      <c r="X4129" t="s">
        <v>261</v>
      </c>
      <c r="Y4129" t="s">
        <v>261</v>
      </c>
      <c r="Z4129" t="s">
        <v>409</v>
      </c>
      <c r="AA4129" t="s">
        <v>409</v>
      </c>
      <c r="AB4129" t="s">
        <v>409</v>
      </c>
      <c r="AC4129" t="s">
        <v>409</v>
      </c>
      <c r="AD4129" t="s">
        <v>261</v>
      </c>
      <c r="AH4129" t="s">
        <v>262</v>
      </c>
      <c r="AI4129" t="s">
        <v>262</v>
      </c>
      <c r="AJ4129" t="s">
        <v>261</v>
      </c>
      <c r="AK4129" t="s">
        <v>261</v>
      </c>
      <c r="AM4129" t="s">
        <v>262</v>
      </c>
      <c r="AN4129" t="s">
        <v>11190</v>
      </c>
    </row>
    <row r="4130" spans="1:40" x14ac:dyDescent="0.35">
      <c r="A4130">
        <v>7015071</v>
      </c>
      <c r="B4130" t="s">
        <v>11191</v>
      </c>
      <c r="C4130" t="str">
        <f>""</f>
        <v/>
      </c>
      <c r="D4130" t="str">
        <f>"9783486777611"</f>
        <v>9783486777611</v>
      </c>
      <c r="E4130" t="s">
        <v>415</v>
      </c>
      <c r="F4130" t="s">
        <v>665</v>
      </c>
      <c r="G4130" s="1">
        <v>18354</v>
      </c>
      <c r="H4130" s="1">
        <v>44726</v>
      </c>
      <c r="I4130" t="s">
        <v>189</v>
      </c>
      <c r="J4130">
        <v>1</v>
      </c>
      <c r="L4130" t="s">
        <v>11192</v>
      </c>
      <c r="M4130" t="s">
        <v>239</v>
      </c>
      <c r="Q4130" t="s">
        <v>408</v>
      </c>
      <c r="R4130" t="s">
        <v>261</v>
      </c>
      <c r="S4130" t="s">
        <v>261</v>
      </c>
      <c r="T4130" t="s">
        <v>261</v>
      </c>
      <c r="U4130" t="s">
        <v>261</v>
      </c>
      <c r="V4130" t="s">
        <v>262</v>
      </c>
      <c r="W4130" t="s">
        <v>261</v>
      </c>
      <c r="X4130" t="s">
        <v>261</v>
      </c>
      <c r="Y4130" t="s">
        <v>261</v>
      </c>
      <c r="Z4130" t="s">
        <v>409</v>
      </c>
      <c r="AA4130" t="s">
        <v>409</v>
      </c>
      <c r="AB4130" t="s">
        <v>409</v>
      </c>
      <c r="AC4130" t="s">
        <v>409</v>
      </c>
      <c r="AD4130" t="s">
        <v>261</v>
      </c>
      <c r="AH4130" t="s">
        <v>262</v>
      </c>
      <c r="AI4130" t="s">
        <v>262</v>
      </c>
      <c r="AJ4130" t="s">
        <v>261</v>
      </c>
      <c r="AK4130" t="s">
        <v>261</v>
      </c>
      <c r="AM4130" t="s">
        <v>262</v>
      </c>
      <c r="AN4130" t="s">
        <v>11193</v>
      </c>
    </row>
    <row r="4131" spans="1:40" x14ac:dyDescent="0.35">
      <c r="A4131">
        <v>7015072</v>
      </c>
      <c r="B4131" t="s">
        <v>11194</v>
      </c>
      <c r="C4131" t="str">
        <f>""</f>
        <v/>
      </c>
      <c r="D4131" t="str">
        <f>"9783110880618"</f>
        <v>9783110880618</v>
      </c>
      <c r="E4131" t="s">
        <v>415</v>
      </c>
      <c r="F4131" t="s">
        <v>415</v>
      </c>
      <c r="G4131" s="1">
        <v>33543</v>
      </c>
      <c r="H4131" s="1">
        <v>44726</v>
      </c>
      <c r="I4131" t="s">
        <v>189</v>
      </c>
      <c r="J4131">
        <v>4</v>
      </c>
      <c r="K4131" t="s">
        <v>11162</v>
      </c>
      <c r="L4131" t="s">
        <v>11195</v>
      </c>
      <c r="M4131" t="s">
        <v>316</v>
      </c>
      <c r="Q4131" t="s">
        <v>408</v>
      </c>
      <c r="R4131" t="s">
        <v>261</v>
      </c>
      <c r="S4131" t="s">
        <v>261</v>
      </c>
      <c r="T4131" t="s">
        <v>261</v>
      </c>
      <c r="U4131" t="s">
        <v>261</v>
      </c>
      <c r="V4131" t="s">
        <v>262</v>
      </c>
      <c r="W4131" t="s">
        <v>261</v>
      </c>
      <c r="X4131" t="s">
        <v>261</v>
      </c>
      <c r="Y4131" t="s">
        <v>261</v>
      </c>
      <c r="Z4131" t="s">
        <v>409</v>
      </c>
      <c r="AA4131" t="s">
        <v>409</v>
      </c>
      <c r="AB4131" t="s">
        <v>409</v>
      </c>
      <c r="AC4131" t="s">
        <v>409</v>
      </c>
      <c r="AD4131" t="s">
        <v>261</v>
      </c>
      <c r="AH4131" t="s">
        <v>262</v>
      </c>
      <c r="AI4131" t="s">
        <v>262</v>
      </c>
      <c r="AJ4131" t="s">
        <v>261</v>
      </c>
      <c r="AK4131" t="s">
        <v>261</v>
      </c>
      <c r="AM4131" t="s">
        <v>262</v>
      </c>
      <c r="AN4131" t="s">
        <v>11196</v>
      </c>
    </row>
    <row r="4132" spans="1:40" x14ac:dyDescent="0.35">
      <c r="A4132">
        <v>7015073</v>
      </c>
      <c r="B4132" t="s">
        <v>11197</v>
      </c>
      <c r="C4132" t="str">
        <f>""</f>
        <v/>
      </c>
      <c r="D4132" t="str">
        <f>"9783110719031"</f>
        <v>9783110719031</v>
      </c>
      <c r="E4132" t="s">
        <v>415</v>
      </c>
      <c r="F4132" t="s">
        <v>415</v>
      </c>
      <c r="G4132" s="1">
        <v>44144</v>
      </c>
      <c r="H4132" s="1">
        <v>44726</v>
      </c>
      <c r="I4132" t="s">
        <v>189</v>
      </c>
      <c r="J4132">
        <v>1</v>
      </c>
      <c r="K4132" t="s">
        <v>564</v>
      </c>
      <c r="L4132" t="s">
        <v>11198</v>
      </c>
      <c r="M4132" t="s">
        <v>316</v>
      </c>
      <c r="Q4132" t="s">
        <v>408</v>
      </c>
      <c r="R4132" t="s">
        <v>261</v>
      </c>
      <c r="S4132" t="s">
        <v>261</v>
      </c>
      <c r="T4132" t="s">
        <v>261</v>
      </c>
      <c r="U4132" t="s">
        <v>261</v>
      </c>
      <c r="V4132" t="s">
        <v>262</v>
      </c>
      <c r="W4132" t="s">
        <v>261</v>
      </c>
      <c r="X4132" t="s">
        <v>261</v>
      </c>
      <c r="Y4132" t="s">
        <v>261</v>
      </c>
      <c r="Z4132" t="s">
        <v>409</v>
      </c>
      <c r="AA4132" t="s">
        <v>409</v>
      </c>
      <c r="AB4132" t="s">
        <v>409</v>
      </c>
      <c r="AC4132" t="s">
        <v>409</v>
      </c>
      <c r="AD4132" t="s">
        <v>261</v>
      </c>
      <c r="AH4132" t="s">
        <v>262</v>
      </c>
      <c r="AI4132" t="s">
        <v>262</v>
      </c>
      <c r="AJ4132" t="s">
        <v>261</v>
      </c>
      <c r="AK4132" t="s">
        <v>261</v>
      </c>
      <c r="AM4132" t="s">
        <v>262</v>
      </c>
      <c r="AN4132" t="s">
        <v>11199</v>
      </c>
    </row>
    <row r="4133" spans="1:40" x14ac:dyDescent="0.35">
      <c r="A4133">
        <v>7015074</v>
      </c>
      <c r="B4133" t="s">
        <v>11200</v>
      </c>
      <c r="C4133" t="str">
        <f>""</f>
        <v/>
      </c>
      <c r="D4133" t="str">
        <f>"9783110624519"</f>
        <v>9783110624519</v>
      </c>
      <c r="E4133" t="s">
        <v>415</v>
      </c>
      <c r="F4133" t="s">
        <v>415</v>
      </c>
      <c r="G4133" s="1">
        <v>44116</v>
      </c>
      <c r="H4133" s="1">
        <v>44726</v>
      </c>
      <c r="I4133" t="s">
        <v>189</v>
      </c>
      <c r="J4133">
        <v>1</v>
      </c>
      <c r="K4133" t="s">
        <v>11201</v>
      </c>
      <c r="L4133" t="s">
        <v>11202</v>
      </c>
      <c r="M4133" t="s">
        <v>219</v>
      </c>
    </row>
    <row r="4134" spans="1:40" x14ac:dyDescent="0.35">
      <c r="A4134">
        <v>7015075</v>
      </c>
      <c r="B4134" t="s">
        <v>11203</v>
      </c>
      <c r="C4134" t="str">
        <f>""</f>
        <v/>
      </c>
      <c r="D4134" t="str">
        <f>"9783110701234"</f>
        <v>9783110701234</v>
      </c>
      <c r="E4134" t="s">
        <v>415</v>
      </c>
      <c r="F4134" t="s">
        <v>415</v>
      </c>
      <c r="G4134" s="1">
        <v>44181</v>
      </c>
      <c r="H4134" s="1">
        <v>44726</v>
      </c>
      <c r="I4134" t="s">
        <v>189</v>
      </c>
      <c r="J4134">
        <v>1</v>
      </c>
      <c r="L4134" t="s">
        <v>2893</v>
      </c>
    </row>
    <row r="4135" spans="1:40" x14ac:dyDescent="0.35">
      <c r="A4135">
        <v>7015076</v>
      </c>
      <c r="B4135" t="s">
        <v>11204</v>
      </c>
      <c r="C4135" t="str">
        <f>""</f>
        <v/>
      </c>
      <c r="D4135" t="str">
        <f>"9783110691597"</f>
        <v>9783110691597</v>
      </c>
      <c r="E4135" t="s">
        <v>415</v>
      </c>
      <c r="F4135" t="s">
        <v>416</v>
      </c>
      <c r="G4135" s="1">
        <v>44473</v>
      </c>
      <c r="H4135" s="1">
        <v>44726</v>
      </c>
      <c r="I4135" t="s">
        <v>189</v>
      </c>
      <c r="J4135">
        <v>1</v>
      </c>
      <c r="K4135" t="s">
        <v>529</v>
      </c>
      <c r="L4135" t="s">
        <v>11205</v>
      </c>
    </row>
    <row r="4136" spans="1:40" x14ac:dyDescent="0.35">
      <c r="A4136">
        <v>7015077</v>
      </c>
      <c r="B4136" t="s">
        <v>11206</v>
      </c>
      <c r="C4136" t="str">
        <f>"9783110558838"</f>
        <v>9783110558838</v>
      </c>
      <c r="D4136" t="str">
        <f>"9783110561371"</f>
        <v>9783110561371</v>
      </c>
      <c r="E4136" t="s">
        <v>415</v>
      </c>
      <c r="F4136" t="s">
        <v>665</v>
      </c>
      <c r="G4136" s="1">
        <v>43304</v>
      </c>
      <c r="H4136" s="1">
        <v>44726</v>
      </c>
      <c r="I4136" t="s">
        <v>189</v>
      </c>
      <c r="J4136">
        <v>1</v>
      </c>
      <c r="L4136" t="s">
        <v>11207</v>
      </c>
    </row>
    <row r="4137" spans="1:40" x14ac:dyDescent="0.35">
      <c r="A4137">
        <v>7015078</v>
      </c>
      <c r="B4137" t="s">
        <v>11208</v>
      </c>
      <c r="C4137" t="str">
        <f>""</f>
        <v/>
      </c>
      <c r="D4137" t="str">
        <f>"9783110653663"</f>
        <v>9783110653663</v>
      </c>
      <c r="E4137" t="s">
        <v>415</v>
      </c>
      <c r="F4137" t="s">
        <v>416</v>
      </c>
      <c r="G4137" s="1">
        <v>43990</v>
      </c>
      <c r="H4137" s="1">
        <v>44726</v>
      </c>
      <c r="I4137" t="s">
        <v>189</v>
      </c>
      <c r="J4137">
        <v>1</v>
      </c>
      <c r="K4137" t="s">
        <v>11209</v>
      </c>
      <c r="L4137" t="s">
        <v>11210</v>
      </c>
    </row>
    <row r="4138" spans="1:40" x14ac:dyDescent="0.35">
      <c r="A4138">
        <v>7015079</v>
      </c>
      <c r="B4138" t="s">
        <v>11211</v>
      </c>
      <c r="C4138" t="str">
        <f>""</f>
        <v/>
      </c>
      <c r="D4138" t="str">
        <f>"9783110681710"</f>
        <v>9783110681710</v>
      </c>
      <c r="E4138" t="s">
        <v>415</v>
      </c>
      <c r="F4138" t="s">
        <v>415</v>
      </c>
      <c r="G4138" s="1">
        <v>44508</v>
      </c>
      <c r="H4138" s="1">
        <v>44726</v>
      </c>
      <c r="I4138" t="s">
        <v>189</v>
      </c>
      <c r="J4138">
        <v>1</v>
      </c>
      <c r="K4138" t="s">
        <v>1272</v>
      </c>
      <c r="L4138" t="s">
        <v>11212</v>
      </c>
      <c r="M4138" t="s">
        <v>676</v>
      </c>
      <c r="Q4138" t="s">
        <v>408</v>
      </c>
      <c r="R4138" t="s">
        <v>261</v>
      </c>
      <c r="S4138" t="s">
        <v>261</v>
      </c>
      <c r="T4138" t="s">
        <v>261</v>
      </c>
      <c r="U4138" t="s">
        <v>261</v>
      </c>
      <c r="V4138" t="s">
        <v>262</v>
      </c>
      <c r="W4138" t="s">
        <v>261</v>
      </c>
      <c r="X4138" t="s">
        <v>261</v>
      </c>
      <c r="Y4138" t="s">
        <v>261</v>
      </c>
      <c r="Z4138" t="s">
        <v>409</v>
      </c>
      <c r="AA4138" t="s">
        <v>409</v>
      </c>
      <c r="AB4138" t="s">
        <v>409</v>
      </c>
      <c r="AC4138" t="s">
        <v>409</v>
      </c>
      <c r="AD4138" t="s">
        <v>261</v>
      </c>
      <c r="AH4138" t="s">
        <v>262</v>
      </c>
      <c r="AI4138" t="s">
        <v>262</v>
      </c>
      <c r="AJ4138" t="s">
        <v>261</v>
      </c>
      <c r="AK4138" t="s">
        <v>261</v>
      </c>
      <c r="AM4138" t="s">
        <v>262</v>
      </c>
      <c r="AN4138" t="s">
        <v>11213</v>
      </c>
    </row>
    <row r="4139" spans="1:40" x14ac:dyDescent="0.35">
      <c r="A4139">
        <v>7015080</v>
      </c>
      <c r="B4139" t="s">
        <v>11214</v>
      </c>
      <c r="C4139" t="str">
        <f>""</f>
        <v/>
      </c>
      <c r="D4139" t="str">
        <f>"9783111580494"</f>
        <v>9783111580494</v>
      </c>
      <c r="E4139" t="s">
        <v>415</v>
      </c>
      <c r="F4139" t="s">
        <v>415</v>
      </c>
      <c r="G4139" t="s">
        <v>10808</v>
      </c>
      <c r="H4139" s="1">
        <v>44726</v>
      </c>
      <c r="I4139" t="s">
        <v>189</v>
      </c>
      <c r="J4139">
        <v>1</v>
      </c>
      <c r="L4139" t="s">
        <v>11215</v>
      </c>
      <c r="M4139" t="s">
        <v>239</v>
      </c>
      <c r="Q4139" t="s">
        <v>408</v>
      </c>
      <c r="R4139" t="s">
        <v>261</v>
      </c>
      <c r="S4139" t="s">
        <v>261</v>
      </c>
      <c r="T4139" t="s">
        <v>261</v>
      </c>
      <c r="U4139" t="s">
        <v>261</v>
      </c>
      <c r="V4139" t="s">
        <v>262</v>
      </c>
      <c r="W4139" t="s">
        <v>261</v>
      </c>
      <c r="X4139" t="s">
        <v>261</v>
      </c>
      <c r="Y4139" t="s">
        <v>261</v>
      </c>
      <c r="Z4139" t="s">
        <v>409</v>
      </c>
      <c r="AA4139" t="s">
        <v>409</v>
      </c>
      <c r="AB4139" t="s">
        <v>409</v>
      </c>
      <c r="AC4139" t="s">
        <v>409</v>
      </c>
      <c r="AD4139" t="s">
        <v>261</v>
      </c>
      <c r="AH4139" t="s">
        <v>262</v>
      </c>
      <c r="AI4139" t="s">
        <v>262</v>
      </c>
      <c r="AJ4139" t="s">
        <v>261</v>
      </c>
      <c r="AK4139" t="s">
        <v>261</v>
      </c>
      <c r="AM4139" t="s">
        <v>262</v>
      </c>
      <c r="AN4139" t="s">
        <v>11216</v>
      </c>
    </row>
    <row r="4140" spans="1:40" x14ac:dyDescent="0.35">
      <c r="A4140">
        <v>7015081</v>
      </c>
      <c r="B4140" t="s">
        <v>11217</v>
      </c>
      <c r="C4140" t="str">
        <f>""</f>
        <v/>
      </c>
      <c r="D4140" t="str">
        <f>"9783110725049"</f>
        <v>9783110725049</v>
      </c>
      <c r="E4140" t="s">
        <v>415</v>
      </c>
      <c r="F4140" t="s">
        <v>415</v>
      </c>
      <c r="G4140" s="1">
        <v>44368</v>
      </c>
      <c r="H4140" s="1">
        <v>44726</v>
      </c>
      <c r="I4140" t="s">
        <v>189</v>
      </c>
      <c r="J4140">
        <v>1</v>
      </c>
      <c r="L4140" t="s">
        <v>11218</v>
      </c>
      <c r="M4140" t="s">
        <v>199</v>
      </c>
      <c r="O4140" t="s">
        <v>1152</v>
      </c>
      <c r="Q4140" t="s">
        <v>260</v>
      </c>
      <c r="R4140" t="s">
        <v>261</v>
      </c>
      <c r="S4140" t="s">
        <v>261</v>
      </c>
      <c r="T4140" t="s">
        <v>261</v>
      </c>
      <c r="U4140" t="s">
        <v>261</v>
      </c>
      <c r="V4140" t="s">
        <v>262</v>
      </c>
      <c r="W4140" t="s">
        <v>261</v>
      </c>
      <c r="X4140" t="s">
        <v>261</v>
      </c>
      <c r="Y4140" t="s">
        <v>261</v>
      </c>
      <c r="Z4140" t="s">
        <v>409</v>
      </c>
      <c r="AA4140" t="s">
        <v>409</v>
      </c>
      <c r="AB4140" t="s">
        <v>409</v>
      </c>
      <c r="AC4140" t="s">
        <v>409</v>
      </c>
      <c r="AD4140" t="s">
        <v>261</v>
      </c>
      <c r="AH4140" t="s">
        <v>262</v>
      </c>
      <c r="AI4140" t="s">
        <v>262</v>
      </c>
      <c r="AJ4140" t="s">
        <v>261</v>
      </c>
      <c r="AK4140" t="s">
        <v>261</v>
      </c>
      <c r="AM4140" t="s">
        <v>262</v>
      </c>
      <c r="AN4140" t="s">
        <v>11219</v>
      </c>
    </row>
    <row r="4141" spans="1:40" x14ac:dyDescent="0.35">
      <c r="A4141">
        <v>7015082</v>
      </c>
      <c r="B4141" t="s">
        <v>11220</v>
      </c>
      <c r="C4141" t="str">
        <f>"9783486562590"</f>
        <v>9783486562590</v>
      </c>
      <c r="D4141" t="str">
        <f>"9783486594379"</f>
        <v>9783486594379</v>
      </c>
      <c r="E4141" t="s">
        <v>415</v>
      </c>
      <c r="F4141" t="s">
        <v>665</v>
      </c>
      <c r="G4141" s="1">
        <v>35956</v>
      </c>
      <c r="H4141" s="1">
        <v>44726</v>
      </c>
      <c r="I4141" t="s">
        <v>189</v>
      </c>
      <c r="J4141">
        <v>1</v>
      </c>
      <c r="K4141" t="s">
        <v>1387</v>
      </c>
      <c r="L4141" t="s">
        <v>11221</v>
      </c>
      <c r="M4141" t="s">
        <v>389</v>
      </c>
      <c r="O4141" t="s">
        <v>1395</v>
      </c>
      <c r="Q4141" t="s">
        <v>408</v>
      </c>
      <c r="R4141" t="s">
        <v>261</v>
      </c>
      <c r="S4141" t="s">
        <v>261</v>
      </c>
      <c r="T4141" t="s">
        <v>261</v>
      </c>
      <c r="U4141" t="s">
        <v>261</v>
      </c>
      <c r="V4141" t="s">
        <v>262</v>
      </c>
      <c r="W4141" t="s">
        <v>261</v>
      </c>
      <c r="X4141" t="s">
        <v>261</v>
      </c>
      <c r="Y4141" t="s">
        <v>261</v>
      </c>
      <c r="Z4141" t="s">
        <v>409</v>
      </c>
      <c r="AA4141" t="s">
        <v>409</v>
      </c>
      <c r="AB4141" t="s">
        <v>409</v>
      </c>
      <c r="AC4141" t="s">
        <v>409</v>
      </c>
      <c r="AD4141" t="s">
        <v>261</v>
      </c>
      <c r="AH4141" t="s">
        <v>262</v>
      </c>
      <c r="AI4141" t="s">
        <v>262</v>
      </c>
      <c r="AJ4141" t="s">
        <v>261</v>
      </c>
      <c r="AK4141" t="s">
        <v>261</v>
      </c>
      <c r="AM4141" t="s">
        <v>262</v>
      </c>
      <c r="AN4141" t="s">
        <v>11222</v>
      </c>
    </row>
    <row r="4142" spans="1:40" x14ac:dyDescent="0.35">
      <c r="A4142">
        <v>7015083</v>
      </c>
      <c r="B4142" t="s">
        <v>11223</v>
      </c>
      <c r="C4142" t="str">
        <f>"9783110617573"</f>
        <v>9783110617573</v>
      </c>
      <c r="D4142" t="str">
        <f>"9783110617580"</f>
        <v>9783110617580</v>
      </c>
      <c r="E4142" t="s">
        <v>415</v>
      </c>
      <c r="F4142" t="s">
        <v>415</v>
      </c>
      <c r="G4142" s="1">
        <v>43409</v>
      </c>
      <c r="H4142" s="1">
        <v>44726</v>
      </c>
      <c r="I4142" t="s">
        <v>189</v>
      </c>
      <c r="J4142">
        <v>1</v>
      </c>
      <c r="K4142" t="s">
        <v>3327</v>
      </c>
      <c r="L4142" t="s">
        <v>11224</v>
      </c>
      <c r="M4142" t="s">
        <v>219</v>
      </c>
      <c r="Q4142" t="s">
        <v>260</v>
      </c>
      <c r="R4142" t="s">
        <v>261</v>
      </c>
      <c r="S4142" t="s">
        <v>261</v>
      </c>
      <c r="T4142" t="s">
        <v>261</v>
      </c>
      <c r="U4142" t="s">
        <v>261</v>
      </c>
      <c r="V4142" t="s">
        <v>262</v>
      </c>
      <c r="W4142" t="s">
        <v>261</v>
      </c>
      <c r="X4142" t="s">
        <v>261</v>
      </c>
      <c r="Y4142" t="s">
        <v>261</v>
      </c>
      <c r="Z4142" t="s">
        <v>409</v>
      </c>
      <c r="AA4142" t="s">
        <v>409</v>
      </c>
      <c r="AB4142" t="s">
        <v>409</v>
      </c>
      <c r="AC4142" t="s">
        <v>409</v>
      </c>
      <c r="AD4142" t="s">
        <v>261</v>
      </c>
      <c r="AH4142" t="s">
        <v>262</v>
      </c>
      <c r="AI4142" t="s">
        <v>262</v>
      </c>
      <c r="AJ4142" t="s">
        <v>261</v>
      </c>
      <c r="AK4142" t="s">
        <v>261</v>
      </c>
      <c r="AM4142" t="s">
        <v>262</v>
      </c>
      <c r="AN4142" t="s">
        <v>11225</v>
      </c>
    </row>
    <row r="4143" spans="1:40" x14ac:dyDescent="0.35">
      <c r="A4143">
        <v>7015084</v>
      </c>
      <c r="B4143" t="s">
        <v>11226</v>
      </c>
      <c r="C4143" t="str">
        <f>""</f>
        <v/>
      </c>
      <c r="D4143" t="str">
        <f>"9783110709834"</f>
        <v>9783110709834</v>
      </c>
      <c r="E4143" t="s">
        <v>415</v>
      </c>
      <c r="F4143" t="s">
        <v>415</v>
      </c>
      <c r="G4143" s="1">
        <v>44249</v>
      </c>
      <c r="H4143" s="1">
        <v>44726</v>
      </c>
      <c r="I4143" t="s">
        <v>189</v>
      </c>
      <c r="J4143">
        <v>1</v>
      </c>
      <c r="K4143" t="s">
        <v>6590</v>
      </c>
      <c r="L4143" t="s">
        <v>11227</v>
      </c>
      <c r="M4143" t="s">
        <v>389</v>
      </c>
      <c r="O4143" t="s">
        <v>11228</v>
      </c>
      <c r="Q4143" t="s">
        <v>260</v>
      </c>
      <c r="R4143" t="s">
        <v>261</v>
      </c>
      <c r="S4143" t="s">
        <v>261</v>
      </c>
      <c r="T4143" t="s">
        <v>261</v>
      </c>
      <c r="U4143" t="s">
        <v>261</v>
      </c>
      <c r="V4143" t="s">
        <v>262</v>
      </c>
      <c r="W4143" t="s">
        <v>261</v>
      </c>
      <c r="X4143" t="s">
        <v>261</v>
      </c>
      <c r="Y4143" t="s">
        <v>261</v>
      </c>
      <c r="Z4143" t="s">
        <v>409</v>
      </c>
      <c r="AA4143" t="s">
        <v>409</v>
      </c>
      <c r="AB4143" t="s">
        <v>409</v>
      </c>
      <c r="AC4143" t="s">
        <v>409</v>
      </c>
      <c r="AD4143" t="s">
        <v>261</v>
      </c>
      <c r="AH4143" t="s">
        <v>262</v>
      </c>
      <c r="AI4143" t="s">
        <v>262</v>
      </c>
      <c r="AJ4143" t="s">
        <v>261</v>
      </c>
      <c r="AK4143" t="s">
        <v>261</v>
      </c>
      <c r="AM4143" t="s">
        <v>262</v>
      </c>
      <c r="AN4143" t="s">
        <v>11229</v>
      </c>
    </row>
    <row r="4144" spans="1:40" x14ac:dyDescent="0.35">
      <c r="A4144">
        <v>7015085</v>
      </c>
      <c r="B4144" t="s">
        <v>11230</v>
      </c>
      <c r="C4144" t="str">
        <f>""</f>
        <v/>
      </c>
      <c r="D4144" t="str">
        <f>"9783110727630"</f>
        <v>9783110727630</v>
      </c>
      <c r="E4144" t="s">
        <v>415</v>
      </c>
      <c r="F4144" t="s">
        <v>415</v>
      </c>
      <c r="G4144" s="1">
        <v>44292</v>
      </c>
      <c r="H4144" s="1">
        <v>44726</v>
      </c>
      <c r="I4144" t="s">
        <v>189</v>
      </c>
      <c r="J4144">
        <v>1</v>
      </c>
      <c r="K4144" t="s">
        <v>354</v>
      </c>
      <c r="L4144" t="s">
        <v>11231</v>
      </c>
      <c r="M4144" t="s">
        <v>578</v>
      </c>
    </row>
    <row r="4145" spans="1:40" x14ac:dyDescent="0.35">
      <c r="A4145">
        <v>7015086</v>
      </c>
      <c r="B4145" t="s">
        <v>11232</v>
      </c>
      <c r="C4145" t="str">
        <f>""</f>
        <v/>
      </c>
      <c r="D4145" t="str">
        <f>"9783486726220"</f>
        <v>9783486726220</v>
      </c>
      <c r="E4145" t="s">
        <v>415</v>
      </c>
      <c r="F4145" t="s">
        <v>665</v>
      </c>
      <c r="G4145" s="1">
        <v>4750</v>
      </c>
      <c r="H4145" s="1">
        <v>44726</v>
      </c>
      <c r="I4145" t="s">
        <v>189</v>
      </c>
      <c r="J4145">
        <v>3</v>
      </c>
      <c r="L4145" t="s">
        <v>11233</v>
      </c>
      <c r="M4145" t="s">
        <v>239</v>
      </c>
      <c r="Q4145" t="s">
        <v>408</v>
      </c>
      <c r="R4145" t="s">
        <v>261</v>
      </c>
      <c r="S4145" t="s">
        <v>261</v>
      </c>
      <c r="T4145" t="s">
        <v>261</v>
      </c>
      <c r="U4145" t="s">
        <v>261</v>
      </c>
      <c r="V4145" t="s">
        <v>262</v>
      </c>
      <c r="W4145" t="s">
        <v>261</v>
      </c>
      <c r="X4145" t="s">
        <v>261</v>
      </c>
      <c r="Y4145" t="s">
        <v>261</v>
      </c>
      <c r="Z4145" t="s">
        <v>409</v>
      </c>
      <c r="AA4145" t="s">
        <v>409</v>
      </c>
      <c r="AB4145" t="s">
        <v>409</v>
      </c>
      <c r="AC4145" t="s">
        <v>409</v>
      </c>
      <c r="AD4145" t="s">
        <v>261</v>
      </c>
      <c r="AH4145" t="s">
        <v>262</v>
      </c>
      <c r="AI4145" t="s">
        <v>262</v>
      </c>
      <c r="AJ4145" t="s">
        <v>261</v>
      </c>
      <c r="AK4145" t="s">
        <v>261</v>
      </c>
      <c r="AM4145" t="s">
        <v>262</v>
      </c>
      <c r="AN4145" t="s">
        <v>11234</v>
      </c>
    </row>
    <row r="4146" spans="1:40" x14ac:dyDescent="0.35">
      <c r="A4146">
        <v>7015087</v>
      </c>
      <c r="B4146" t="s">
        <v>11235</v>
      </c>
      <c r="C4146" t="str">
        <f>""</f>
        <v/>
      </c>
      <c r="D4146" t="str">
        <f>"9783110642032"</f>
        <v>9783110642032</v>
      </c>
      <c r="E4146" t="s">
        <v>415</v>
      </c>
      <c r="F4146" t="s">
        <v>415</v>
      </c>
      <c r="G4146" s="1">
        <v>44214</v>
      </c>
      <c r="H4146" s="1">
        <v>44726</v>
      </c>
      <c r="I4146" t="s">
        <v>189</v>
      </c>
      <c r="J4146">
        <v>1</v>
      </c>
      <c r="L4146" t="s">
        <v>11236</v>
      </c>
      <c r="M4146" t="s">
        <v>219</v>
      </c>
      <c r="Q4146" t="s">
        <v>260</v>
      </c>
      <c r="R4146" t="s">
        <v>261</v>
      </c>
      <c r="S4146" t="s">
        <v>261</v>
      </c>
      <c r="T4146" t="s">
        <v>261</v>
      </c>
      <c r="U4146" t="s">
        <v>261</v>
      </c>
      <c r="V4146" t="s">
        <v>262</v>
      </c>
      <c r="W4146" t="s">
        <v>261</v>
      </c>
      <c r="X4146" t="s">
        <v>261</v>
      </c>
      <c r="Y4146" t="s">
        <v>261</v>
      </c>
      <c r="Z4146" t="s">
        <v>409</v>
      </c>
      <c r="AA4146" t="s">
        <v>409</v>
      </c>
      <c r="AB4146" t="s">
        <v>409</v>
      </c>
      <c r="AC4146" t="s">
        <v>409</v>
      </c>
      <c r="AD4146" t="s">
        <v>261</v>
      </c>
      <c r="AH4146" t="s">
        <v>262</v>
      </c>
      <c r="AI4146" t="s">
        <v>262</v>
      </c>
      <c r="AJ4146" t="s">
        <v>261</v>
      </c>
      <c r="AK4146" t="s">
        <v>261</v>
      </c>
      <c r="AM4146" t="s">
        <v>262</v>
      </c>
      <c r="AN4146" t="s">
        <v>11237</v>
      </c>
    </row>
    <row r="4147" spans="1:40" x14ac:dyDescent="0.35">
      <c r="A4147">
        <v>7015088</v>
      </c>
      <c r="B4147" t="s">
        <v>11238</v>
      </c>
      <c r="C4147" t="str">
        <f>""</f>
        <v/>
      </c>
      <c r="D4147" t="str">
        <f>"9783110693447"</f>
        <v>9783110693447</v>
      </c>
      <c r="E4147" t="s">
        <v>415</v>
      </c>
      <c r="F4147" t="s">
        <v>416</v>
      </c>
      <c r="G4147" s="1">
        <v>44095</v>
      </c>
      <c r="H4147" s="1">
        <v>44726</v>
      </c>
      <c r="I4147" t="s">
        <v>189</v>
      </c>
      <c r="J4147">
        <v>1</v>
      </c>
      <c r="K4147" t="s">
        <v>3037</v>
      </c>
      <c r="L4147" t="s">
        <v>11239</v>
      </c>
      <c r="M4147" t="s">
        <v>379</v>
      </c>
      <c r="Q4147" t="s">
        <v>408</v>
      </c>
      <c r="R4147" t="s">
        <v>261</v>
      </c>
      <c r="S4147" t="s">
        <v>261</v>
      </c>
      <c r="T4147" t="s">
        <v>261</v>
      </c>
      <c r="U4147" t="s">
        <v>261</v>
      </c>
      <c r="V4147" t="s">
        <v>262</v>
      </c>
      <c r="W4147" t="s">
        <v>261</v>
      </c>
      <c r="X4147" t="s">
        <v>261</v>
      </c>
      <c r="Y4147" t="s">
        <v>261</v>
      </c>
      <c r="Z4147" t="s">
        <v>409</v>
      </c>
      <c r="AA4147" t="s">
        <v>409</v>
      </c>
      <c r="AB4147" t="s">
        <v>409</v>
      </c>
      <c r="AC4147" t="s">
        <v>409</v>
      </c>
      <c r="AD4147" t="s">
        <v>261</v>
      </c>
      <c r="AH4147" t="s">
        <v>262</v>
      </c>
      <c r="AI4147" t="s">
        <v>262</v>
      </c>
      <c r="AJ4147" t="s">
        <v>261</v>
      </c>
      <c r="AK4147" t="s">
        <v>261</v>
      </c>
      <c r="AM4147" t="s">
        <v>262</v>
      </c>
      <c r="AN4147" t="s">
        <v>11240</v>
      </c>
    </row>
    <row r="4148" spans="1:40" x14ac:dyDescent="0.35">
      <c r="A4148">
        <v>7015089</v>
      </c>
      <c r="B4148" t="s">
        <v>11241</v>
      </c>
      <c r="C4148" t="str">
        <f>""</f>
        <v/>
      </c>
      <c r="D4148" t="str">
        <f>"9783486777451"</f>
        <v>9783486777451</v>
      </c>
      <c r="E4148" t="s">
        <v>415</v>
      </c>
      <c r="F4148" t="s">
        <v>665</v>
      </c>
      <c r="G4148" s="1">
        <v>17989</v>
      </c>
      <c r="H4148" s="1">
        <v>44726</v>
      </c>
      <c r="I4148" t="s">
        <v>189</v>
      </c>
      <c r="J4148">
        <v>1</v>
      </c>
      <c r="L4148" t="s">
        <v>11242</v>
      </c>
      <c r="M4148" t="s">
        <v>219</v>
      </c>
      <c r="Q4148" t="s">
        <v>408</v>
      </c>
      <c r="R4148" t="s">
        <v>261</v>
      </c>
      <c r="S4148" t="s">
        <v>261</v>
      </c>
      <c r="T4148" t="s">
        <v>261</v>
      </c>
      <c r="U4148" t="s">
        <v>261</v>
      </c>
      <c r="V4148" t="s">
        <v>262</v>
      </c>
      <c r="W4148" t="s">
        <v>261</v>
      </c>
      <c r="X4148" t="s">
        <v>261</v>
      </c>
      <c r="Y4148" t="s">
        <v>261</v>
      </c>
      <c r="Z4148" t="s">
        <v>409</v>
      </c>
      <c r="AA4148" t="s">
        <v>409</v>
      </c>
      <c r="AB4148" t="s">
        <v>409</v>
      </c>
      <c r="AC4148" t="s">
        <v>409</v>
      </c>
      <c r="AD4148" t="s">
        <v>261</v>
      </c>
      <c r="AH4148" t="s">
        <v>262</v>
      </c>
      <c r="AI4148" t="s">
        <v>262</v>
      </c>
      <c r="AJ4148" t="s">
        <v>261</v>
      </c>
      <c r="AK4148" t="s">
        <v>261</v>
      </c>
      <c r="AM4148" t="s">
        <v>262</v>
      </c>
      <c r="AN4148" t="s">
        <v>11243</v>
      </c>
    </row>
    <row r="4149" spans="1:40" x14ac:dyDescent="0.35">
      <c r="A4149">
        <v>7015090</v>
      </c>
      <c r="B4149" t="s">
        <v>11244</v>
      </c>
      <c r="C4149" t="str">
        <f>""</f>
        <v/>
      </c>
      <c r="D4149" t="str">
        <f>"9783486776270"</f>
        <v>9783486776270</v>
      </c>
      <c r="E4149" t="s">
        <v>415</v>
      </c>
      <c r="F4149" t="s">
        <v>665</v>
      </c>
      <c r="G4149" s="1">
        <v>17533</v>
      </c>
      <c r="H4149" s="1">
        <v>44726</v>
      </c>
      <c r="I4149" t="s">
        <v>189</v>
      </c>
      <c r="J4149">
        <v>1</v>
      </c>
      <c r="K4149" t="s">
        <v>11245</v>
      </c>
      <c r="L4149" t="s">
        <v>11246</v>
      </c>
      <c r="M4149" t="s">
        <v>578</v>
      </c>
      <c r="Q4149" t="s">
        <v>408</v>
      </c>
      <c r="R4149" t="s">
        <v>261</v>
      </c>
      <c r="S4149" t="s">
        <v>261</v>
      </c>
      <c r="T4149" t="s">
        <v>261</v>
      </c>
      <c r="U4149" t="s">
        <v>261</v>
      </c>
      <c r="V4149" t="s">
        <v>262</v>
      </c>
      <c r="W4149" t="s">
        <v>261</v>
      </c>
      <c r="X4149" t="s">
        <v>261</v>
      </c>
      <c r="Y4149" t="s">
        <v>261</v>
      </c>
      <c r="Z4149" t="s">
        <v>409</v>
      </c>
      <c r="AA4149" t="s">
        <v>409</v>
      </c>
      <c r="AB4149" t="s">
        <v>409</v>
      </c>
      <c r="AC4149" t="s">
        <v>409</v>
      </c>
      <c r="AD4149" t="s">
        <v>261</v>
      </c>
      <c r="AH4149" t="s">
        <v>262</v>
      </c>
      <c r="AI4149" t="s">
        <v>262</v>
      </c>
      <c r="AJ4149" t="s">
        <v>261</v>
      </c>
      <c r="AK4149" t="s">
        <v>261</v>
      </c>
      <c r="AM4149" t="s">
        <v>262</v>
      </c>
      <c r="AN4149" t="s">
        <v>11247</v>
      </c>
    </row>
    <row r="4150" spans="1:40" x14ac:dyDescent="0.35">
      <c r="A4150">
        <v>7015091</v>
      </c>
      <c r="B4150" t="s">
        <v>11248</v>
      </c>
      <c r="C4150" t="str">
        <f>""</f>
        <v/>
      </c>
      <c r="D4150" t="str">
        <f>"9783110727555"</f>
        <v>9783110727555</v>
      </c>
      <c r="E4150" t="s">
        <v>415</v>
      </c>
      <c r="F4150" t="s">
        <v>415</v>
      </c>
      <c r="G4150" s="1">
        <v>44355</v>
      </c>
      <c r="H4150" s="1">
        <v>44726</v>
      </c>
      <c r="I4150" t="s">
        <v>189</v>
      </c>
      <c r="J4150">
        <v>1</v>
      </c>
      <c r="L4150" t="s">
        <v>11249</v>
      </c>
    </row>
    <row r="4151" spans="1:40" x14ac:dyDescent="0.35">
      <c r="A4151">
        <v>7015092</v>
      </c>
      <c r="B4151" t="s">
        <v>11250</v>
      </c>
      <c r="C4151" t="str">
        <f>""</f>
        <v/>
      </c>
      <c r="D4151" t="str">
        <f>"9783111534589"</f>
        <v>9783111534589</v>
      </c>
      <c r="E4151" t="s">
        <v>415</v>
      </c>
      <c r="F4151" t="s">
        <v>415</v>
      </c>
      <c r="G4151" s="1">
        <v>6301</v>
      </c>
      <c r="H4151" s="1">
        <v>44726</v>
      </c>
      <c r="I4151" t="s">
        <v>189</v>
      </c>
      <c r="J4151">
        <v>3</v>
      </c>
      <c r="L4151" t="s">
        <v>11251</v>
      </c>
      <c r="M4151" t="s">
        <v>199</v>
      </c>
      <c r="Q4151" t="s">
        <v>408</v>
      </c>
      <c r="R4151" t="s">
        <v>261</v>
      </c>
      <c r="S4151" t="s">
        <v>261</v>
      </c>
      <c r="T4151" t="s">
        <v>261</v>
      </c>
      <c r="U4151" t="s">
        <v>261</v>
      </c>
      <c r="V4151" t="s">
        <v>262</v>
      </c>
      <c r="W4151" t="s">
        <v>261</v>
      </c>
      <c r="X4151" t="s">
        <v>261</v>
      </c>
      <c r="Y4151" t="s">
        <v>261</v>
      </c>
      <c r="Z4151" t="s">
        <v>409</v>
      </c>
      <c r="AA4151" t="s">
        <v>409</v>
      </c>
      <c r="AB4151" t="s">
        <v>409</v>
      </c>
      <c r="AC4151" t="s">
        <v>409</v>
      </c>
      <c r="AD4151" t="s">
        <v>261</v>
      </c>
      <c r="AH4151" t="s">
        <v>262</v>
      </c>
      <c r="AI4151" t="s">
        <v>262</v>
      </c>
      <c r="AJ4151" t="s">
        <v>261</v>
      </c>
      <c r="AK4151" t="s">
        <v>261</v>
      </c>
      <c r="AM4151" t="s">
        <v>262</v>
      </c>
      <c r="AN4151" t="s">
        <v>11252</v>
      </c>
    </row>
    <row r="4152" spans="1:40" x14ac:dyDescent="0.35">
      <c r="A4152">
        <v>7015093</v>
      </c>
      <c r="B4152" t="s">
        <v>11253</v>
      </c>
      <c r="C4152" t="str">
        <f>""</f>
        <v/>
      </c>
      <c r="D4152" t="str">
        <f>"9783110671483"</f>
        <v>9783110671483</v>
      </c>
      <c r="E4152" t="s">
        <v>415</v>
      </c>
      <c r="F4152" t="s">
        <v>415</v>
      </c>
      <c r="G4152" s="1">
        <v>44396</v>
      </c>
      <c r="H4152" s="1">
        <v>44726</v>
      </c>
      <c r="I4152" t="s">
        <v>189</v>
      </c>
      <c r="J4152">
        <v>1</v>
      </c>
      <c r="K4152" t="s">
        <v>3014</v>
      </c>
      <c r="L4152" t="s">
        <v>11254</v>
      </c>
    </row>
    <row r="4153" spans="1:40" x14ac:dyDescent="0.35">
      <c r="A4153">
        <v>7015094</v>
      </c>
      <c r="B4153" t="s">
        <v>11255</v>
      </c>
      <c r="C4153" t="str">
        <f>""</f>
        <v/>
      </c>
      <c r="D4153" t="str">
        <f>"9783111342542"</f>
        <v>9783111342542</v>
      </c>
      <c r="E4153" t="s">
        <v>346</v>
      </c>
      <c r="F4153" t="s">
        <v>2637</v>
      </c>
      <c r="G4153" s="1">
        <v>26390</v>
      </c>
      <c r="H4153" s="1">
        <v>44726</v>
      </c>
      <c r="I4153" t="s">
        <v>189</v>
      </c>
      <c r="J4153">
        <v>1</v>
      </c>
      <c r="K4153" t="s">
        <v>10818</v>
      </c>
      <c r="L4153" t="s">
        <v>11256</v>
      </c>
      <c r="M4153" t="s">
        <v>578</v>
      </c>
    </row>
    <row r="4154" spans="1:40" x14ac:dyDescent="0.35">
      <c r="A4154">
        <v>7015095</v>
      </c>
      <c r="B4154" t="s">
        <v>11257</v>
      </c>
      <c r="C4154" t="str">
        <f>""</f>
        <v/>
      </c>
      <c r="D4154" t="str">
        <f>"9783486708608"</f>
        <v>9783486708608</v>
      </c>
      <c r="E4154" t="s">
        <v>415</v>
      </c>
      <c r="F4154" t="s">
        <v>665</v>
      </c>
      <c r="G4154" s="1">
        <v>31285</v>
      </c>
      <c r="H4154" s="1">
        <v>44726</v>
      </c>
      <c r="I4154" t="s">
        <v>189</v>
      </c>
      <c r="J4154">
        <v>1</v>
      </c>
      <c r="K4154" t="s">
        <v>1164</v>
      </c>
      <c r="L4154" t="s">
        <v>11258</v>
      </c>
    </row>
    <row r="4155" spans="1:40" x14ac:dyDescent="0.35">
      <c r="A4155">
        <v>7015096</v>
      </c>
      <c r="B4155" t="s">
        <v>11259</v>
      </c>
      <c r="C4155" t="str">
        <f>""</f>
        <v/>
      </c>
      <c r="D4155" t="str">
        <f>"9783110753301"</f>
        <v>9783110753301</v>
      </c>
      <c r="E4155" t="s">
        <v>415</v>
      </c>
      <c r="F4155" t="s">
        <v>415</v>
      </c>
      <c r="G4155" s="1">
        <v>44494</v>
      </c>
      <c r="H4155" s="1">
        <v>44726</v>
      </c>
      <c r="I4155" t="s">
        <v>189</v>
      </c>
      <c r="J4155">
        <v>1</v>
      </c>
      <c r="K4155" t="s">
        <v>2442</v>
      </c>
      <c r="L4155" t="s">
        <v>11260</v>
      </c>
      <c r="M4155" t="s">
        <v>219</v>
      </c>
      <c r="Q4155" t="s">
        <v>260</v>
      </c>
      <c r="R4155" t="s">
        <v>261</v>
      </c>
      <c r="S4155" t="s">
        <v>261</v>
      </c>
      <c r="T4155" t="s">
        <v>261</v>
      </c>
      <c r="U4155" t="s">
        <v>261</v>
      </c>
      <c r="V4155" t="s">
        <v>262</v>
      </c>
      <c r="W4155" t="s">
        <v>261</v>
      </c>
      <c r="X4155" t="s">
        <v>261</v>
      </c>
      <c r="Y4155" t="s">
        <v>261</v>
      </c>
      <c r="Z4155" t="s">
        <v>409</v>
      </c>
      <c r="AA4155" t="s">
        <v>409</v>
      </c>
      <c r="AB4155" t="s">
        <v>409</v>
      </c>
      <c r="AC4155" t="s">
        <v>409</v>
      </c>
      <c r="AD4155" t="s">
        <v>261</v>
      </c>
      <c r="AH4155" t="s">
        <v>262</v>
      </c>
      <c r="AI4155" t="s">
        <v>262</v>
      </c>
      <c r="AJ4155" t="s">
        <v>261</v>
      </c>
      <c r="AK4155" t="s">
        <v>261</v>
      </c>
      <c r="AM4155" t="s">
        <v>262</v>
      </c>
      <c r="AN4155" t="s">
        <v>11261</v>
      </c>
    </row>
    <row r="4156" spans="1:40" x14ac:dyDescent="0.35">
      <c r="A4156">
        <v>7015097</v>
      </c>
      <c r="B4156" t="s">
        <v>11262</v>
      </c>
      <c r="C4156" t="str">
        <f>""</f>
        <v/>
      </c>
      <c r="D4156" t="str">
        <f>"9783486740813"</f>
        <v>9783486740813</v>
      </c>
      <c r="E4156" t="s">
        <v>415</v>
      </c>
      <c r="F4156" t="s">
        <v>665</v>
      </c>
      <c r="G4156" s="1">
        <v>43913</v>
      </c>
      <c r="H4156" s="1">
        <v>44726</v>
      </c>
      <c r="I4156" t="s">
        <v>189</v>
      </c>
      <c r="J4156">
        <v>1</v>
      </c>
      <c r="L4156" t="s">
        <v>11263</v>
      </c>
      <c r="M4156" t="s">
        <v>3574</v>
      </c>
      <c r="Q4156" t="s">
        <v>408</v>
      </c>
      <c r="R4156" t="s">
        <v>261</v>
      </c>
      <c r="S4156" t="s">
        <v>261</v>
      </c>
      <c r="T4156" t="s">
        <v>261</v>
      </c>
      <c r="U4156" t="s">
        <v>261</v>
      </c>
      <c r="V4156" t="s">
        <v>262</v>
      </c>
      <c r="W4156" t="s">
        <v>261</v>
      </c>
      <c r="X4156" t="s">
        <v>261</v>
      </c>
      <c r="Y4156" t="s">
        <v>261</v>
      </c>
      <c r="Z4156" t="s">
        <v>409</v>
      </c>
      <c r="AA4156" t="s">
        <v>409</v>
      </c>
      <c r="AB4156" t="s">
        <v>409</v>
      </c>
      <c r="AC4156" t="s">
        <v>409</v>
      </c>
      <c r="AD4156" t="s">
        <v>261</v>
      </c>
      <c r="AH4156" t="s">
        <v>262</v>
      </c>
      <c r="AI4156" t="s">
        <v>262</v>
      </c>
      <c r="AJ4156" t="s">
        <v>261</v>
      </c>
      <c r="AK4156" t="s">
        <v>261</v>
      </c>
      <c r="AM4156" t="s">
        <v>262</v>
      </c>
      <c r="AN4156" t="s">
        <v>11264</v>
      </c>
    </row>
    <row r="4157" spans="1:40" x14ac:dyDescent="0.35">
      <c r="A4157">
        <v>7015098</v>
      </c>
      <c r="B4157" t="s">
        <v>11265</v>
      </c>
      <c r="C4157" t="str">
        <f>"9783110518085"</f>
        <v>9783110518085</v>
      </c>
      <c r="D4157" t="str">
        <f>"9783110520620"</f>
        <v>9783110520620</v>
      </c>
      <c r="E4157" t="s">
        <v>415</v>
      </c>
      <c r="F4157" t="s">
        <v>665</v>
      </c>
      <c r="G4157" s="1">
        <v>43990</v>
      </c>
      <c r="H4157" s="1">
        <v>44726</v>
      </c>
      <c r="I4157" t="s">
        <v>189</v>
      </c>
      <c r="J4157">
        <v>1</v>
      </c>
      <c r="L4157" t="s">
        <v>11266</v>
      </c>
      <c r="M4157" t="s">
        <v>239</v>
      </c>
      <c r="Q4157" t="s">
        <v>408</v>
      </c>
      <c r="R4157" t="s">
        <v>261</v>
      </c>
      <c r="S4157" t="s">
        <v>261</v>
      </c>
      <c r="T4157" t="s">
        <v>261</v>
      </c>
      <c r="U4157" t="s">
        <v>261</v>
      </c>
      <c r="V4157" t="s">
        <v>262</v>
      </c>
      <c r="W4157" t="s">
        <v>261</v>
      </c>
      <c r="X4157" t="s">
        <v>261</v>
      </c>
      <c r="Y4157" t="s">
        <v>261</v>
      </c>
      <c r="Z4157" t="s">
        <v>409</v>
      </c>
      <c r="AA4157" t="s">
        <v>409</v>
      </c>
      <c r="AB4157" t="s">
        <v>409</v>
      </c>
      <c r="AC4157" t="s">
        <v>409</v>
      </c>
      <c r="AD4157" t="s">
        <v>261</v>
      </c>
      <c r="AH4157" t="s">
        <v>262</v>
      </c>
      <c r="AI4157" t="s">
        <v>262</v>
      </c>
      <c r="AJ4157" t="s">
        <v>261</v>
      </c>
      <c r="AK4157" t="s">
        <v>261</v>
      </c>
      <c r="AM4157" t="s">
        <v>262</v>
      </c>
      <c r="AN4157" t="s">
        <v>11267</v>
      </c>
    </row>
    <row r="4158" spans="1:40" x14ac:dyDescent="0.35">
      <c r="A4158">
        <v>7015099</v>
      </c>
      <c r="B4158" t="s">
        <v>11268</v>
      </c>
      <c r="C4158" t="str">
        <f>""</f>
        <v/>
      </c>
      <c r="D4158" t="str">
        <f>"9783111347455"</f>
        <v>9783111347455</v>
      </c>
      <c r="E4158" t="s">
        <v>415</v>
      </c>
      <c r="F4158" t="s">
        <v>415</v>
      </c>
      <c r="G4158" s="1">
        <v>23468</v>
      </c>
      <c r="H4158" s="1">
        <v>44726</v>
      </c>
      <c r="I4158" t="s">
        <v>189</v>
      </c>
      <c r="J4158">
        <v>1</v>
      </c>
      <c r="K4158" t="s">
        <v>10682</v>
      </c>
      <c r="L4158" t="s">
        <v>11269</v>
      </c>
      <c r="M4158" t="s">
        <v>249</v>
      </c>
    </row>
    <row r="4159" spans="1:40" x14ac:dyDescent="0.35">
      <c r="A4159">
        <v>7015100</v>
      </c>
      <c r="B4159" t="s">
        <v>11270</v>
      </c>
      <c r="C4159" t="str">
        <f>""</f>
        <v/>
      </c>
      <c r="D4159" t="str">
        <f>"9783110731347"</f>
        <v>9783110731347</v>
      </c>
      <c r="E4159" t="s">
        <v>415</v>
      </c>
      <c r="F4159" t="s">
        <v>415</v>
      </c>
      <c r="G4159" s="1">
        <v>44522</v>
      </c>
      <c r="H4159" s="1">
        <v>44726</v>
      </c>
      <c r="I4159" t="s">
        <v>189</v>
      </c>
      <c r="J4159">
        <v>1</v>
      </c>
      <c r="K4159" t="s">
        <v>11271</v>
      </c>
      <c r="L4159" t="s">
        <v>11272</v>
      </c>
      <c r="M4159" t="s">
        <v>219</v>
      </c>
    </row>
    <row r="4160" spans="1:40" x14ac:dyDescent="0.35">
      <c r="A4160">
        <v>7015101</v>
      </c>
      <c r="B4160" t="s">
        <v>11273</v>
      </c>
      <c r="C4160" t="str">
        <f>""</f>
        <v/>
      </c>
      <c r="D4160" t="str">
        <f>"9783111447339"</f>
        <v>9783111447339</v>
      </c>
      <c r="E4160" t="s">
        <v>415</v>
      </c>
      <c r="F4160" t="s">
        <v>415</v>
      </c>
      <c r="G4160" t="s">
        <v>11274</v>
      </c>
      <c r="H4160" s="1">
        <v>44726</v>
      </c>
      <c r="I4160" t="s">
        <v>189</v>
      </c>
      <c r="J4160">
        <v>1</v>
      </c>
      <c r="K4160" t="s">
        <v>11275</v>
      </c>
      <c r="L4160" t="s">
        <v>11276</v>
      </c>
      <c r="M4160" t="s">
        <v>1831</v>
      </c>
    </row>
    <row r="4161" spans="1:40" x14ac:dyDescent="0.35">
      <c r="A4161">
        <v>7015102</v>
      </c>
      <c r="B4161" t="s">
        <v>11277</v>
      </c>
      <c r="C4161" t="str">
        <f>""</f>
        <v/>
      </c>
      <c r="D4161" t="str">
        <f>"9783110733549"</f>
        <v>9783110733549</v>
      </c>
      <c r="E4161" t="s">
        <v>415</v>
      </c>
      <c r="F4161" t="s">
        <v>665</v>
      </c>
      <c r="G4161" s="1">
        <v>44536</v>
      </c>
      <c r="H4161" s="1">
        <v>44726</v>
      </c>
      <c r="I4161" t="s">
        <v>189</v>
      </c>
      <c r="J4161">
        <v>1</v>
      </c>
      <c r="L4161" t="s">
        <v>11278</v>
      </c>
      <c r="M4161" t="s">
        <v>339</v>
      </c>
      <c r="O4161" t="s">
        <v>11279</v>
      </c>
      <c r="Q4161" t="s">
        <v>260</v>
      </c>
      <c r="R4161" t="s">
        <v>261</v>
      </c>
      <c r="S4161" t="s">
        <v>261</v>
      </c>
      <c r="T4161" t="s">
        <v>261</v>
      </c>
      <c r="U4161" t="s">
        <v>261</v>
      </c>
      <c r="V4161" t="s">
        <v>262</v>
      </c>
      <c r="W4161" t="s">
        <v>261</v>
      </c>
      <c r="X4161" t="s">
        <v>261</v>
      </c>
      <c r="Y4161" t="s">
        <v>261</v>
      </c>
      <c r="Z4161" t="s">
        <v>409</v>
      </c>
      <c r="AA4161" t="s">
        <v>409</v>
      </c>
      <c r="AB4161" t="s">
        <v>409</v>
      </c>
      <c r="AC4161" t="s">
        <v>409</v>
      </c>
      <c r="AD4161" t="s">
        <v>261</v>
      </c>
      <c r="AH4161" t="s">
        <v>262</v>
      </c>
      <c r="AI4161" t="s">
        <v>262</v>
      </c>
      <c r="AJ4161" t="s">
        <v>261</v>
      </c>
      <c r="AK4161" t="s">
        <v>261</v>
      </c>
      <c r="AM4161" t="s">
        <v>262</v>
      </c>
      <c r="AN4161" t="s">
        <v>11280</v>
      </c>
    </row>
    <row r="4162" spans="1:40" x14ac:dyDescent="0.35">
      <c r="A4162">
        <v>7015103</v>
      </c>
      <c r="B4162" t="s">
        <v>11281</v>
      </c>
      <c r="C4162" t="str">
        <f>""</f>
        <v/>
      </c>
      <c r="D4162" t="str">
        <f>"9783035623802"</f>
        <v>9783035623802</v>
      </c>
      <c r="E4162" t="s">
        <v>415</v>
      </c>
      <c r="F4162" t="s">
        <v>1107</v>
      </c>
      <c r="G4162" s="1">
        <v>44550</v>
      </c>
      <c r="H4162" s="1">
        <v>44726</v>
      </c>
      <c r="I4162" t="s">
        <v>189</v>
      </c>
      <c r="J4162">
        <v>1</v>
      </c>
      <c r="L4162" t="s">
        <v>11282</v>
      </c>
      <c r="M4162" t="s">
        <v>578</v>
      </c>
      <c r="O4162" s="2">
        <v>71140943613</v>
      </c>
      <c r="Q4162" t="s">
        <v>408</v>
      </c>
      <c r="R4162" t="s">
        <v>261</v>
      </c>
      <c r="S4162" t="s">
        <v>261</v>
      </c>
      <c r="T4162" t="s">
        <v>261</v>
      </c>
      <c r="U4162" t="s">
        <v>261</v>
      </c>
      <c r="V4162" t="s">
        <v>262</v>
      </c>
      <c r="W4162" t="s">
        <v>261</v>
      </c>
      <c r="X4162" t="s">
        <v>261</v>
      </c>
      <c r="Y4162" t="s">
        <v>261</v>
      </c>
      <c r="Z4162" t="s">
        <v>409</v>
      </c>
      <c r="AA4162" t="s">
        <v>409</v>
      </c>
      <c r="AB4162" t="s">
        <v>409</v>
      </c>
      <c r="AC4162" t="s">
        <v>409</v>
      </c>
      <c r="AD4162" t="s">
        <v>261</v>
      </c>
      <c r="AH4162" t="s">
        <v>262</v>
      </c>
      <c r="AI4162" t="s">
        <v>262</v>
      </c>
      <c r="AJ4162" t="s">
        <v>261</v>
      </c>
      <c r="AK4162" t="s">
        <v>261</v>
      </c>
      <c r="AM4162" t="s">
        <v>262</v>
      </c>
      <c r="AN4162" t="s">
        <v>11283</v>
      </c>
    </row>
    <row r="4163" spans="1:40" x14ac:dyDescent="0.35">
      <c r="A4163">
        <v>7015104</v>
      </c>
      <c r="B4163" t="s">
        <v>11284</v>
      </c>
      <c r="C4163" t="str">
        <f>"9783110573657"</f>
        <v>9783110573657</v>
      </c>
      <c r="D4163" t="str">
        <f>"9783110573664"</f>
        <v>9783110573664</v>
      </c>
      <c r="E4163" t="s">
        <v>415</v>
      </c>
      <c r="F4163" t="s">
        <v>415</v>
      </c>
      <c r="G4163" s="1">
        <v>43353</v>
      </c>
      <c r="H4163" s="1">
        <v>44726</v>
      </c>
      <c r="I4163" t="s">
        <v>189</v>
      </c>
      <c r="J4163">
        <v>1</v>
      </c>
      <c r="K4163" t="s">
        <v>1272</v>
      </c>
      <c r="L4163" t="s">
        <v>11285</v>
      </c>
      <c r="M4163" t="s">
        <v>676</v>
      </c>
      <c r="Q4163" t="s">
        <v>408</v>
      </c>
      <c r="R4163" t="s">
        <v>261</v>
      </c>
      <c r="S4163" t="s">
        <v>261</v>
      </c>
      <c r="T4163" t="s">
        <v>261</v>
      </c>
      <c r="U4163" t="s">
        <v>261</v>
      </c>
      <c r="V4163" t="s">
        <v>262</v>
      </c>
      <c r="W4163" t="s">
        <v>261</v>
      </c>
      <c r="X4163" t="s">
        <v>261</v>
      </c>
      <c r="Y4163" t="s">
        <v>261</v>
      </c>
      <c r="Z4163" t="s">
        <v>409</v>
      </c>
      <c r="AA4163" t="s">
        <v>409</v>
      </c>
      <c r="AB4163" t="s">
        <v>409</v>
      </c>
      <c r="AC4163" t="s">
        <v>409</v>
      </c>
      <c r="AD4163" t="s">
        <v>261</v>
      </c>
      <c r="AH4163" t="s">
        <v>262</v>
      </c>
      <c r="AI4163" t="s">
        <v>262</v>
      </c>
      <c r="AJ4163" t="s">
        <v>261</v>
      </c>
      <c r="AK4163" t="s">
        <v>261</v>
      </c>
      <c r="AM4163" t="s">
        <v>262</v>
      </c>
      <c r="AN4163" t="s">
        <v>11286</v>
      </c>
    </row>
    <row r="4164" spans="1:40" x14ac:dyDescent="0.35">
      <c r="A4164">
        <v>7015105</v>
      </c>
      <c r="B4164" t="s">
        <v>11287</v>
      </c>
      <c r="C4164" t="str">
        <f>""</f>
        <v/>
      </c>
      <c r="D4164" t="str">
        <f>"9783486733631"</f>
        <v>9783486733631</v>
      </c>
      <c r="E4164" t="s">
        <v>415</v>
      </c>
      <c r="F4164" t="s">
        <v>665</v>
      </c>
      <c r="G4164" s="1">
        <v>1187</v>
      </c>
      <c r="H4164" s="1">
        <v>44726</v>
      </c>
      <c r="I4164" t="s">
        <v>189</v>
      </c>
      <c r="J4164">
        <v>1</v>
      </c>
      <c r="L4164" t="s">
        <v>11288</v>
      </c>
      <c r="M4164" t="s">
        <v>1248</v>
      </c>
      <c r="Q4164" t="s">
        <v>408</v>
      </c>
      <c r="R4164" t="s">
        <v>261</v>
      </c>
      <c r="S4164" t="s">
        <v>261</v>
      </c>
      <c r="T4164" t="s">
        <v>261</v>
      </c>
      <c r="U4164" t="s">
        <v>261</v>
      </c>
      <c r="V4164" t="s">
        <v>262</v>
      </c>
      <c r="W4164" t="s">
        <v>261</v>
      </c>
      <c r="X4164" t="s">
        <v>261</v>
      </c>
      <c r="Y4164" t="s">
        <v>261</v>
      </c>
      <c r="Z4164" t="s">
        <v>409</v>
      </c>
      <c r="AA4164" t="s">
        <v>409</v>
      </c>
      <c r="AB4164" t="s">
        <v>409</v>
      </c>
      <c r="AC4164" t="s">
        <v>409</v>
      </c>
      <c r="AD4164" t="s">
        <v>261</v>
      </c>
      <c r="AH4164" t="s">
        <v>262</v>
      </c>
      <c r="AI4164" t="s">
        <v>262</v>
      </c>
      <c r="AJ4164" t="s">
        <v>261</v>
      </c>
      <c r="AK4164" t="s">
        <v>261</v>
      </c>
      <c r="AM4164" t="s">
        <v>262</v>
      </c>
      <c r="AN4164" t="s">
        <v>11289</v>
      </c>
    </row>
    <row r="4165" spans="1:40" x14ac:dyDescent="0.35">
      <c r="A4165">
        <v>7015106</v>
      </c>
      <c r="B4165" t="s">
        <v>11290</v>
      </c>
      <c r="C4165" t="str">
        <f>"9783110596649"</f>
        <v>9783110596649</v>
      </c>
      <c r="D4165" t="str">
        <f>"9783110596755"</f>
        <v>9783110596755</v>
      </c>
      <c r="E4165" t="s">
        <v>415</v>
      </c>
      <c r="F4165" t="s">
        <v>415</v>
      </c>
      <c r="G4165" s="1">
        <v>43395</v>
      </c>
      <c r="H4165" s="1">
        <v>44726</v>
      </c>
      <c r="I4165" t="s">
        <v>189</v>
      </c>
      <c r="J4165">
        <v>1</v>
      </c>
      <c r="L4165" t="s">
        <v>11291</v>
      </c>
      <c r="M4165" t="s">
        <v>219</v>
      </c>
      <c r="Q4165" t="s">
        <v>6636</v>
      </c>
    </row>
    <row r="4166" spans="1:40" x14ac:dyDescent="0.35">
      <c r="A4166">
        <v>7015107</v>
      </c>
      <c r="B4166" t="s">
        <v>11292</v>
      </c>
      <c r="C4166" t="str">
        <f>""</f>
        <v/>
      </c>
      <c r="D4166" t="str">
        <f>"9783110684834"</f>
        <v>9783110684834</v>
      </c>
      <c r="E4166" t="s">
        <v>415</v>
      </c>
      <c r="F4166" t="s">
        <v>415</v>
      </c>
      <c r="G4166" s="1">
        <v>44494</v>
      </c>
      <c r="H4166" s="1">
        <v>44726</v>
      </c>
      <c r="I4166" t="s">
        <v>189</v>
      </c>
      <c r="J4166">
        <v>1</v>
      </c>
      <c r="K4166" t="s">
        <v>6797</v>
      </c>
      <c r="L4166" t="s">
        <v>6798</v>
      </c>
      <c r="M4166" t="s">
        <v>239</v>
      </c>
    </row>
    <row r="4167" spans="1:40" x14ac:dyDescent="0.35">
      <c r="A4167">
        <v>7015108</v>
      </c>
      <c r="B4167" t="s">
        <v>11293</v>
      </c>
      <c r="C4167" t="str">
        <f>""</f>
        <v/>
      </c>
      <c r="D4167" t="str">
        <f>"9783110664959"</f>
        <v>9783110664959</v>
      </c>
      <c r="E4167" t="s">
        <v>415</v>
      </c>
      <c r="F4167" t="s">
        <v>659</v>
      </c>
      <c r="G4167" s="1">
        <v>44028</v>
      </c>
      <c r="H4167" s="1">
        <v>44726</v>
      </c>
      <c r="I4167" t="s">
        <v>189</v>
      </c>
      <c r="J4167">
        <v>1</v>
      </c>
      <c r="L4167" t="s">
        <v>11294</v>
      </c>
      <c r="M4167" t="s">
        <v>239</v>
      </c>
    </row>
    <row r="4168" spans="1:40" x14ac:dyDescent="0.35">
      <c r="A4168">
        <v>7015109</v>
      </c>
      <c r="B4168" t="s">
        <v>11295</v>
      </c>
      <c r="C4168" t="str">
        <f>"9783110584936"</f>
        <v>9783110584936</v>
      </c>
      <c r="D4168" t="str">
        <f>"9783110587524"</f>
        <v>9783110587524</v>
      </c>
      <c r="E4168" t="s">
        <v>415</v>
      </c>
      <c r="F4168" t="s">
        <v>416</v>
      </c>
      <c r="G4168" s="1">
        <v>43262</v>
      </c>
      <c r="H4168" s="1">
        <v>44726</v>
      </c>
      <c r="I4168" t="s">
        <v>189</v>
      </c>
      <c r="J4168">
        <v>1</v>
      </c>
      <c r="L4168" t="s">
        <v>11296</v>
      </c>
    </row>
    <row r="4169" spans="1:40" x14ac:dyDescent="0.35">
      <c r="A4169">
        <v>7015110</v>
      </c>
      <c r="B4169" t="s">
        <v>11297</v>
      </c>
      <c r="C4169" t="str">
        <f>""</f>
        <v/>
      </c>
      <c r="D4169" t="str">
        <f>"9783111451305"</f>
        <v>9783111451305</v>
      </c>
      <c r="E4169" t="s">
        <v>415</v>
      </c>
      <c r="F4169" t="s">
        <v>415</v>
      </c>
      <c r="G4169" t="s">
        <v>11298</v>
      </c>
      <c r="H4169" s="1">
        <v>44726</v>
      </c>
      <c r="I4169" t="s">
        <v>189</v>
      </c>
      <c r="J4169">
        <v>2</v>
      </c>
      <c r="L4169" t="s">
        <v>11299</v>
      </c>
      <c r="M4169" t="s">
        <v>1318</v>
      </c>
      <c r="Q4169" t="s">
        <v>408</v>
      </c>
      <c r="R4169" t="s">
        <v>261</v>
      </c>
      <c r="S4169" t="s">
        <v>261</v>
      </c>
      <c r="T4169" t="s">
        <v>261</v>
      </c>
      <c r="U4169" t="s">
        <v>261</v>
      </c>
      <c r="V4169" t="s">
        <v>262</v>
      </c>
      <c r="W4169" t="s">
        <v>261</v>
      </c>
      <c r="X4169" t="s">
        <v>261</v>
      </c>
      <c r="Y4169" t="s">
        <v>261</v>
      </c>
      <c r="Z4169" t="s">
        <v>409</v>
      </c>
      <c r="AA4169" t="s">
        <v>409</v>
      </c>
      <c r="AB4169" t="s">
        <v>409</v>
      </c>
      <c r="AC4169" t="s">
        <v>409</v>
      </c>
      <c r="AD4169" t="s">
        <v>261</v>
      </c>
      <c r="AH4169" t="s">
        <v>262</v>
      </c>
      <c r="AI4169" t="s">
        <v>262</v>
      </c>
      <c r="AJ4169" t="s">
        <v>261</v>
      </c>
      <c r="AK4169" t="s">
        <v>261</v>
      </c>
      <c r="AM4169" t="s">
        <v>262</v>
      </c>
      <c r="AN4169" t="s">
        <v>11300</v>
      </c>
    </row>
    <row r="4170" spans="1:40" x14ac:dyDescent="0.35">
      <c r="A4170">
        <v>7015111</v>
      </c>
      <c r="B4170" t="s">
        <v>11301</v>
      </c>
      <c r="C4170" t="str">
        <f>"9783110551822"</f>
        <v>9783110551822</v>
      </c>
      <c r="D4170" t="str">
        <f>"9783110553796"</f>
        <v>9783110553796</v>
      </c>
      <c r="E4170" t="s">
        <v>415</v>
      </c>
      <c r="F4170" t="s">
        <v>416</v>
      </c>
      <c r="G4170" s="1">
        <v>43262</v>
      </c>
      <c r="H4170" s="1">
        <v>44726</v>
      </c>
      <c r="I4170" t="s">
        <v>189</v>
      </c>
      <c r="J4170">
        <v>1</v>
      </c>
      <c r="L4170" t="s">
        <v>11302</v>
      </c>
    </row>
    <row r="4171" spans="1:40" x14ac:dyDescent="0.35">
      <c r="A4171">
        <v>7015112</v>
      </c>
      <c r="B4171" t="s">
        <v>11303</v>
      </c>
      <c r="C4171" t="str">
        <f>""</f>
        <v/>
      </c>
      <c r="D4171" t="str">
        <f>"9783111581958"</f>
        <v>9783111581958</v>
      </c>
      <c r="E4171" t="s">
        <v>415</v>
      </c>
      <c r="F4171" t="s">
        <v>415</v>
      </c>
      <c r="G4171" s="1">
        <v>26390</v>
      </c>
      <c r="H4171" s="1">
        <v>44726</v>
      </c>
      <c r="I4171" t="s">
        <v>189</v>
      </c>
      <c r="J4171">
        <v>5</v>
      </c>
      <c r="L4171" t="s">
        <v>11304</v>
      </c>
      <c r="M4171" t="s">
        <v>1831</v>
      </c>
    </row>
    <row r="4172" spans="1:40" x14ac:dyDescent="0.35">
      <c r="A4172">
        <v>7015113</v>
      </c>
      <c r="B4172" t="s">
        <v>11305</v>
      </c>
      <c r="C4172" t="str">
        <f>""</f>
        <v/>
      </c>
      <c r="D4172" t="str">
        <f>"9783110661439"</f>
        <v>9783110661439</v>
      </c>
      <c r="E4172" t="s">
        <v>415</v>
      </c>
      <c r="F4172" t="s">
        <v>665</v>
      </c>
      <c r="G4172" s="1">
        <v>44459</v>
      </c>
      <c r="H4172" s="1">
        <v>44726</v>
      </c>
      <c r="I4172" t="s">
        <v>189</v>
      </c>
      <c r="J4172">
        <v>1</v>
      </c>
      <c r="L4172" t="s">
        <v>11306</v>
      </c>
      <c r="M4172" t="s">
        <v>239</v>
      </c>
    </row>
    <row r="4173" spans="1:40" x14ac:dyDescent="0.35">
      <c r="A4173">
        <v>7015114</v>
      </c>
      <c r="B4173" t="s">
        <v>11307</v>
      </c>
      <c r="C4173" t="str">
        <f>""</f>
        <v/>
      </c>
      <c r="D4173" t="str">
        <f>"9783111483801"</f>
        <v>9783111483801</v>
      </c>
      <c r="E4173" t="s">
        <v>415</v>
      </c>
      <c r="F4173" t="s">
        <v>415</v>
      </c>
      <c r="G4173" s="1">
        <v>4475</v>
      </c>
      <c r="H4173" s="1">
        <v>44726</v>
      </c>
      <c r="I4173" t="s">
        <v>189</v>
      </c>
      <c r="J4173">
        <v>1</v>
      </c>
      <c r="L4173" t="s">
        <v>11308</v>
      </c>
      <c r="M4173" t="s">
        <v>239</v>
      </c>
      <c r="Q4173" t="s">
        <v>408</v>
      </c>
      <c r="R4173" t="s">
        <v>261</v>
      </c>
      <c r="S4173" t="s">
        <v>261</v>
      </c>
      <c r="T4173" t="s">
        <v>261</v>
      </c>
      <c r="U4173" t="s">
        <v>261</v>
      </c>
      <c r="V4173" t="s">
        <v>262</v>
      </c>
      <c r="W4173" t="s">
        <v>261</v>
      </c>
      <c r="X4173" t="s">
        <v>261</v>
      </c>
      <c r="Y4173" t="s">
        <v>261</v>
      </c>
      <c r="Z4173" t="s">
        <v>409</v>
      </c>
      <c r="AA4173" t="s">
        <v>409</v>
      </c>
      <c r="AB4173" t="s">
        <v>409</v>
      </c>
      <c r="AC4173" t="s">
        <v>409</v>
      </c>
      <c r="AD4173" t="s">
        <v>261</v>
      </c>
      <c r="AH4173" t="s">
        <v>262</v>
      </c>
      <c r="AI4173" t="s">
        <v>262</v>
      </c>
      <c r="AJ4173" t="s">
        <v>261</v>
      </c>
      <c r="AK4173" t="s">
        <v>261</v>
      </c>
      <c r="AM4173" t="s">
        <v>262</v>
      </c>
      <c r="AN4173" t="s">
        <v>11309</v>
      </c>
    </row>
    <row r="4174" spans="1:40" x14ac:dyDescent="0.35">
      <c r="A4174">
        <v>7015115</v>
      </c>
      <c r="B4174" t="s">
        <v>11310</v>
      </c>
      <c r="C4174" t="str">
        <f>""</f>
        <v/>
      </c>
      <c r="D4174" t="str">
        <f>"9783110729603"</f>
        <v>9783110729603</v>
      </c>
      <c r="E4174" t="s">
        <v>415</v>
      </c>
      <c r="F4174" t="s">
        <v>415</v>
      </c>
      <c r="G4174" s="1">
        <v>44410</v>
      </c>
      <c r="H4174" s="1">
        <v>44726</v>
      </c>
      <c r="I4174" t="s">
        <v>189</v>
      </c>
      <c r="J4174">
        <v>1</v>
      </c>
      <c r="K4174" t="s">
        <v>10597</v>
      </c>
      <c r="L4174" t="s">
        <v>61</v>
      </c>
    </row>
    <row r="4175" spans="1:40" x14ac:dyDescent="0.35">
      <c r="A4175">
        <v>7015116</v>
      </c>
      <c r="B4175" t="s">
        <v>11311</v>
      </c>
      <c r="C4175" t="str">
        <f>""</f>
        <v/>
      </c>
      <c r="D4175" t="str">
        <f>"9781501512971"</f>
        <v>9781501512971</v>
      </c>
      <c r="E4175" t="s">
        <v>346</v>
      </c>
      <c r="F4175" t="s">
        <v>2637</v>
      </c>
      <c r="G4175" s="1">
        <v>44053</v>
      </c>
      <c r="H4175" s="1">
        <v>44726</v>
      </c>
      <c r="I4175" t="s">
        <v>189</v>
      </c>
      <c r="J4175">
        <v>1</v>
      </c>
      <c r="K4175" t="s">
        <v>2357</v>
      </c>
      <c r="L4175" t="s">
        <v>2666</v>
      </c>
    </row>
    <row r="4176" spans="1:40" x14ac:dyDescent="0.35">
      <c r="A4176">
        <v>7015117</v>
      </c>
      <c r="B4176" t="s">
        <v>11312</v>
      </c>
      <c r="C4176" t="str">
        <f>""</f>
        <v/>
      </c>
      <c r="D4176" t="str">
        <f>"9783110623543"</f>
        <v>9783110623543</v>
      </c>
      <c r="E4176" t="s">
        <v>415</v>
      </c>
      <c r="F4176" t="s">
        <v>665</v>
      </c>
      <c r="G4176" s="1">
        <v>44355</v>
      </c>
      <c r="H4176" s="1">
        <v>44726</v>
      </c>
      <c r="I4176" t="s">
        <v>189</v>
      </c>
      <c r="J4176">
        <v>1</v>
      </c>
      <c r="K4176" t="s">
        <v>11049</v>
      </c>
      <c r="L4176" t="s">
        <v>11313</v>
      </c>
    </row>
    <row r="4177" spans="1:40" x14ac:dyDescent="0.35">
      <c r="A4177">
        <v>7015118</v>
      </c>
      <c r="B4177" t="s">
        <v>11314</v>
      </c>
      <c r="C4177" t="str">
        <f>""</f>
        <v/>
      </c>
      <c r="D4177" t="str">
        <f>"9783486743753"</f>
        <v>9783486743753</v>
      </c>
      <c r="E4177" t="s">
        <v>415</v>
      </c>
      <c r="F4177" t="s">
        <v>665</v>
      </c>
      <c r="G4177" s="1">
        <v>5570</v>
      </c>
      <c r="H4177" s="1">
        <v>44726</v>
      </c>
      <c r="I4177" t="s">
        <v>189</v>
      </c>
      <c r="J4177">
        <v>1</v>
      </c>
      <c r="L4177" t="s">
        <v>11315</v>
      </c>
      <c r="M4177" t="s">
        <v>239</v>
      </c>
    </row>
    <row r="4178" spans="1:40" x14ac:dyDescent="0.35">
      <c r="A4178">
        <v>7015119</v>
      </c>
      <c r="B4178" t="s">
        <v>11316</v>
      </c>
      <c r="C4178" t="str">
        <f>""</f>
        <v/>
      </c>
      <c r="D4178" t="str">
        <f>"9783110622768"</f>
        <v>9783110622768</v>
      </c>
      <c r="E4178" t="s">
        <v>415</v>
      </c>
      <c r="F4178" t="s">
        <v>415</v>
      </c>
      <c r="G4178" s="1">
        <v>38040</v>
      </c>
      <c r="H4178" s="1">
        <v>44726</v>
      </c>
      <c r="I4178" t="s">
        <v>189</v>
      </c>
      <c r="J4178">
        <v>1</v>
      </c>
      <c r="K4178" t="s">
        <v>10673</v>
      </c>
      <c r="L4178" t="s">
        <v>11317</v>
      </c>
      <c r="M4178" t="s">
        <v>676</v>
      </c>
      <c r="Q4178" t="s">
        <v>408</v>
      </c>
      <c r="R4178" t="s">
        <v>261</v>
      </c>
      <c r="S4178" t="s">
        <v>261</v>
      </c>
      <c r="T4178" t="s">
        <v>261</v>
      </c>
      <c r="U4178" t="s">
        <v>261</v>
      </c>
      <c r="V4178" t="s">
        <v>262</v>
      </c>
      <c r="W4178" t="s">
        <v>261</v>
      </c>
      <c r="X4178" t="s">
        <v>261</v>
      </c>
      <c r="Y4178" t="s">
        <v>261</v>
      </c>
      <c r="Z4178" t="s">
        <v>409</v>
      </c>
      <c r="AA4178" t="s">
        <v>409</v>
      </c>
      <c r="AB4178" t="s">
        <v>409</v>
      </c>
      <c r="AC4178" t="s">
        <v>409</v>
      </c>
      <c r="AD4178" t="s">
        <v>261</v>
      </c>
      <c r="AH4178" t="s">
        <v>262</v>
      </c>
      <c r="AI4178" t="s">
        <v>262</v>
      </c>
      <c r="AJ4178" t="s">
        <v>261</v>
      </c>
      <c r="AK4178" t="s">
        <v>261</v>
      </c>
      <c r="AM4178" t="s">
        <v>262</v>
      </c>
      <c r="AN4178" t="s">
        <v>11318</v>
      </c>
    </row>
    <row r="4179" spans="1:40" x14ac:dyDescent="0.35">
      <c r="A4179">
        <v>7015120</v>
      </c>
      <c r="B4179" t="s">
        <v>11319</v>
      </c>
      <c r="C4179" t="str">
        <f>""</f>
        <v/>
      </c>
      <c r="D4179" t="str">
        <f>"9783110726268"</f>
        <v>9783110726268</v>
      </c>
      <c r="E4179" t="s">
        <v>415</v>
      </c>
      <c r="F4179" t="s">
        <v>415</v>
      </c>
      <c r="G4179" s="1">
        <v>44305</v>
      </c>
      <c r="H4179" s="1">
        <v>44726</v>
      </c>
      <c r="I4179" t="s">
        <v>189</v>
      </c>
      <c r="J4179">
        <v>1</v>
      </c>
      <c r="K4179" t="s">
        <v>3906</v>
      </c>
      <c r="L4179" t="s">
        <v>11320</v>
      </c>
      <c r="M4179" t="s">
        <v>676</v>
      </c>
      <c r="Q4179" t="s">
        <v>408</v>
      </c>
      <c r="R4179" t="s">
        <v>261</v>
      </c>
      <c r="S4179" t="s">
        <v>261</v>
      </c>
      <c r="T4179" t="s">
        <v>261</v>
      </c>
      <c r="U4179" t="s">
        <v>261</v>
      </c>
      <c r="V4179" t="s">
        <v>262</v>
      </c>
      <c r="W4179" t="s">
        <v>261</v>
      </c>
      <c r="X4179" t="s">
        <v>261</v>
      </c>
      <c r="Y4179" t="s">
        <v>261</v>
      </c>
      <c r="Z4179" t="s">
        <v>409</v>
      </c>
      <c r="AA4179" t="s">
        <v>409</v>
      </c>
      <c r="AB4179" t="s">
        <v>409</v>
      </c>
      <c r="AC4179" t="s">
        <v>409</v>
      </c>
      <c r="AD4179" t="s">
        <v>261</v>
      </c>
      <c r="AH4179" t="s">
        <v>262</v>
      </c>
      <c r="AI4179" t="s">
        <v>262</v>
      </c>
      <c r="AJ4179" t="s">
        <v>261</v>
      </c>
      <c r="AK4179" t="s">
        <v>261</v>
      </c>
      <c r="AM4179" t="s">
        <v>262</v>
      </c>
      <c r="AN4179" t="s">
        <v>11321</v>
      </c>
    </row>
    <row r="4180" spans="1:40" x14ac:dyDescent="0.35">
      <c r="A4180">
        <v>7015121</v>
      </c>
      <c r="B4180" t="s">
        <v>11322</v>
      </c>
      <c r="C4180" t="str">
        <f>""</f>
        <v/>
      </c>
      <c r="D4180" t="str">
        <f>"9783110683868"</f>
        <v>9783110683868</v>
      </c>
      <c r="E4180" t="s">
        <v>415</v>
      </c>
      <c r="F4180" t="s">
        <v>415</v>
      </c>
      <c r="G4180" s="1">
        <v>44536</v>
      </c>
      <c r="H4180" s="1">
        <v>44726</v>
      </c>
      <c r="I4180" t="s">
        <v>189</v>
      </c>
      <c r="J4180">
        <v>1</v>
      </c>
      <c r="L4180" t="s">
        <v>11323</v>
      </c>
    </row>
    <row r="4181" spans="1:40" x14ac:dyDescent="0.35">
      <c r="A4181">
        <v>7015122</v>
      </c>
      <c r="B4181" t="s">
        <v>11324</v>
      </c>
      <c r="C4181" t="str">
        <f>""</f>
        <v/>
      </c>
      <c r="D4181" t="str">
        <f>"9783111505695"</f>
        <v>9783111505695</v>
      </c>
      <c r="E4181" t="s">
        <v>415</v>
      </c>
      <c r="F4181" t="s">
        <v>415</v>
      </c>
      <c r="G4181" t="s">
        <v>11325</v>
      </c>
      <c r="H4181" s="1">
        <v>44726</v>
      </c>
      <c r="I4181" t="s">
        <v>189</v>
      </c>
      <c r="J4181">
        <v>1</v>
      </c>
      <c r="L4181" t="s">
        <v>10865</v>
      </c>
      <c r="M4181" t="s">
        <v>339</v>
      </c>
      <c r="Q4181" t="s">
        <v>408</v>
      </c>
      <c r="R4181" t="s">
        <v>261</v>
      </c>
      <c r="S4181" t="s">
        <v>261</v>
      </c>
      <c r="T4181" t="s">
        <v>261</v>
      </c>
      <c r="U4181" t="s">
        <v>261</v>
      </c>
      <c r="V4181" t="s">
        <v>262</v>
      </c>
      <c r="W4181" t="s">
        <v>261</v>
      </c>
      <c r="X4181" t="s">
        <v>261</v>
      </c>
      <c r="Y4181" t="s">
        <v>261</v>
      </c>
      <c r="Z4181" t="s">
        <v>409</v>
      </c>
      <c r="AA4181" t="s">
        <v>409</v>
      </c>
      <c r="AB4181" t="s">
        <v>409</v>
      </c>
      <c r="AC4181" t="s">
        <v>409</v>
      </c>
      <c r="AD4181" t="s">
        <v>261</v>
      </c>
      <c r="AH4181" t="s">
        <v>262</v>
      </c>
      <c r="AI4181" t="s">
        <v>262</v>
      </c>
      <c r="AJ4181" t="s">
        <v>261</v>
      </c>
      <c r="AK4181" t="s">
        <v>261</v>
      </c>
      <c r="AM4181" t="s">
        <v>262</v>
      </c>
      <c r="AN4181" t="s">
        <v>11326</v>
      </c>
    </row>
    <row r="4182" spans="1:40" x14ac:dyDescent="0.35">
      <c r="A4182">
        <v>7015123</v>
      </c>
      <c r="B4182" t="s">
        <v>11327</v>
      </c>
      <c r="C4182" t="str">
        <f>""</f>
        <v/>
      </c>
      <c r="D4182" t="str">
        <f>"9783486730111"</f>
        <v>9783486730111</v>
      </c>
      <c r="E4182" t="s">
        <v>415</v>
      </c>
      <c r="F4182" t="s">
        <v>665</v>
      </c>
      <c r="G4182" s="1">
        <v>43308</v>
      </c>
      <c r="H4182" s="1">
        <v>44726</v>
      </c>
      <c r="I4182" t="s">
        <v>189</v>
      </c>
      <c r="J4182">
        <v>1</v>
      </c>
      <c r="K4182" t="s">
        <v>10966</v>
      </c>
      <c r="L4182" t="s">
        <v>11328</v>
      </c>
      <c r="M4182" t="s">
        <v>239</v>
      </c>
      <c r="Q4182" t="s">
        <v>408</v>
      </c>
      <c r="R4182" t="s">
        <v>261</v>
      </c>
      <c r="S4182" t="s">
        <v>261</v>
      </c>
      <c r="T4182" t="s">
        <v>261</v>
      </c>
      <c r="U4182" t="s">
        <v>261</v>
      </c>
      <c r="V4182" t="s">
        <v>262</v>
      </c>
      <c r="W4182" t="s">
        <v>261</v>
      </c>
      <c r="X4182" t="s">
        <v>261</v>
      </c>
      <c r="Y4182" t="s">
        <v>261</v>
      </c>
      <c r="Z4182" t="s">
        <v>409</v>
      </c>
      <c r="AA4182" t="s">
        <v>409</v>
      </c>
      <c r="AB4182" t="s">
        <v>409</v>
      </c>
      <c r="AC4182" t="s">
        <v>409</v>
      </c>
      <c r="AD4182" t="s">
        <v>261</v>
      </c>
      <c r="AH4182" t="s">
        <v>262</v>
      </c>
      <c r="AI4182" t="s">
        <v>262</v>
      </c>
      <c r="AJ4182" t="s">
        <v>261</v>
      </c>
      <c r="AK4182" t="s">
        <v>261</v>
      </c>
      <c r="AM4182" t="s">
        <v>262</v>
      </c>
      <c r="AN4182" t="s">
        <v>11329</v>
      </c>
    </row>
    <row r="4183" spans="1:40" x14ac:dyDescent="0.35">
      <c r="A4183">
        <v>7015124</v>
      </c>
      <c r="B4183" t="s">
        <v>11330</v>
      </c>
      <c r="C4183" t="str">
        <f>"9783486560831"</f>
        <v>9783486560831</v>
      </c>
      <c r="D4183" t="str">
        <f>"9783486595789"</f>
        <v>9783486595789</v>
      </c>
      <c r="E4183" t="s">
        <v>415</v>
      </c>
      <c r="F4183" t="s">
        <v>665</v>
      </c>
      <c r="G4183" s="1">
        <v>35102</v>
      </c>
      <c r="H4183" s="1">
        <v>44726</v>
      </c>
      <c r="I4183" t="s">
        <v>189</v>
      </c>
      <c r="J4183">
        <v>1</v>
      </c>
      <c r="K4183" t="s">
        <v>1387</v>
      </c>
      <c r="L4183" t="s">
        <v>11331</v>
      </c>
      <c r="M4183" t="s">
        <v>239</v>
      </c>
      <c r="Q4183" t="s">
        <v>408</v>
      </c>
      <c r="R4183" t="s">
        <v>261</v>
      </c>
      <c r="S4183" t="s">
        <v>261</v>
      </c>
      <c r="T4183" t="s">
        <v>261</v>
      </c>
      <c r="U4183" t="s">
        <v>261</v>
      </c>
      <c r="V4183" t="s">
        <v>262</v>
      </c>
      <c r="W4183" t="s">
        <v>261</v>
      </c>
      <c r="X4183" t="s">
        <v>261</v>
      </c>
      <c r="Y4183" t="s">
        <v>261</v>
      </c>
      <c r="Z4183" t="s">
        <v>409</v>
      </c>
      <c r="AA4183" t="s">
        <v>409</v>
      </c>
      <c r="AB4183" t="s">
        <v>409</v>
      </c>
      <c r="AC4183" t="s">
        <v>409</v>
      </c>
      <c r="AD4183" t="s">
        <v>261</v>
      </c>
      <c r="AH4183" t="s">
        <v>262</v>
      </c>
      <c r="AI4183" t="s">
        <v>262</v>
      </c>
      <c r="AJ4183" t="s">
        <v>261</v>
      </c>
      <c r="AK4183" t="s">
        <v>261</v>
      </c>
      <c r="AM4183" t="s">
        <v>262</v>
      </c>
      <c r="AN4183" t="s">
        <v>11332</v>
      </c>
    </row>
    <row r="4184" spans="1:40" x14ac:dyDescent="0.35">
      <c r="A4184">
        <v>7015125</v>
      </c>
      <c r="B4184" t="s">
        <v>11333</v>
      </c>
      <c r="C4184" t="str">
        <f>""</f>
        <v/>
      </c>
      <c r="D4184" t="str">
        <f>"9783035623086"</f>
        <v>9783035623086</v>
      </c>
      <c r="E4184" t="s">
        <v>415</v>
      </c>
      <c r="F4184" t="s">
        <v>1107</v>
      </c>
      <c r="G4184" s="1">
        <v>44316</v>
      </c>
      <c r="H4184" s="1">
        <v>44726</v>
      </c>
      <c r="I4184" t="s">
        <v>189</v>
      </c>
      <c r="J4184">
        <v>1</v>
      </c>
      <c r="L4184" t="s">
        <v>11334</v>
      </c>
    </row>
    <row r="4185" spans="1:40" x14ac:dyDescent="0.35">
      <c r="A4185">
        <v>7015126</v>
      </c>
      <c r="B4185" t="s">
        <v>11335</v>
      </c>
      <c r="C4185" t="str">
        <f>""</f>
        <v/>
      </c>
      <c r="D4185" t="str">
        <f>"9783110729115"</f>
        <v>9783110729115</v>
      </c>
      <c r="E4185" t="s">
        <v>415</v>
      </c>
      <c r="F4185" t="s">
        <v>415</v>
      </c>
      <c r="G4185" s="1">
        <v>44292</v>
      </c>
      <c r="H4185" s="1">
        <v>44726</v>
      </c>
      <c r="I4185" t="s">
        <v>189</v>
      </c>
      <c r="J4185">
        <v>1</v>
      </c>
      <c r="K4185" t="s">
        <v>11336</v>
      </c>
      <c r="L4185" t="s">
        <v>11337</v>
      </c>
    </row>
    <row r="4186" spans="1:40" x14ac:dyDescent="0.35">
      <c r="A4186">
        <v>7015127</v>
      </c>
      <c r="B4186" t="s">
        <v>11338</v>
      </c>
      <c r="C4186" t="str">
        <f>""</f>
        <v/>
      </c>
      <c r="D4186" t="str">
        <f>"9783110727838"</f>
        <v>9783110727838</v>
      </c>
      <c r="E4186" t="s">
        <v>415</v>
      </c>
      <c r="F4186" t="s">
        <v>415</v>
      </c>
      <c r="G4186" s="1">
        <v>44522</v>
      </c>
      <c r="H4186" s="1">
        <v>44726</v>
      </c>
      <c r="I4186" t="s">
        <v>189</v>
      </c>
      <c r="J4186">
        <v>1</v>
      </c>
      <c r="K4186" t="s">
        <v>10597</v>
      </c>
      <c r="L4186" t="s">
        <v>11339</v>
      </c>
      <c r="M4186" t="s">
        <v>676</v>
      </c>
      <c r="Q4186" t="s">
        <v>408</v>
      </c>
      <c r="R4186" t="s">
        <v>261</v>
      </c>
      <c r="S4186" t="s">
        <v>261</v>
      </c>
      <c r="T4186" t="s">
        <v>261</v>
      </c>
      <c r="U4186" t="s">
        <v>261</v>
      </c>
      <c r="V4186" t="s">
        <v>262</v>
      </c>
      <c r="W4186" t="s">
        <v>261</v>
      </c>
      <c r="X4186" t="s">
        <v>261</v>
      </c>
      <c r="Y4186" t="s">
        <v>261</v>
      </c>
      <c r="Z4186" t="s">
        <v>409</v>
      </c>
      <c r="AA4186" t="s">
        <v>409</v>
      </c>
      <c r="AB4186" t="s">
        <v>409</v>
      </c>
      <c r="AC4186" t="s">
        <v>409</v>
      </c>
      <c r="AD4186" t="s">
        <v>261</v>
      </c>
      <c r="AH4186" t="s">
        <v>262</v>
      </c>
      <c r="AI4186" t="s">
        <v>262</v>
      </c>
      <c r="AJ4186" t="s">
        <v>261</v>
      </c>
      <c r="AK4186" t="s">
        <v>261</v>
      </c>
      <c r="AM4186" t="s">
        <v>262</v>
      </c>
      <c r="AN4186" t="s">
        <v>11340</v>
      </c>
    </row>
    <row r="4187" spans="1:40" x14ac:dyDescent="0.35">
      <c r="A4187">
        <v>7015128</v>
      </c>
      <c r="B4187" t="s">
        <v>11341</v>
      </c>
      <c r="C4187" t="str">
        <f>""</f>
        <v/>
      </c>
      <c r="D4187" t="str">
        <f>"9783111373027"</f>
        <v>9783111373027</v>
      </c>
      <c r="E4187" t="s">
        <v>415</v>
      </c>
      <c r="F4187" t="s">
        <v>415</v>
      </c>
      <c r="G4187" s="1">
        <v>43466</v>
      </c>
      <c r="H4187" s="1">
        <v>44726</v>
      </c>
      <c r="I4187" t="s">
        <v>189</v>
      </c>
      <c r="J4187">
        <v>1</v>
      </c>
      <c r="K4187" t="s">
        <v>2717</v>
      </c>
      <c r="L4187" t="s">
        <v>11342</v>
      </c>
      <c r="M4187" t="s">
        <v>389</v>
      </c>
      <c r="Q4187" t="s">
        <v>11343</v>
      </c>
      <c r="R4187" t="s">
        <v>261</v>
      </c>
      <c r="S4187" t="s">
        <v>261</v>
      </c>
      <c r="T4187" t="s">
        <v>261</v>
      </c>
      <c r="U4187" t="s">
        <v>261</v>
      </c>
      <c r="V4187" t="s">
        <v>262</v>
      </c>
      <c r="W4187" t="s">
        <v>261</v>
      </c>
      <c r="X4187" t="s">
        <v>261</v>
      </c>
      <c r="Y4187" t="s">
        <v>261</v>
      </c>
      <c r="Z4187" t="s">
        <v>409</v>
      </c>
      <c r="AA4187" t="s">
        <v>409</v>
      </c>
      <c r="AB4187" t="s">
        <v>409</v>
      </c>
      <c r="AC4187" t="s">
        <v>409</v>
      </c>
      <c r="AD4187" t="s">
        <v>261</v>
      </c>
      <c r="AH4187" t="s">
        <v>262</v>
      </c>
      <c r="AI4187" t="s">
        <v>262</v>
      </c>
      <c r="AJ4187" t="s">
        <v>261</v>
      </c>
      <c r="AK4187" t="s">
        <v>261</v>
      </c>
      <c r="AM4187" t="s">
        <v>262</v>
      </c>
      <c r="AN4187" t="s">
        <v>11344</v>
      </c>
    </row>
    <row r="4188" spans="1:40" x14ac:dyDescent="0.35">
      <c r="A4188">
        <v>7015129</v>
      </c>
      <c r="B4188" t="s">
        <v>11345</v>
      </c>
      <c r="C4188" t="str">
        <f>"9783110595277"</f>
        <v>9783110595277</v>
      </c>
      <c r="D4188" t="str">
        <f>"9783110597745"</f>
        <v>9783110597745</v>
      </c>
      <c r="E4188" t="s">
        <v>415</v>
      </c>
      <c r="F4188" t="s">
        <v>665</v>
      </c>
      <c r="G4188" s="1">
        <v>44032</v>
      </c>
      <c r="H4188" s="1">
        <v>44726</v>
      </c>
      <c r="I4188" t="s">
        <v>189</v>
      </c>
      <c r="J4188">
        <v>1</v>
      </c>
      <c r="K4188" t="s">
        <v>11346</v>
      </c>
      <c r="L4188" t="s">
        <v>11347</v>
      </c>
    </row>
    <row r="4189" spans="1:40" x14ac:dyDescent="0.35">
      <c r="A4189">
        <v>7015130</v>
      </c>
      <c r="B4189" t="s">
        <v>11348</v>
      </c>
      <c r="C4189" t="str">
        <f>""</f>
        <v/>
      </c>
      <c r="D4189" t="str">
        <f>"9783111667836"</f>
        <v>9783111667836</v>
      </c>
      <c r="E4189" t="s">
        <v>415</v>
      </c>
      <c r="F4189" t="s">
        <v>415</v>
      </c>
      <c r="G4189" s="1">
        <v>20546</v>
      </c>
      <c r="H4189" s="1">
        <v>44726</v>
      </c>
      <c r="I4189" t="s">
        <v>189</v>
      </c>
      <c r="J4189">
        <v>1</v>
      </c>
      <c r="L4189" t="s">
        <v>11349</v>
      </c>
    </row>
    <row r="4190" spans="1:40" x14ac:dyDescent="0.35">
      <c r="A4190">
        <v>7015131</v>
      </c>
      <c r="B4190" t="s">
        <v>11350</v>
      </c>
      <c r="C4190" t="str">
        <f>""</f>
        <v/>
      </c>
      <c r="D4190" t="str">
        <f>"9783110725018"</f>
        <v>9783110725018</v>
      </c>
      <c r="E4190" t="s">
        <v>415</v>
      </c>
      <c r="F4190" t="s">
        <v>415</v>
      </c>
      <c r="G4190" s="1">
        <v>44508</v>
      </c>
      <c r="H4190" s="1">
        <v>44726</v>
      </c>
      <c r="I4190" t="s">
        <v>189</v>
      </c>
      <c r="J4190">
        <v>1</v>
      </c>
      <c r="K4190" t="s">
        <v>11351</v>
      </c>
      <c r="L4190" t="s">
        <v>11352</v>
      </c>
      <c r="M4190" t="s">
        <v>676</v>
      </c>
      <c r="O4190" t="s">
        <v>11353</v>
      </c>
      <c r="Q4190" t="s">
        <v>260</v>
      </c>
      <c r="R4190" t="s">
        <v>261</v>
      </c>
      <c r="S4190" t="s">
        <v>261</v>
      </c>
      <c r="T4190" t="s">
        <v>261</v>
      </c>
      <c r="U4190" t="s">
        <v>261</v>
      </c>
      <c r="V4190" t="s">
        <v>262</v>
      </c>
      <c r="W4190" t="s">
        <v>261</v>
      </c>
      <c r="X4190" t="s">
        <v>261</v>
      </c>
      <c r="Y4190" t="s">
        <v>261</v>
      </c>
      <c r="Z4190" t="s">
        <v>409</v>
      </c>
      <c r="AA4190" t="s">
        <v>409</v>
      </c>
      <c r="AB4190" t="s">
        <v>409</v>
      </c>
      <c r="AC4190" t="s">
        <v>409</v>
      </c>
      <c r="AD4190" t="s">
        <v>261</v>
      </c>
      <c r="AH4190" t="s">
        <v>262</v>
      </c>
      <c r="AI4190" t="s">
        <v>262</v>
      </c>
      <c r="AJ4190" t="s">
        <v>261</v>
      </c>
      <c r="AK4190" t="s">
        <v>261</v>
      </c>
      <c r="AM4190" t="s">
        <v>262</v>
      </c>
      <c r="AN4190" t="s">
        <v>11354</v>
      </c>
    </row>
    <row r="4191" spans="1:40" x14ac:dyDescent="0.35">
      <c r="A4191">
        <v>7015133</v>
      </c>
      <c r="B4191" t="s">
        <v>11355</v>
      </c>
      <c r="C4191" t="str">
        <f>""</f>
        <v/>
      </c>
      <c r="D4191" t="str">
        <f>"9783110717884"</f>
        <v>9783110717884</v>
      </c>
      <c r="E4191" t="s">
        <v>415</v>
      </c>
      <c r="F4191" t="s">
        <v>415</v>
      </c>
      <c r="G4191" s="1">
        <v>44172</v>
      </c>
      <c r="H4191" s="1">
        <v>44726</v>
      </c>
      <c r="I4191" t="s">
        <v>189</v>
      </c>
      <c r="J4191">
        <v>1</v>
      </c>
      <c r="K4191" t="s">
        <v>2442</v>
      </c>
      <c r="L4191" t="s">
        <v>11356</v>
      </c>
      <c r="M4191" t="s">
        <v>578</v>
      </c>
    </row>
    <row r="4192" spans="1:40" x14ac:dyDescent="0.35">
      <c r="A4192">
        <v>7015134</v>
      </c>
      <c r="B4192" t="s">
        <v>11357</v>
      </c>
      <c r="C4192" t="str">
        <f>"9783110585384"</f>
        <v>9783110585384</v>
      </c>
      <c r="D4192" t="str">
        <f>"9783110587678"</f>
        <v>9783110587678</v>
      </c>
      <c r="E4192" t="s">
        <v>415</v>
      </c>
      <c r="F4192" t="s">
        <v>415</v>
      </c>
      <c r="G4192" s="1">
        <v>43437</v>
      </c>
      <c r="H4192" s="1">
        <v>44726</v>
      </c>
      <c r="I4192" t="s">
        <v>189</v>
      </c>
      <c r="J4192">
        <v>1</v>
      </c>
      <c r="K4192" t="s">
        <v>11358</v>
      </c>
      <c r="L4192" t="s">
        <v>11359</v>
      </c>
    </row>
    <row r="4193" spans="1:40" x14ac:dyDescent="0.35">
      <c r="A4193">
        <v>7015135</v>
      </c>
      <c r="B4193" t="s">
        <v>11360</v>
      </c>
      <c r="C4193" t="str">
        <f>""</f>
        <v/>
      </c>
      <c r="D4193" t="str">
        <f>"9783110701364"</f>
        <v>9783110701364</v>
      </c>
      <c r="E4193" t="s">
        <v>415</v>
      </c>
      <c r="F4193" t="s">
        <v>415</v>
      </c>
      <c r="G4193" s="1">
        <v>44396</v>
      </c>
      <c r="H4193" s="1">
        <v>44726</v>
      </c>
      <c r="I4193" t="s">
        <v>189</v>
      </c>
      <c r="J4193">
        <v>1</v>
      </c>
      <c r="K4193" t="s">
        <v>11361</v>
      </c>
      <c r="L4193" t="s">
        <v>11362</v>
      </c>
    </row>
    <row r="4194" spans="1:40" x14ac:dyDescent="0.35">
      <c r="A4194">
        <v>7015136</v>
      </c>
      <c r="B4194" t="s">
        <v>11363</v>
      </c>
      <c r="C4194" t="str">
        <f>"9783486543513"</f>
        <v>9783486543513</v>
      </c>
      <c r="D4194" t="str">
        <f>"9783486595536"</f>
        <v>9783486595536</v>
      </c>
      <c r="E4194" t="s">
        <v>415</v>
      </c>
      <c r="F4194" t="s">
        <v>665</v>
      </c>
      <c r="G4194" s="1">
        <v>32443</v>
      </c>
      <c r="H4194" s="1">
        <v>44726</v>
      </c>
      <c r="I4194" t="s">
        <v>189</v>
      </c>
      <c r="J4194">
        <v>1</v>
      </c>
      <c r="K4194" t="s">
        <v>1387</v>
      </c>
      <c r="L4194" t="s">
        <v>11364</v>
      </c>
    </row>
    <row r="4195" spans="1:40" x14ac:dyDescent="0.35">
      <c r="A4195">
        <v>7015137</v>
      </c>
      <c r="B4195" t="s">
        <v>11365</v>
      </c>
      <c r="C4195" t="str">
        <f>""</f>
        <v/>
      </c>
      <c r="D4195" t="str">
        <f>"9783110679410"</f>
        <v>9783110679410</v>
      </c>
      <c r="E4195" t="s">
        <v>415</v>
      </c>
      <c r="F4195" t="s">
        <v>665</v>
      </c>
      <c r="G4195" s="1">
        <v>44522</v>
      </c>
      <c r="H4195" s="1">
        <v>44726</v>
      </c>
      <c r="I4195" t="s">
        <v>189</v>
      </c>
      <c r="J4195">
        <v>1</v>
      </c>
      <c r="K4195" t="s">
        <v>6873</v>
      </c>
      <c r="L4195" t="s">
        <v>6874</v>
      </c>
      <c r="M4195" t="s">
        <v>323</v>
      </c>
      <c r="O4195" t="s">
        <v>11366</v>
      </c>
      <c r="Q4195" t="s">
        <v>260</v>
      </c>
      <c r="R4195" t="s">
        <v>261</v>
      </c>
      <c r="S4195" t="s">
        <v>261</v>
      </c>
      <c r="T4195" t="s">
        <v>261</v>
      </c>
      <c r="U4195" t="s">
        <v>261</v>
      </c>
      <c r="V4195" t="s">
        <v>262</v>
      </c>
      <c r="W4195" t="s">
        <v>261</v>
      </c>
      <c r="X4195" t="s">
        <v>261</v>
      </c>
      <c r="Y4195" t="s">
        <v>261</v>
      </c>
      <c r="Z4195" t="s">
        <v>409</v>
      </c>
      <c r="AA4195" t="s">
        <v>409</v>
      </c>
      <c r="AB4195" t="s">
        <v>409</v>
      </c>
      <c r="AC4195" t="s">
        <v>409</v>
      </c>
      <c r="AD4195" t="s">
        <v>261</v>
      </c>
      <c r="AH4195" t="s">
        <v>262</v>
      </c>
      <c r="AI4195" t="s">
        <v>262</v>
      </c>
      <c r="AJ4195" t="s">
        <v>261</v>
      </c>
      <c r="AK4195" t="s">
        <v>261</v>
      </c>
      <c r="AM4195" t="s">
        <v>262</v>
      </c>
      <c r="AN4195" t="s">
        <v>11367</v>
      </c>
    </row>
    <row r="4196" spans="1:40" x14ac:dyDescent="0.35">
      <c r="A4196">
        <v>7015138</v>
      </c>
      <c r="B4196" t="s">
        <v>11368</v>
      </c>
      <c r="C4196" t="str">
        <f>""</f>
        <v/>
      </c>
      <c r="D4196" t="str">
        <f>"9783110732764"</f>
        <v>9783110732764</v>
      </c>
      <c r="E4196" t="s">
        <v>415</v>
      </c>
      <c r="F4196" t="s">
        <v>415</v>
      </c>
      <c r="G4196" s="1">
        <v>44459</v>
      </c>
      <c r="H4196" s="1">
        <v>44726</v>
      </c>
      <c r="I4196" t="s">
        <v>189</v>
      </c>
      <c r="J4196">
        <v>1</v>
      </c>
      <c r="K4196" t="s">
        <v>1159</v>
      </c>
      <c r="L4196" t="s">
        <v>60</v>
      </c>
      <c r="M4196" t="s">
        <v>239</v>
      </c>
    </row>
    <row r="4197" spans="1:40" x14ac:dyDescent="0.35">
      <c r="A4197">
        <v>7015139</v>
      </c>
      <c r="B4197" t="s">
        <v>11369</v>
      </c>
      <c r="C4197" t="str">
        <f>""</f>
        <v/>
      </c>
      <c r="D4197" t="str">
        <f>"9783110700145"</f>
        <v>9783110700145</v>
      </c>
      <c r="E4197" t="s">
        <v>415</v>
      </c>
      <c r="F4197" t="s">
        <v>1266</v>
      </c>
      <c r="G4197" s="1">
        <v>44277</v>
      </c>
      <c r="H4197" s="1">
        <v>44726</v>
      </c>
      <c r="I4197" t="s">
        <v>189</v>
      </c>
      <c r="J4197">
        <v>1</v>
      </c>
      <c r="K4197" t="s">
        <v>11370</v>
      </c>
      <c r="L4197" t="s">
        <v>11371</v>
      </c>
      <c r="M4197" t="s">
        <v>239</v>
      </c>
    </row>
    <row r="4198" spans="1:40" x14ac:dyDescent="0.35">
      <c r="A4198">
        <v>7015140</v>
      </c>
      <c r="B4198" t="s">
        <v>11372</v>
      </c>
      <c r="C4198" t="str">
        <f>""</f>
        <v/>
      </c>
      <c r="D4198" t="str">
        <f>"9783110622485"</f>
        <v>9783110622485</v>
      </c>
      <c r="E4198" t="s">
        <v>415</v>
      </c>
      <c r="F4198" t="s">
        <v>415</v>
      </c>
      <c r="G4198" s="1">
        <v>43494</v>
      </c>
      <c r="H4198" s="1">
        <v>44726</v>
      </c>
      <c r="I4198" t="s">
        <v>189</v>
      </c>
      <c r="J4198">
        <v>1</v>
      </c>
      <c r="K4198" t="s">
        <v>10673</v>
      </c>
      <c r="L4198" t="s">
        <v>11373</v>
      </c>
      <c r="M4198" t="s">
        <v>676</v>
      </c>
      <c r="Q4198" t="s">
        <v>408</v>
      </c>
      <c r="R4198" t="s">
        <v>261</v>
      </c>
      <c r="S4198" t="s">
        <v>261</v>
      </c>
      <c r="T4198" t="s">
        <v>261</v>
      </c>
      <c r="U4198" t="s">
        <v>261</v>
      </c>
      <c r="V4198" t="s">
        <v>262</v>
      </c>
      <c r="W4198" t="s">
        <v>261</v>
      </c>
      <c r="X4198" t="s">
        <v>261</v>
      </c>
      <c r="Y4198" t="s">
        <v>261</v>
      </c>
      <c r="Z4198" t="s">
        <v>409</v>
      </c>
      <c r="AA4198" t="s">
        <v>409</v>
      </c>
      <c r="AB4198" t="s">
        <v>409</v>
      </c>
      <c r="AC4198" t="s">
        <v>409</v>
      </c>
      <c r="AD4198" t="s">
        <v>261</v>
      </c>
      <c r="AH4198" t="s">
        <v>262</v>
      </c>
      <c r="AI4198" t="s">
        <v>262</v>
      </c>
      <c r="AJ4198" t="s">
        <v>261</v>
      </c>
      <c r="AK4198" t="s">
        <v>261</v>
      </c>
      <c r="AM4198" t="s">
        <v>262</v>
      </c>
      <c r="AN4198" t="s">
        <v>11374</v>
      </c>
    </row>
    <row r="4199" spans="1:40" x14ac:dyDescent="0.35">
      <c r="A4199">
        <v>7015141</v>
      </c>
      <c r="B4199" t="s">
        <v>11375</v>
      </c>
      <c r="C4199" t="str">
        <f>""</f>
        <v/>
      </c>
      <c r="D4199" t="str">
        <f>"9783111727431"</f>
        <v>9783111727431</v>
      </c>
      <c r="E4199" t="s">
        <v>346</v>
      </c>
      <c r="F4199" t="s">
        <v>2637</v>
      </c>
      <c r="G4199" s="1">
        <v>27120</v>
      </c>
      <c r="H4199" s="1">
        <v>44726</v>
      </c>
      <c r="I4199" t="s">
        <v>189</v>
      </c>
      <c r="J4199">
        <v>1</v>
      </c>
      <c r="K4199" t="s">
        <v>11376</v>
      </c>
      <c r="L4199" t="s">
        <v>11377</v>
      </c>
      <c r="M4199" t="s">
        <v>676</v>
      </c>
      <c r="Q4199" t="s">
        <v>1827</v>
      </c>
      <c r="R4199" t="s">
        <v>261</v>
      </c>
      <c r="S4199" t="s">
        <v>261</v>
      </c>
      <c r="T4199" t="s">
        <v>261</v>
      </c>
      <c r="U4199" t="s">
        <v>261</v>
      </c>
      <c r="V4199" t="s">
        <v>262</v>
      </c>
      <c r="W4199" t="s">
        <v>261</v>
      </c>
      <c r="X4199" t="s">
        <v>261</v>
      </c>
      <c r="Y4199" t="s">
        <v>261</v>
      </c>
      <c r="Z4199" t="s">
        <v>409</v>
      </c>
      <c r="AA4199" t="s">
        <v>409</v>
      </c>
      <c r="AB4199" t="s">
        <v>409</v>
      </c>
      <c r="AC4199" t="s">
        <v>409</v>
      </c>
      <c r="AD4199" t="s">
        <v>261</v>
      </c>
      <c r="AH4199" t="s">
        <v>262</v>
      </c>
      <c r="AI4199" t="s">
        <v>262</v>
      </c>
      <c r="AJ4199" t="s">
        <v>261</v>
      </c>
      <c r="AK4199" t="s">
        <v>261</v>
      </c>
      <c r="AM4199" t="s">
        <v>262</v>
      </c>
      <c r="AN4199" t="s">
        <v>11378</v>
      </c>
    </row>
    <row r="4200" spans="1:40" x14ac:dyDescent="0.35">
      <c r="A4200">
        <v>7015142</v>
      </c>
      <c r="B4200" t="s">
        <v>11379</v>
      </c>
      <c r="C4200" t="str">
        <f>""</f>
        <v/>
      </c>
      <c r="D4200" t="str">
        <f>"9783486750836"</f>
        <v>9783486750836</v>
      </c>
      <c r="E4200" t="s">
        <v>415</v>
      </c>
      <c r="F4200" t="s">
        <v>665</v>
      </c>
      <c r="G4200" s="1">
        <v>9133</v>
      </c>
      <c r="H4200" s="1">
        <v>44726</v>
      </c>
      <c r="I4200" t="s">
        <v>189</v>
      </c>
      <c r="J4200">
        <v>1</v>
      </c>
      <c r="L4200" t="s">
        <v>11380</v>
      </c>
      <c r="M4200" t="s">
        <v>219</v>
      </c>
      <c r="Q4200" t="s">
        <v>408</v>
      </c>
      <c r="R4200" t="s">
        <v>261</v>
      </c>
      <c r="S4200" t="s">
        <v>261</v>
      </c>
      <c r="T4200" t="s">
        <v>261</v>
      </c>
      <c r="U4200" t="s">
        <v>261</v>
      </c>
      <c r="V4200" t="s">
        <v>262</v>
      </c>
      <c r="W4200" t="s">
        <v>261</v>
      </c>
      <c r="X4200" t="s">
        <v>261</v>
      </c>
      <c r="Y4200" t="s">
        <v>261</v>
      </c>
      <c r="Z4200" t="s">
        <v>409</v>
      </c>
      <c r="AA4200" t="s">
        <v>409</v>
      </c>
      <c r="AB4200" t="s">
        <v>409</v>
      </c>
      <c r="AC4200" t="s">
        <v>409</v>
      </c>
      <c r="AD4200" t="s">
        <v>261</v>
      </c>
      <c r="AH4200" t="s">
        <v>262</v>
      </c>
      <c r="AI4200" t="s">
        <v>262</v>
      </c>
      <c r="AJ4200" t="s">
        <v>261</v>
      </c>
      <c r="AK4200" t="s">
        <v>261</v>
      </c>
      <c r="AM4200" t="s">
        <v>262</v>
      </c>
      <c r="AN4200" t="s">
        <v>11381</v>
      </c>
    </row>
    <row r="4201" spans="1:40" x14ac:dyDescent="0.35">
      <c r="A4201">
        <v>7015143</v>
      </c>
      <c r="B4201" t="s">
        <v>11382</v>
      </c>
      <c r="C4201" t="str">
        <f>""</f>
        <v/>
      </c>
      <c r="D4201" t="str">
        <f>"9783110622560"</f>
        <v>9783110622560</v>
      </c>
      <c r="E4201" t="s">
        <v>415</v>
      </c>
      <c r="F4201" t="s">
        <v>415</v>
      </c>
      <c r="G4201" s="1">
        <v>43494</v>
      </c>
      <c r="H4201" s="1">
        <v>44726</v>
      </c>
      <c r="I4201" t="s">
        <v>189</v>
      </c>
      <c r="J4201">
        <v>1</v>
      </c>
      <c r="K4201" t="s">
        <v>10673</v>
      </c>
      <c r="L4201" t="s">
        <v>10715</v>
      </c>
      <c r="M4201" t="s">
        <v>676</v>
      </c>
      <c r="Q4201" t="s">
        <v>408</v>
      </c>
      <c r="R4201" t="s">
        <v>261</v>
      </c>
      <c r="S4201" t="s">
        <v>261</v>
      </c>
      <c r="T4201" t="s">
        <v>261</v>
      </c>
      <c r="U4201" t="s">
        <v>261</v>
      </c>
      <c r="V4201" t="s">
        <v>262</v>
      </c>
      <c r="W4201" t="s">
        <v>261</v>
      </c>
      <c r="X4201" t="s">
        <v>261</v>
      </c>
      <c r="Y4201" t="s">
        <v>261</v>
      </c>
      <c r="Z4201" t="s">
        <v>409</v>
      </c>
      <c r="AA4201" t="s">
        <v>409</v>
      </c>
      <c r="AB4201" t="s">
        <v>409</v>
      </c>
      <c r="AC4201" t="s">
        <v>409</v>
      </c>
      <c r="AD4201" t="s">
        <v>261</v>
      </c>
      <c r="AH4201" t="s">
        <v>262</v>
      </c>
      <c r="AI4201" t="s">
        <v>262</v>
      </c>
      <c r="AJ4201" t="s">
        <v>261</v>
      </c>
      <c r="AK4201" t="s">
        <v>261</v>
      </c>
      <c r="AM4201" t="s">
        <v>262</v>
      </c>
      <c r="AN4201" t="s">
        <v>11383</v>
      </c>
    </row>
    <row r="4202" spans="1:40" x14ac:dyDescent="0.35">
      <c r="A4202">
        <v>7015144</v>
      </c>
      <c r="B4202" t="s">
        <v>11384</v>
      </c>
      <c r="C4202" t="str">
        <f>""</f>
        <v/>
      </c>
      <c r="D4202" t="str">
        <f>"9783486741766"</f>
        <v>9783486741766</v>
      </c>
      <c r="E4202" t="s">
        <v>415</v>
      </c>
      <c r="F4202" t="s">
        <v>665</v>
      </c>
      <c r="G4202" s="1">
        <v>4750</v>
      </c>
      <c r="H4202" s="1">
        <v>44726</v>
      </c>
      <c r="I4202" t="s">
        <v>189</v>
      </c>
      <c r="J4202">
        <v>1</v>
      </c>
      <c r="L4202" t="s">
        <v>11385</v>
      </c>
      <c r="M4202" t="s">
        <v>239</v>
      </c>
      <c r="Q4202" t="s">
        <v>408</v>
      </c>
      <c r="R4202" t="s">
        <v>261</v>
      </c>
      <c r="S4202" t="s">
        <v>261</v>
      </c>
      <c r="T4202" t="s">
        <v>261</v>
      </c>
      <c r="U4202" t="s">
        <v>261</v>
      </c>
      <c r="V4202" t="s">
        <v>262</v>
      </c>
      <c r="W4202" t="s">
        <v>261</v>
      </c>
      <c r="X4202" t="s">
        <v>261</v>
      </c>
      <c r="Y4202" t="s">
        <v>261</v>
      </c>
      <c r="Z4202" t="s">
        <v>409</v>
      </c>
      <c r="AA4202" t="s">
        <v>409</v>
      </c>
      <c r="AB4202" t="s">
        <v>409</v>
      </c>
      <c r="AC4202" t="s">
        <v>409</v>
      </c>
      <c r="AD4202" t="s">
        <v>261</v>
      </c>
      <c r="AH4202" t="s">
        <v>262</v>
      </c>
      <c r="AI4202" t="s">
        <v>262</v>
      </c>
      <c r="AJ4202" t="s">
        <v>261</v>
      </c>
      <c r="AK4202" t="s">
        <v>261</v>
      </c>
      <c r="AM4202" t="s">
        <v>262</v>
      </c>
      <c r="AN4202" t="s">
        <v>11386</v>
      </c>
    </row>
    <row r="4203" spans="1:40" x14ac:dyDescent="0.35">
      <c r="A4203">
        <v>7015145</v>
      </c>
      <c r="B4203" t="s">
        <v>11387</v>
      </c>
      <c r="C4203" t="str">
        <f>""</f>
        <v/>
      </c>
      <c r="D4203" t="str">
        <f>"9783110710595"</f>
        <v>9783110710595</v>
      </c>
      <c r="E4203" t="s">
        <v>415</v>
      </c>
      <c r="F4203" t="s">
        <v>415</v>
      </c>
      <c r="G4203" s="1">
        <v>44263</v>
      </c>
      <c r="H4203" s="1">
        <v>44726</v>
      </c>
      <c r="I4203" t="s">
        <v>189</v>
      </c>
      <c r="J4203">
        <v>1</v>
      </c>
      <c r="K4203" t="s">
        <v>3243</v>
      </c>
      <c r="L4203" t="s">
        <v>11388</v>
      </c>
    </row>
    <row r="4204" spans="1:40" x14ac:dyDescent="0.35">
      <c r="A4204">
        <v>7015146</v>
      </c>
      <c r="B4204" t="s">
        <v>11389</v>
      </c>
      <c r="C4204" t="str">
        <f>""</f>
        <v/>
      </c>
      <c r="D4204" t="str">
        <f>"9783110726572"</f>
        <v>9783110726572</v>
      </c>
      <c r="E4204" t="s">
        <v>415</v>
      </c>
      <c r="F4204" t="s">
        <v>415</v>
      </c>
      <c r="G4204" s="1">
        <v>44172</v>
      </c>
      <c r="H4204" s="1">
        <v>44726</v>
      </c>
      <c r="I4204" t="s">
        <v>189</v>
      </c>
      <c r="J4204">
        <v>1</v>
      </c>
      <c r="K4204" t="s">
        <v>2442</v>
      </c>
      <c r="L4204" t="s">
        <v>2443</v>
      </c>
      <c r="M4204" t="s">
        <v>239</v>
      </c>
    </row>
    <row r="4205" spans="1:40" x14ac:dyDescent="0.35">
      <c r="A4205">
        <v>7015147</v>
      </c>
      <c r="B4205" t="s">
        <v>11390</v>
      </c>
      <c r="C4205" t="str">
        <f>""</f>
        <v/>
      </c>
      <c r="D4205" t="str">
        <f>"9783111465012"</f>
        <v>9783111465012</v>
      </c>
      <c r="E4205" t="s">
        <v>415</v>
      </c>
      <c r="F4205" t="s">
        <v>415</v>
      </c>
      <c r="G4205" s="1">
        <v>43647</v>
      </c>
      <c r="H4205" s="1">
        <v>44726</v>
      </c>
      <c r="I4205" t="s">
        <v>189</v>
      </c>
      <c r="J4205">
        <v>1</v>
      </c>
      <c r="L4205" t="s">
        <v>11391</v>
      </c>
      <c r="M4205" t="s">
        <v>1831</v>
      </c>
      <c r="Q4205" t="s">
        <v>408</v>
      </c>
      <c r="R4205" t="s">
        <v>261</v>
      </c>
      <c r="S4205" t="s">
        <v>261</v>
      </c>
      <c r="T4205" t="s">
        <v>261</v>
      </c>
      <c r="U4205" t="s">
        <v>261</v>
      </c>
      <c r="V4205" t="s">
        <v>262</v>
      </c>
      <c r="W4205" t="s">
        <v>261</v>
      </c>
      <c r="X4205" t="s">
        <v>261</v>
      </c>
      <c r="Y4205" t="s">
        <v>261</v>
      </c>
      <c r="Z4205" t="s">
        <v>409</v>
      </c>
      <c r="AA4205" t="s">
        <v>409</v>
      </c>
      <c r="AB4205" t="s">
        <v>409</v>
      </c>
      <c r="AC4205" t="s">
        <v>409</v>
      </c>
      <c r="AD4205" t="s">
        <v>261</v>
      </c>
      <c r="AH4205" t="s">
        <v>262</v>
      </c>
      <c r="AI4205" t="s">
        <v>262</v>
      </c>
      <c r="AJ4205" t="s">
        <v>261</v>
      </c>
      <c r="AK4205" t="s">
        <v>261</v>
      </c>
      <c r="AM4205" t="s">
        <v>262</v>
      </c>
      <c r="AN4205" t="s">
        <v>11392</v>
      </c>
    </row>
    <row r="4206" spans="1:40" x14ac:dyDescent="0.35">
      <c r="A4206">
        <v>7015148</v>
      </c>
      <c r="B4206" t="s">
        <v>11393</v>
      </c>
      <c r="C4206" t="str">
        <f>"9783110619454"</f>
        <v>9783110619454</v>
      </c>
      <c r="D4206" t="str">
        <f>"9783110619928"</f>
        <v>9783110619928</v>
      </c>
      <c r="E4206" t="s">
        <v>415</v>
      </c>
      <c r="F4206" t="s">
        <v>415</v>
      </c>
      <c r="G4206" s="1">
        <v>43451</v>
      </c>
      <c r="H4206" s="1">
        <v>44726</v>
      </c>
      <c r="I4206" t="s">
        <v>189</v>
      </c>
      <c r="J4206">
        <v>1</v>
      </c>
      <c r="K4206" t="s">
        <v>1159</v>
      </c>
      <c r="L4206" t="s">
        <v>12</v>
      </c>
    </row>
    <row r="4207" spans="1:40" x14ac:dyDescent="0.35">
      <c r="A4207">
        <v>7015149</v>
      </c>
      <c r="B4207" t="s">
        <v>11394</v>
      </c>
      <c r="C4207" t="str">
        <f>""</f>
        <v/>
      </c>
      <c r="D4207" t="str">
        <f>"9783111460871"</f>
        <v>9783111460871</v>
      </c>
      <c r="E4207" t="s">
        <v>415</v>
      </c>
      <c r="F4207" t="s">
        <v>415</v>
      </c>
      <c r="G4207" s="1">
        <v>43739</v>
      </c>
      <c r="H4207" s="1">
        <v>44726</v>
      </c>
      <c r="I4207" t="s">
        <v>189</v>
      </c>
      <c r="J4207">
        <v>1</v>
      </c>
      <c r="L4207" t="s">
        <v>11395</v>
      </c>
      <c r="M4207" t="s">
        <v>389</v>
      </c>
      <c r="Q4207" t="s">
        <v>408</v>
      </c>
      <c r="R4207" t="s">
        <v>261</v>
      </c>
      <c r="S4207" t="s">
        <v>261</v>
      </c>
      <c r="T4207" t="s">
        <v>261</v>
      </c>
      <c r="U4207" t="s">
        <v>261</v>
      </c>
      <c r="V4207" t="s">
        <v>262</v>
      </c>
      <c r="W4207" t="s">
        <v>261</v>
      </c>
      <c r="X4207" t="s">
        <v>261</v>
      </c>
      <c r="Y4207" t="s">
        <v>261</v>
      </c>
      <c r="Z4207" t="s">
        <v>409</v>
      </c>
      <c r="AA4207" t="s">
        <v>409</v>
      </c>
      <c r="AB4207" t="s">
        <v>409</v>
      </c>
      <c r="AC4207" t="s">
        <v>409</v>
      </c>
      <c r="AD4207" t="s">
        <v>261</v>
      </c>
      <c r="AH4207" t="s">
        <v>262</v>
      </c>
      <c r="AI4207" t="s">
        <v>262</v>
      </c>
      <c r="AJ4207" t="s">
        <v>261</v>
      </c>
      <c r="AK4207" t="s">
        <v>261</v>
      </c>
      <c r="AM4207" t="s">
        <v>262</v>
      </c>
      <c r="AN4207" t="s">
        <v>11396</v>
      </c>
    </row>
    <row r="4208" spans="1:40" x14ac:dyDescent="0.35">
      <c r="A4208">
        <v>7015150</v>
      </c>
      <c r="B4208" t="s">
        <v>11397</v>
      </c>
      <c r="C4208" t="str">
        <f>""</f>
        <v/>
      </c>
      <c r="D4208" t="str">
        <f>"9783486754476"</f>
        <v>9783486754476</v>
      </c>
      <c r="E4208" t="s">
        <v>415</v>
      </c>
      <c r="F4208" t="s">
        <v>665</v>
      </c>
      <c r="G4208" s="1">
        <v>9863</v>
      </c>
      <c r="H4208" s="1">
        <v>44726</v>
      </c>
      <c r="I4208" t="s">
        <v>189</v>
      </c>
      <c r="J4208">
        <v>1</v>
      </c>
      <c r="L4208" t="s">
        <v>11398</v>
      </c>
      <c r="M4208" t="s">
        <v>3574</v>
      </c>
      <c r="Q4208" t="s">
        <v>408</v>
      </c>
      <c r="R4208" t="s">
        <v>261</v>
      </c>
      <c r="S4208" t="s">
        <v>261</v>
      </c>
      <c r="T4208" t="s">
        <v>261</v>
      </c>
      <c r="U4208" t="s">
        <v>261</v>
      </c>
      <c r="V4208" t="s">
        <v>262</v>
      </c>
      <c r="W4208" t="s">
        <v>261</v>
      </c>
      <c r="X4208" t="s">
        <v>261</v>
      </c>
      <c r="Y4208" t="s">
        <v>261</v>
      </c>
      <c r="Z4208" t="s">
        <v>409</v>
      </c>
      <c r="AA4208" t="s">
        <v>409</v>
      </c>
      <c r="AB4208" t="s">
        <v>409</v>
      </c>
      <c r="AC4208" t="s">
        <v>409</v>
      </c>
      <c r="AD4208" t="s">
        <v>261</v>
      </c>
      <c r="AH4208" t="s">
        <v>262</v>
      </c>
      <c r="AI4208" t="s">
        <v>262</v>
      </c>
      <c r="AJ4208" t="s">
        <v>261</v>
      </c>
      <c r="AK4208" t="s">
        <v>261</v>
      </c>
      <c r="AM4208" t="s">
        <v>262</v>
      </c>
      <c r="AN4208" t="s">
        <v>11399</v>
      </c>
    </row>
    <row r="4209" spans="1:40" x14ac:dyDescent="0.35">
      <c r="A4209">
        <v>7015151</v>
      </c>
      <c r="B4209" t="s">
        <v>11400</v>
      </c>
      <c r="C4209" t="str">
        <f>""</f>
        <v/>
      </c>
      <c r="D4209" t="str">
        <f>"9783110724127"</f>
        <v>9783110724127</v>
      </c>
      <c r="E4209" t="s">
        <v>415</v>
      </c>
      <c r="F4209" t="s">
        <v>665</v>
      </c>
      <c r="G4209" s="1">
        <v>44522</v>
      </c>
      <c r="H4209" s="1">
        <v>44726</v>
      </c>
      <c r="I4209" t="s">
        <v>189</v>
      </c>
      <c r="J4209">
        <v>1</v>
      </c>
      <c r="L4209" t="s">
        <v>11401</v>
      </c>
      <c r="M4209" t="s">
        <v>239</v>
      </c>
    </row>
    <row r="4210" spans="1:40" x14ac:dyDescent="0.35">
      <c r="A4210">
        <v>7015152</v>
      </c>
      <c r="B4210" t="s">
        <v>11402</v>
      </c>
      <c r="C4210" t="str">
        <f>""</f>
        <v/>
      </c>
      <c r="D4210" t="str">
        <f>"9783110720297"</f>
        <v>9783110720297</v>
      </c>
      <c r="E4210" t="s">
        <v>415</v>
      </c>
      <c r="F4210" t="s">
        <v>6576</v>
      </c>
      <c r="G4210" s="1">
        <v>42628</v>
      </c>
      <c r="H4210" s="1">
        <v>44726</v>
      </c>
      <c r="I4210" t="s">
        <v>189</v>
      </c>
      <c r="J4210">
        <v>1</v>
      </c>
      <c r="K4210" t="s">
        <v>10669</v>
      </c>
      <c r="L4210" t="s">
        <v>11403</v>
      </c>
    </row>
    <row r="4211" spans="1:40" x14ac:dyDescent="0.35">
      <c r="A4211">
        <v>7015153</v>
      </c>
      <c r="B4211" t="s">
        <v>11404</v>
      </c>
      <c r="C4211" t="str">
        <f>""</f>
        <v/>
      </c>
      <c r="D4211" t="str">
        <f>"9783110714357"</f>
        <v>9783110714357</v>
      </c>
      <c r="E4211" t="s">
        <v>415</v>
      </c>
      <c r="F4211" t="s">
        <v>415</v>
      </c>
      <c r="G4211" s="1">
        <v>44446</v>
      </c>
      <c r="H4211" s="1">
        <v>44726</v>
      </c>
      <c r="I4211" t="s">
        <v>189</v>
      </c>
      <c r="J4211">
        <v>1</v>
      </c>
      <c r="K4211" t="s">
        <v>354</v>
      </c>
      <c r="L4211" t="s">
        <v>11405</v>
      </c>
      <c r="M4211" t="s">
        <v>239</v>
      </c>
    </row>
    <row r="4212" spans="1:40" x14ac:dyDescent="0.35">
      <c r="A4212">
        <v>7015154</v>
      </c>
      <c r="B4212" t="s">
        <v>11406</v>
      </c>
      <c r="C4212" t="str">
        <f>""</f>
        <v/>
      </c>
      <c r="D4212" t="str">
        <f>"9783110641998"</f>
        <v>9783110641998</v>
      </c>
      <c r="E4212" t="s">
        <v>415</v>
      </c>
      <c r="F4212" t="s">
        <v>415</v>
      </c>
      <c r="G4212" s="1">
        <v>44095</v>
      </c>
      <c r="H4212" s="1">
        <v>44726</v>
      </c>
      <c r="I4212" t="s">
        <v>189</v>
      </c>
      <c r="J4212">
        <v>1</v>
      </c>
      <c r="L4212" t="s">
        <v>11407</v>
      </c>
      <c r="M4212" t="s">
        <v>219</v>
      </c>
      <c r="Q4212" t="s">
        <v>260</v>
      </c>
      <c r="R4212" t="s">
        <v>261</v>
      </c>
      <c r="S4212" t="s">
        <v>261</v>
      </c>
      <c r="T4212" t="s">
        <v>261</v>
      </c>
      <c r="U4212" t="s">
        <v>261</v>
      </c>
      <c r="V4212" t="s">
        <v>262</v>
      </c>
      <c r="W4212" t="s">
        <v>261</v>
      </c>
      <c r="X4212" t="s">
        <v>261</v>
      </c>
      <c r="Y4212" t="s">
        <v>261</v>
      </c>
      <c r="Z4212" t="s">
        <v>409</v>
      </c>
      <c r="AA4212" t="s">
        <v>409</v>
      </c>
      <c r="AB4212" t="s">
        <v>409</v>
      </c>
      <c r="AC4212" t="s">
        <v>409</v>
      </c>
      <c r="AD4212" t="s">
        <v>261</v>
      </c>
      <c r="AH4212" t="s">
        <v>262</v>
      </c>
      <c r="AI4212" t="s">
        <v>262</v>
      </c>
      <c r="AJ4212" t="s">
        <v>261</v>
      </c>
      <c r="AK4212" t="s">
        <v>261</v>
      </c>
      <c r="AM4212" t="s">
        <v>262</v>
      </c>
      <c r="AN4212" t="s">
        <v>11408</v>
      </c>
    </row>
    <row r="4213" spans="1:40" x14ac:dyDescent="0.35">
      <c r="A4213">
        <v>7015155</v>
      </c>
      <c r="B4213" t="s">
        <v>11409</v>
      </c>
      <c r="C4213" t="str">
        <f>"9783486518412"</f>
        <v>9783486518412</v>
      </c>
      <c r="D4213" t="str">
        <f>"9783486594164"</f>
        <v>9783486594164</v>
      </c>
      <c r="E4213" t="s">
        <v>415</v>
      </c>
      <c r="F4213" t="s">
        <v>665</v>
      </c>
      <c r="G4213" s="1">
        <v>30644</v>
      </c>
      <c r="H4213" s="1">
        <v>44726</v>
      </c>
      <c r="I4213" t="s">
        <v>189</v>
      </c>
      <c r="J4213">
        <v>1</v>
      </c>
      <c r="K4213" t="s">
        <v>1387</v>
      </c>
      <c r="L4213" t="s">
        <v>11410</v>
      </c>
    </row>
    <row r="4214" spans="1:40" x14ac:dyDescent="0.35">
      <c r="A4214">
        <v>7015156</v>
      </c>
      <c r="B4214" t="s">
        <v>11411</v>
      </c>
      <c r="C4214" t="str">
        <f>""</f>
        <v/>
      </c>
      <c r="D4214" t="str">
        <f>"9783110622478"</f>
        <v>9783110622478</v>
      </c>
      <c r="E4214" t="s">
        <v>415</v>
      </c>
      <c r="F4214" t="s">
        <v>415</v>
      </c>
      <c r="G4214" s="1">
        <v>43494</v>
      </c>
      <c r="H4214" s="1">
        <v>44726</v>
      </c>
      <c r="I4214" t="s">
        <v>189</v>
      </c>
      <c r="J4214">
        <v>1</v>
      </c>
      <c r="K4214" t="s">
        <v>10673</v>
      </c>
      <c r="L4214" t="s">
        <v>11412</v>
      </c>
    </row>
    <row r="4215" spans="1:40" x14ac:dyDescent="0.35">
      <c r="A4215">
        <v>7015157</v>
      </c>
      <c r="B4215" t="s">
        <v>11413</v>
      </c>
      <c r="C4215" t="str">
        <f>""</f>
        <v/>
      </c>
      <c r="D4215" t="str">
        <f>"9783035623079"</f>
        <v>9783035623079</v>
      </c>
      <c r="E4215" t="s">
        <v>415</v>
      </c>
      <c r="F4215" t="s">
        <v>1107</v>
      </c>
      <c r="G4215" s="1">
        <v>44382</v>
      </c>
      <c r="H4215" s="1">
        <v>44726</v>
      </c>
      <c r="I4215" t="s">
        <v>189</v>
      </c>
      <c r="J4215">
        <v>1</v>
      </c>
      <c r="L4215" t="s">
        <v>11334</v>
      </c>
    </row>
    <row r="4216" spans="1:40" x14ac:dyDescent="0.35">
      <c r="A4216">
        <v>7015158</v>
      </c>
      <c r="B4216" t="s">
        <v>11414</v>
      </c>
      <c r="C4216" t="str">
        <f>""</f>
        <v/>
      </c>
      <c r="D4216" t="str">
        <f>"9783110720082"</f>
        <v>9783110720082</v>
      </c>
      <c r="E4216" t="s">
        <v>415</v>
      </c>
      <c r="F4216" t="s">
        <v>6576</v>
      </c>
      <c r="G4216" s="1">
        <v>41841</v>
      </c>
      <c r="H4216" s="1">
        <v>44726</v>
      </c>
      <c r="I4216" t="s">
        <v>189</v>
      </c>
      <c r="J4216">
        <v>1</v>
      </c>
      <c r="K4216" t="s">
        <v>10678</v>
      </c>
      <c r="L4216" t="s">
        <v>11415</v>
      </c>
      <c r="M4216" t="s">
        <v>676</v>
      </c>
      <c r="Q4216" t="s">
        <v>260</v>
      </c>
      <c r="R4216" t="s">
        <v>261</v>
      </c>
      <c r="S4216" t="s">
        <v>261</v>
      </c>
      <c r="T4216" t="s">
        <v>261</v>
      </c>
      <c r="U4216" t="s">
        <v>261</v>
      </c>
      <c r="V4216" t="s">
        <v>262</v>
      </c>
      <c r="W4216" t="s">
        <v>261</v>
      </c>
      <c r="X4216" t="s">
        <v>261</v>
      </c>
      <c r="Y4216" t="s">
        <v>261</v>
      </c>
      <c r="Z4216" t="s">
        <v>409</v>
      </c>
      <c r="AA4216" t="s">
        <v>409</v>
      </c>
      <c r="AB4216" t="s">
        <v>409</v>
      </c>
      <c r="AC4216" t="s">
        <v>409</v>
      </c>
      <c r="AD4216" t="s">
        <v>261</v>
      </c>
      <c r="AH4216" t="s">
        <v>262</v>
      </c>
      <c r="AI4216" t="s">
        <v>262</v>
      </c>
      <c r="AJ4216" t="s">
        <v>261</v>
      </c>
      <c r="AK4216" t="s">
        <v>261</v>
      </c>
      <c r="AM4216" t="s">
        <v>262</v>
      </c>
      <c r="AN4216" t="s">
        <v>11416</v>
      </c>
    </row>
    <row r="4217" spans="1:40" x14ac:dyDescent="0.35">
      <c r="A4217">
        <v>7015159</v>
      </c>
      <c r="B4217" t="s">
        <v>11417</v>
      </c>
      <c r="C4217" t="str">
        <f>""</f>
        <v/>
      </c>
      <c r="D4217" t="str">
        <f>"9783110681017"</f>
        <v>9783110681017</v>
      </c>
      <c r="E4217" t="s">
        <v>415</v>
      </c>
      <c r="F4217" t="s">
        <v>665</v>
      </c>
      <c r="G4217" s="1">
        <v>44158</v>
      </c>
      <c r="H4217" s="1">
        <v>44726</v>
      </c>
      <c r="I4217" t="s">
        <v>189</v>
      </c>
      <c r="J4217">
        <v>1</v>
      </c>
      <c r="K4217" t="s">
        <v>11049</v>
      </c>
      <c r="L4217" t="s">
        <v>11418</v>
      </c>
      <c r="M4217" t="s">
        <v>239</v>
      </c>
      <c r="O4217">
        <v>963</v>
      </c>
      <c r="Q4217" t="s">
        <v>260</v>
      </c>
      <c r="R4217" t="s">
        <v>261</v>
      </c>
      <c r="S4217" t="s">
        <v>261</v>
      </c>
      <c r="T4217" t="s">
        <v>261</v>
      </c>
      <c r="U4217" t="s">
        <v>261</v>
      </c>
      <c r="V4217" t="s">
        <v>262</v>
      </c>
      <c r="W4217" t="s">
        <v>261</v>
      </c>
      <c r="X4217" t="s">
        <v>261</v>
      </c>
      <c r="Y4217" t="s">
        <v>261</v>
      </c>
      <c r="Z4217" t="s">
        <v>409</v>
      </c>
      <c r="AA4217" t="s">
        <v>409</v>
      </c>
      <c r="AB4217" t="s">
        <v>409</v>
      </c>
      <c r="AC4217" t="s">
        <v>409</v>
      </c>
      <c r="AD4217" t="s">
        <v>261</v>
      </c>
      <c r="AH4217" t="s">
        <v>262</v>
      </c>
      <c r="AI4217" t="s">
        <v>262</v>
      </c>
      <c r="AJ4217" t="s">
        <v>261</v>
      </c>
      <c r="AK4217" t="s">
        <v>261</v>
      </c>
      <c r="AM4217" t="s">
        <v>262</v>
      </c>
      <c r="AN4217" t="s">
        <v>11419</v>
      </c>
    </row>
    <row r="4218" spans="1:40" x14ac:dyDescent="0.35">
      <c r="A4218">
        <v>7015160</v>
      </c>
      <c r="B4218" t="s">
        <v>11420</v>
      </c>
      <c r="C4218" t="str">
        <f>"9783110598308"</f>
        <v>9783110598308</v>
      </c>
      <c r="D4218" t="str">
        <f>"9783110600261"</f>
        <v>9783110600261</v>
      </c>
      <c r="E4218" t="s">
        <v>415</v>
      </c>
      <c r="F4218" t="s">
        <v>415</v>
      </c>
      <c r="G4218" s="1">
        <v>43451</v>
      </c>
      <c r="H4218" s="1">
        <v>44726</v>
      </c>
      <c r="I4218" t="s">
        <v>189</v>
      </c>
      <c r="J4218">
        <v>1</v>
      </c>
      <c r="K4218" t="s">
        <v>628</v>
      </c>
      <c r="L4218" t="s">
        <v>11421</v>
      </c>
    </row>
    <row r="4219" spans="1:40" x14ac:dyDescent="0.35">
      <c r="A4219">
        <v>7015161</v>
      </c>
      <c r="B4219" t="s">
        <v>11422</v>
      </c>
      <c r="C4219" t="str">
        <f>""</f>
        <v/>
      </c>
      <c r="D4219" t="str">
        <f>"9783111403748"</f>
        <v>9783111403748</v>
      </c>
      <c r="E4219" t="s">
        <v>415</v>
      </c>
      <c r="F4219" t="s">
        <v>415</v>
      </c>
      <c r="G4219" s="1">
        <v>5570</v>
      </c>
      <c r="H4219" s="1">
        <v>44726</v>
      </c>
      <c r="I4219" t="s">
        <v>189</v>
      </c>
      <c r="J4219">
        <v>1</v>
      </c>
      <c r="K4219" t="s">
        <v>11423</v>
      </c>
      <c r="L4219" t="s">
        <v>11424</v>
      </c>
      <c r="M4219" t="s">
        <v>219</v>
      </c>
      <c r="Q4219" t="s">
        <v>408</v>
      </c>
      <c r="R4219" t="s">
        <v>261</v>
      </c>
      <c r="S4219" t="s">
        <v>261</v>
      </c>
      <c r="T4219" t="s">
        <v>261</v>
      </c>
      <c r="U4219" t="s">
        <v>261</v>
      </c>
      <c r="V4219" t="s">
        <v>262</v>
      </c>
      <c r="W4219" t="s">
        <v>261</v>
      </c>
      <c r="X4219" t="s">
        <v>261</v>
      </c>
      <c r="Y4219" t="s">
        <v>261</v>
      </c>
      <c r="Z4219" t="s">
        <v>409</v>
      </c>
      <c r="AA4219" t="s">
        <v>409</v>
      </c>
      <c r="AB4219" t="s">
        <v>409</v>
      </c>
      <c r="AC4219" t="s">
        <v>409</v>
      </c>
      <c r="AD4219" t="s">
        <v>261</v>
      </c>
      <c r="AH4219" t="s">
        <v>262</v>
      </c>
      <c r="AI4219" t="s">
        <v>262</v>
      </c>
      <c r="AJ4219" t="s">
        <v>261</v>
      </c>
      <c r="AK4219" t="s">
        <v>261</v>
      </c>
      <c r="AM4219" t="s">
        <v>262</v>
      </c>
      <c r="AN4219" t="s">
        <v>11425</v>
      </c>
    </row>
    <row r="4220" spans="1:40" x14ac:dyDescent="0.35">
      <c r="A4220">
        <v>7015162</v>
      </c>
      <c r="B4220" t="s">
        <v>11426</v>
      </c>
      <c r="C4220" t="str">
        <f>""</f>
        <v/>
      </c>
      <c r="D4220" t="str">
        <f>"9783110707540"</f>
        <v>9783110707540</v>
      </c>
      <c r="E4220" t="s">
        <v>415</v>
      </c>
      <c r="F4220" t="s">
        <v>415</v>
      </c>
      <c r="G4220" s="1">
        <v>44473</v>
      </c>
      <c r="H4220" s="1">
        <v>44726</v>
      </c>
      <c r="I4220" t="s">
        <v>189</v>
      </c>
      <c r="J4220">
        <v>1</v>
      </c>
      <c r="K4220" t="s">
        <v>6679</v>
      </c>
      <c r="L4220" t="s">
        <v>11427</v>
      </c>
      <c r="M4220" t="s">
        <v>676</v>
      </c>
      <c r="Q4220" t="s">
        <v>1827</v>
      </c>
      <c r="R4220" t="s">
        <v>261</v>
      </c>
      <c r="S4220" t="s">
        <v>261</v>
      </c>
      <c r="T4220" t="s">
        <v>261</v>
      </c>
      <c r="U4220" t="s">
        <v>261</v>
      </c>
      <c r="V4220" t="s">
        <v>262</v>
      </c>
      <c r="W4220" t="s">
        <v>261</v>
      </c>
      <c r="X4220" t="s">
        <v>261</v>
      </c>
      <c r="Y4220" t="s">
        <v>261</v>
      </c>
      <c r="Z4220" t="s">
        <v>409</v>
      </c>
      <c r="AA4220" t="s">
        <v>409</v>
      </c>
      <c r="AB4220" t="s">
        <v>409</v>
      </c>
      <c r="AC4220" t="s">
        <v>409</v>
      </c>
      <c r="AD4220" t="s">
        <v>261</v>
      </c>
      <c r="AH4220" t="s">
        <v>262</v>
      </c>
      <c r="AI4220" t="s">
        <v>262</v>
      </c>
      <c r="AJ4220" t="s">
        <v>261</v>
      </c>
      <c r="AK4220" t="s">
        <v>261</v>
      </c>
      <c r="AM4220" t="s">
        <v>262</v>
      </c>
      <c r="AN4220" t="s">
        <v>11428</v>
      </c>
    </row>
    <row r="4221" spans="1:40" x14ac:dyDescent="0.35">
      <c r="A4221">
        <v>7015163</v>
      </c>
      <c r="B4221" t="s">
        <v>11429</v>
      </c>
      <c r="C4221" t="str">
        <f>""</f>
        <v/>
      </c>
      <c r="D4221" t="str">
        <f>"9783111480916"</f>
        <v>9783111480916</v>
      </c>
      <c r="E4221" t="s">
        <v>415</v>
      </c>
      <c r="F4221" t="s">
        <v>415</v>
      </c>
      <c r="G4221" s="1">
        <v>1553</v>
      </c>
      <c r="H4221" s="1">
        <v>44726</v>
      </c>
      <c r="I4221" t="s">
        <v>189</v>
      </c>
      <c r="J4221">
        <v>1</v>
      </c>
      <c r="L4221" t="s">
        <v>11430</v>
      </c>
      <c r="M4221" t="s">
        <v>219</v>
      </c>
    </row>
    <row r="4222" spans="1:40" x14ac:dyDescent="0.35">
      <c r="A4222">
        <v>7015164</v>
      </c>
      <c r="B4222" t="s">
        <v>11431</v>
      </c>
      <c r="C4222" t="str">
        <f>""</f>
        <v/>
      </c>
      <c r="D4222" t="str">
        <f>"9783110676631"</f>
        <v>9783110676631</v>
      </c>
      <c r="E4222" t="s">
        <v>415</v>
      </c>
      <c r="F4222" t="s">
        <v>415</v>
      </c>
      <c r="G4222" s="1">
        <v>43871</v>
      </c>
      <c r="H4222" s="1">
        <v>44726</v>
      </c>
      <c r="I4222" t="s">
        <v>189</v>
      </c>
      <c r="J4222">
        <v>1</v>
      </c>
      <c r="K4222" t="s">
        <v>3923</v>
      </c>
      <c r="L4222" t="s">
        <v>11432</v>
      </c>
    </row>
    <row r="4223" spans="1:40" x14ac:dyDescent="0.35">
      <c r="A4223">
        <v>7015165</v>
      </c>
      <c r="B4223" t="s">
        <v>11433</v>
      </c>
      <c r="C4223" t="str">
        <f>""</f>
        <v/>
      </c>
      <c r="D4223" t="str">
        <f>"9783110890709"</f>
        <v>9783110890709</v>
      </c>
      <c r="E4223" t="s">
        <v>415</v>
      </c>
      <c r="F4223" t="s">
        <v>415</v>
      </c>
      <c r="G4223" s="1">
        <v>35884</v>
      </c>
      <c r="H4223" s="1">
        <v>44726</v>
      </c>
      <c r="I4223" t="s">
        <v>189</v>
      </c>
      <c r="J4223">
        <v>2</v>
      </c>
      <c r="K4223" t="s">
        <v>11434</v>
      </c>
      <c r="L4223" t="s">
        <v>25</v>
      </c>
      <c r="M4223" t="s">
        <v>316</v>
      </c>
      <c r="Q4223" t="s">
        <v>408</v>
      </c>
      <c r="R4223" t="s">
        <v>261</v>
      </c>
      <c r="S4223" t="s">
        <v>261</v>
      </c>
      <c r="T4223" t="s">
        <v>261</v>
      </c>
      <c r="U4223" t="s">
        <v>261</v>
      </c>
      <c r="V4223" t="s">
        <v>262</v>
      </c>
      <c r="W4223" t="s">
        <v>261</v>
      </c>
      <c r="X4223" t="s">
        <v>261</v>
      </c>
      <c r="Y4223" t="s">
        <v>261</v>
      </c>
      <c r="Z4223" t="s">
        <v>409</v>
      </c>
      <c r="AA4223" t="s">
        <v>409</v>
      </c>
      <c r="AB4223" t="s">
        <v>409</v>
      </c>
      <c r="AC4223" t="s">
        <v>409</v>
      </c>
      <c r="AD4223" t="s">
        <v>261</v>
      </c>
      <c r="AH4223" t="s">
        <v>262</v>
      </c>
      <c r="AI4223" t="s">
        <v>262</v>
      </c>
      <c r="AJ4223" t="s">
        <v>261</v>
      </c>
      <c r="AK4223" t="s">
        <v>261</v>
      </c>
      <c r="AM4223" t="s">
        <v>262</v>
      </c>
      <c r="AN4223" t="s">
        <v>11435</v>
      </c>
    </row>
    <row r="4224" spans="1:40" x14ac:dyDescent="0.35">
      <c r="A4224">
        <v>7015166</v>
      </c>
      <c r="B4224" t="s">
        <v>11436</v>
      </c>
      <c r="C4224" t="str">
        <f>""</f>
        <v/>
      </c>
      <c r="D4224" t="str">
        <f>"9783110498967"</f>
        <v>9783110498967</v>
      </c>
      <c r="E4224" t="s">
        <v>415</v>
      </c>
      <c r="F4224" t="s">
        <v>415</v>
      </c>
      <c r="G4224" s="1">
        <v>44508</v>
      </c>
      <c r="H4224" s="1">
        <v>44726</v>
      </c>
      <c r="I4224" t="s">
        <v>189</v>
      </c>
      <c r="J4224">
        <v>1</v>
      </c>
      <c r="L4224" t="s">
        <v>6619</v>
      </c>
    </row>
    <row r="4225" spans="1:40" x14ac:dyDescent="0.35">
      <c r="A4225">
        <v>7015167</v>
      </c>
      <c r="B4225" t="s">
        <v>11437</v>
      </c>
      <c r="C4225" t="str">
        <f>"9783111115214"</f>
        <v>9783111115214</v>
      </c>
      <c r="D4225" t="str">
        <f>"9783111482026"</f>
        <v>9783111482026</v>
      </c>
      <c r="E4225" t="s">
        <v>415</v>
      </c>
      <c r="F4225" t="s">
        <v>415</v>
      </c>
      <c r="G4225" t="s">
        <v>11438</v>
      </c>
      <c r="H4225" s="1">
        <v>44726</v>
      </c>
      <c r="I4225" t="s">
        <v>189</v>
      </c>
      <c r="J4225">
        <v>1</v>
      </c>
      <c r="L4225" t="s">
        <v>11439</v>
      </c>
    </row>
    <row r="4226" spans="1:40" x14ac:dyDescent="0.35">
      <c r="A4226">
        <v>7015168</v>
      </c>
      <c r="B4226" t="s">
        <v>11440</v>
      </c>
      <c r="C4226" t="str">
        <f>""</f>
        <v/>
      </c>
      <c r="D4226" t="str">
        <f>"9783110736274"</f>
        <v>9783110736274</v>
      </c>
      <c r="E4226" t="s">
        <v>415</v>
      </c>
      <c r="F4226" t="s">
        <v>415</v>
      </c>
      <c r="G4226" s="1">
        <v>44396</v>
      </c>
      <c r="H4226" s="1">
        <v>44726</v>
      </c>
      <c r="I4226" t="s">
        <v>189</v>
      </c>
      <c r="J4226">
        <v>1</v>
      </c>
      <c r="K4226" t="s">
        <v>3934</v>
      </c>
      <c r="L4226" t="s">
        <v>11441</v>
      </c>
      <c r="M4226" t="s">
        <v>219</v>
      </c>
      <c r="Q4226" t="s">
        <v>6636</v>
      </c>
    </row>
    <row r="4227" spans="1:40" x14ac:dyDescent="0.35">
      <c r="A4227">
        <v>7015169</v>
      </c>
      <c r="B4227" t="s">
        <v>11442</v>
      </c>
      <c r="C4227" t="str">
        <f>""</f>
        <v/>
      </c>
      <c r="D4227" t="str">
        <f>"9783110721621"</f>
        <v>9783110721621</v>
      </c>
      <c r="E4227" t="s">
        <v>415</v>
      </c>
      <c r="F4227" t="s">
        <v>415</v>
      </c>
      <c r="G4227" s="1">
        <v>44382</v>
      </c>
      <c r="H4227" s="1">
        <v>44726</v>
      </c>
      <c r="I4227" t="s">
        <v>189</v>
      </c>
      <c r="J4227">
        <v>1</v>
      </c>
      <c r="L4227" t="s">
        <v>11443</v>
      </c>
    </row>
    <row r="4228" spans="1:40" x14ac:dyDescent="0.35">
      <c r="A4228">
        <v>7015170</v>
      </c>
      <c r="B4228" t="s">
        <v>11444</v>
      </c>
      <c r="C4228" t="str">
        <f>""</f>
        <v/>
      </c>
      <c r="D4228" t="str">
        <f>"9783110682106"</f>
        <v>9783110682106</v>
      </c>
      <c r="E4228" t="s">
        <v>415</v>
      </c>
      <c r="F4228" t="s">
        <v>665</v>
      </c>
      <c r="G4228" s="1">
        <v>44473</v>
      </c>
      <c r="H4228" s="1">
        <v>44726</v>
      </c>
      <c r="I4228" t="s">
        <v>189</v>
      </c>
      <c r="J4228">
        <v>1</v>
      </c>
      <c r="K4228" t="s">
        <v>10563</v>
      </c>
      <c r="L4228" t="s">
        <v>11445</v>
      </c>
      <c r="M4228" t="s">
        <v>1191</v>
      </c>
      <c r="O4228" s="2">
        <v>902854678</v>
      </c>
      <c r="Q4228" t="s">
        <v>260</v>
      </c>
      <c r="R4228" t="s">
        <v>261</v>
      </c>
      <c r="S4228" t="s">
        <v>261</v>
      </c>
      <c r="T4228" t="s">
        <v>261</v>
      </c>
      <c r="U4228" t="s">
        <v>261</v>
      </c>
      <c r="V4228" t="s">
        <v>262</v>
      </c>
      <c r="W4228" t="s">
        <v>261</v>
      </c>
      <c r="X4228" t="s">
        <v>261</v>
      </c>
      <c r="Y4228" t="s">
        <v>261</v>
      </c>
      <c r="Z4228" t="s">
        <v>409</v>
      </c>
      <c r="AA4228" t="s">
        <v>409</v>
      </c>
      <c r="AB4228" t="s">
        <v>409</v>
      </c>
      <c r="AC4228" t="s">
        <v>409</v>
      </c>
      <c r="AD4228" t="s">
        <v>261</v>
      </c>
      <c r="AH4228" t="s">
        <v>262</v>
      </c>
      <c r="AI4228" t="s">
        <v>262</v>
      </c>
      <c r="AJ4228" t="s">
        <v>261</v>
      </c>
      <c r="AK4228" t="s">
        <v>261</v>
      </c>
      <c r="AM4228" t="s">
        <v>262</v>
      </c>
      <c r="AN4228" t="s">
        <v>11446</v>
      </c>
    </row>
    <row r="4229" spans="1:40" x14ac:dyDescent="0.35">
      <c r="A4229">
        <v>7015171</v>
      </c>
      <c r="B4229" t="s">
        <v>11447</v>
      </c>
      <c r="C4229" t="str">
        <f>""</f>
        <v/>
      </c>
      <c r="D4229" t="str">
        <f>"9783111460017"</f>
        <v>9783111460017</v>
      </c>
      <c r="E4229" t="s">
        <v>415</v>
      </c>
      <c r="F4229" t="s">
        <v>415</v>
      </c>
      <c r="G4229" s="1">
        <v>2283</v>
      </c>
      <c r="H4229" s="1">
        <v>44726</v>
      </c>
      <c r="I4229" t="s">
        <v>189</v>
      </c>
      <c r="J4229">
        <v>1</v>
      </c>
      <c r="L4229" t="s">
        <v>11448</v>
      </c>
      <c r="M4229" t="s">
        <v>239</v>
      </c>
      <c r="Q4229" t="s">
        <v>408</v>
      </c>
      <c r="R4229" t="s">
        <v>261</v>
      </c>
      <c r="S4229" t="s">
        <v>261</v>
      </c>
      <c r="T4229" t="s">
        <v>261</v>
      </c>
      <c r="U4229" t="s">
        <v>261</v>
      </c>
      <c r="V4229" t="s">
        <v>262</v>
      </c>
      <c r="W4229" t="s">
        <v>261</v>
      </c>
      <c r="X4229" t="s">
        <v>261</v>
      </c>
      <c r="Y4229" t="s">
        <v>261</v>
      </c>
      <c r="Z4229" t="s">
        <v>409</v>
      </c>
      <c r="AA4229" t="s">
        <v>409</v>
      </c>
      <c r="AB4229" t="s">
        <v>409</v>
      </c>
      <c r="AC4229" t="s">
        <v>409</v>
      </c>
      <c r="AD4229" t="s">
        <v>261</v>
      </c>
      <c r="AH4229" t="s">
        <v>262</v>
      </c>
      <c r="AI4229" t="s">
        <v>262</v>
      </c>
      <c r="AJ4229" t="s">
        <v>261</v>
      </c>
      <c r="AK4229" t="s">
        <v>261</v>
      </c>
      <c r="AM4229" t="s">
        <v>262</v>
      </c>
      <c r="AN4229" t="s">
        <v>11449</v>
      </c>
    </row>
    <row r="4230" spans="1:40" x14ac:dyDescent="0.35">
      <c r="A4230">
        <v>7015172</v>
      </c>
      <c r="B4230" t="s">
        <v>11450</v>
      </c>
      <c r="C4230" t="str">
        <f>""</f>
        <v/>
      </c>
      <c r="D4230" t="str">
        <f>"9783110722826"</f>
        <v>9783110722826</v>
      </c>
      <c r="E4230" t="s">
        <v>415</v>
      </c>
      <c r="F4230" t="s">
        <v>415</v>
      </c>
      <c r="G4230" s="1">
        <v>44263</v>
      </c>
      <c r="H4230" s="1">
        <v>44726</v>
      </c>
      <c r="I4230" t="s">
        <v>189</v>
      </c>
      <c r="J4230">
        <v>1</v>
      </c>
      <c r="K4230" t="s">
        <v>11451</v>
      </c>
      <c r="L4230" t="s">
        <v>11452</v>
      </c>
    </row>
    <row r="4231" spans="1:40" x14ac:dyDescent="0.35">
      <c r="A4231">
        <v>7015173</v>
      </c>
      <c r="B4231" t="s">
        <v>11453</v>
      </c>
      <c r="C4231" t="str">
        <f>""</f>
        <v/>
      </c>
      <c r="D4231" t="str">
        <f>"9783111502793"</f>
        <v>9783111502793</v>
      </c>
      <c r="E4231" t="s">
        <v>415</v>
      </c>
      <c r="F4231" t="s">
        <v>415</v>
      </c>
      <c r="G4231" s="1">
        <v>21641</v>
      </c>
      <c r="H4231" s="1">
        <v>44726</v>
      </c>
      <c r="I4231" t="s">
        <v>189</v>
      </c>
      <c r="J4231">
        <v>1</v>
      </c>
      <c r="L4231" t="s">
        <v>11454</v>
      </c>
      <c r="M4231" t="s">
        <v>339</v>
      </c>
      <c r="Q4231" t="s">
        <v>408</v>
      </c>
      <c r="R4231" t="s">
        <v>261</v>
      </c>
      <c r="S4231" t="s">
        <v>261</v>
      </c>
      <c r="T4231" t="s">
        <v>261</v>
      </c>
      <c r="U4231" t="s">
        <v>261</v>
      </c>
      <c r="V4231" t="s">
        <v>262</v>
      </c>
      <c r="W4231" t="s">
        <v>261</v>
      </c>
      <c r="X4231" t="s">
        <v>261</v>
      </c>
      <c r="Y4231" t="s">
        <v>261</v>
      </c>
      <c r="Z4231" t="s">
        <v>409</v>
      </c>
      <c r="AA4231" t="s">
        <v>409</v>
      </c>
      <c r="AB4231" t="s">
        <v>409</v>
      </c>
      <c r="AC4231" t="s">
        <v>409</v>
      </c>
      <c r="AD4231" t="s">
        <v>261</v>
      </c>
      <c r="AH4231" t="s">
        <v>262</v>
      </c>
      <c r="AI4231" t="s">
        <v>262</v>
      </c>
      <c r="AJ4231" t="s">
        <v>261</v>
      </c>
      <c r="AK4231" t="s">
        <v>261</v>
      </c>
      <c r="AM4231" t="s">
        <v>262</v>
      </c>
      <c r="AN4231" t="s">
        <v>11455</v>
      </c>
    </row>
    <row r="4232" spans="1:40" x14ac:dyDescent="0.35">
      <c r="A4232">
        <v>7015174</v>
      </c>
      <c r="B4232" t="s">
        <v>11456</v>
      </c>
      <c r="C4232" t="str">
        <f>"9783110604269"</f>
        <v>9783110604269</v>
      </c>
      <c r="D4232" t="str">
        <f>"9783110604276"</f>
        <v>9783110604276</v>
      </c>
      <c r="E4232" t="s">
        <v>415</v>
      </c>
      <c r="F4232" t="s">
        <v>415</v>
      </c>
      <c r="G4232" s="1">
        <v>43437</v>
      </c>
      <c r="H4232" s="1">
        <v>44726</v>
      </c>
      <c r="I4232" t="s">
        <v>189</v>
      </c>
      <c r="J4232">
        <v>1</v>
      </c>
      <c r="L4232" t="s">
        <v>48</v>
      </c>
    </row>
    <row r="4233" spans="1:40" x14ac:dyDescent="0.35">
      <c r="A4233">
        <v>7015175</v>
      </c>
      <c r="B4233" t="s">
        <v>11457</v>
      </c>
      <c r="C4233" t="str">
        <f>""</f>
        <v/>
      </c>
      <c r="D4233" t="str">
        <f>"9783110622515"</f>
        <v>9783110622515</v>
      </c>
      <c r="E4233" t="s">
        <v>415</v>
      </c>
      <c r="F4233" t="s">
        <v>415</v>
      </c>
      <c r="G4233" s="1">
        <v>34775</v>
      </c>
      <c r="H4233" s="1">
        <v>44726</v>
      </c>
      <c r="I4233" t="s">
        <v>189</v>
      </c>
      <c r="J4233">
        <v>1</v>
      </c>
      <c r="K4233" t="s">
        <v>10673</v>
      </c>
      <c r="L4233" t="s">
        <v>10715</v>
      </c>
      <c r="M4233" t="s">
        <v>676</v>
      </c>
      <c r="Q4233" t="s">
        <v>408</v>
      </c>
      <c r="R4233" t="s">
        <v>261</v>
      </c>
      <c r="S4233" t="s">
        <v>261</v>
      </c>
      <c r="T4233" t="s">
        <v>261</v>
      </c>
      <c r="U4233" t="s">
        <v>261</v>
      </c>
      <c r="V4233" t="s">
        <v>262</v>
      </c>
      <c r="W4233" t="s">
        <v>261</v>
      </c>
      <c r="X4233" t="s">
        <v>261</v>
      </c>
      <c r="Y4233" t="s">
        <v>261</v>
      </c>
      <c r="Z4233" t="s">
        <v>409</v>
      </c>
      <c r="AA4233" t="s">
        <v>409</v>
      </c>
      <c r="AB4233" t="s">
        <v>409</v>
      </c>
      <c r="AC4233" t="s">
        <v>409</v>
      </c>
      <c r="AD4233" t="s">
        <v>261</v>
      </c>
      <c r="AH4233" t="s">
        <v>262</v>
      </c>
      <c r="AI4233" t="s">
        <v>262</v>
      </c>
      <c r="AJ4233" t="s">
        <v>261</v>
      </c>
      <c r="AK4233" t="s">
        <v>261</v>
      </c>
      <c r="AM4233" t="s">
        <v>262</v>
      </c>
      <c r="AN4233" t="s">
        <v>11458</v>
      </c>
    </row>
    <row r="4234" spans="1:40" x14ac:dyDescent="0.35">
      <c r="A4234">
        <v>7015176</v>
      </c>
      <c r="B4234" t="s">
        <v>11459</v>
      </c>
      <c r="C4234" t="str">
        <f>""</f>
        <v/>
      </c>
      <c r="D4234" t="str">
        <f>"9783111727066"</f>
        <v>9783111727066</v>
      </c>
      <c r="E4234" t="s">
        <v>415</v>
      </c>
      <c r="F4234" t="s">
        <v>415</v>
      </c>
      <c r="G4234" t="s">
        <v>11460</v>
      </c>
      <c r="H4234" s="1">
        <v>44726</v>
      </c>
      <c r="I4234" t="s">
        <v>189</v>
      </c>
      <c r="J4234">
        <v>1</v>
      </c>
      <c r="L4234" t="s">
        <v>11461</v>
      </c>
      <c r="M4234" t="s">
        <v>239</v>
      </c>
      <c r="Q4234" t="s">
        <v>408</v>
      </c>
      <c r="R4234" t="s">
        <v>261</v>
      </c>
      <c r="S4234" t="s">
        <v>261</v>
      </c>
      <c r="T4234" t="s">
        <v>261</v>
      </c>
      <c r="U4234" t="s">
        <v>261</v>
      </c>
      <c r="V4234" t="s">
        <v>262</v>
      </c>
      <c r="W4234" t="s">
        <v>261</v>
      </c>
      <c r="X4234" t="s">
        <v>261</v>
      </c>
      <c r="Y4234" t="s">
        <v>261</v>
      </c>
      <c r="Z4234" t="s">
        <v>409</v>
      </c>
      <c r="AA4234" t="s">
        <v>409</v>
      </c>
      <c r="AB4234" t="s">
        <v>409</v>
      </c>
      <c r="AC4234" t="s">
        <v>409</v>
      </c>
      <c r="AD4234" t="s">
        <v>261</v>
      </c>
      <c r="AH4234" t="s">
        <v>262</v>
      </c>
      <c r="AI4234" t="s">
        <v>262</v>
      </c>
      <c r="AJ4234" t="s">
        <v>261</v>
      </c>
      <c r="AK4234" t="s">
        <v>261</v>
      </c>
      <c r="AM4234" t="s">
        <v>262</v>
      </c>
      <c r="AN4234" t="s">
        <v>11462</v>
      </c>
    </row>
    <row r="4235" spans="1:40" x14ac:dyDescent="0.35">
      <c r="A4235">
        <v>7015177</v>
      </c>
      <c r="B4235" t="s">
        <v>11463</v>
      </c>
      <c r="C4235" t="str">
        <f>""</f>
        <v/>
      </c>
      <c r="D4235" t="str">
        <f>"9783110661255"</f>
        <v>9783110661255</v>
      </c>
      <c r="E4235" t="s">
        <v>415</v>
      </c>
      <c r="F4235" t="s">
        <v>415</v>
      </c>
      <c r="G4235" s="1">
        <v>44431</v>
      </c>
      <c r="H4235" s="1">
        <v>44726</v>
      </c>
      <c r="I4235" t="s">
        <v>189</v>
      </c>
      <c r="J4235">
        <v>1</v>
      </c>
      <c r="K4235" t="s">
        <v>3243</v>
      </c>
      <c r="L4235" t="s">
        <v>130</v>
      </c>
      <c r="M4235" t="s">
        <v>676</v>
      </c>
      <c r="Q4235" t="s">
        <v>408</v>
      </c>
      <c r="R4235" t="s">
        <v>261</v>
      </c>
      <c r="S4235" t="s">
        <v>261</v>
      </c>
      <c r="T4235" t="s">
        <v>261</v>
      </c>
      <c r="U4235" t="s">
        <v>261</v>
      </c>
      <c r="V4235" t="s">
        <v>262</v>
      </c>
      <c r="W4235" t="s">
        <v>261</v>
      </c>
      <c r="X4235" t="s">
        <v>261</v>
      </c>
      <c r="Y4235" t="s">
        <v>261</v>
      </c>
      <c r="Z4235" t="s">
        <v>409</v>
      </c>
      <c r="AA4235" t="s">
        <v>409</v>
      </c>
      <c r="AB4235" t="s">
        <v>409</v>
      </c>
      <c r="AC4235" t="s">
        <v>409</v>
      </c>
      <c r="AD4235" t="s">
        <v>261</v>
      </c>
      <c r="AH4235" t="s">
        <v>262</v>
      </c>
      <c r="AI4235" t="s">
        <v>262</v>
      </c>
      <c r="AJ4235" t="s">
        <v>261</v>
      </c>
      <c r="AK4235" t="s">
        <v>261</v>
      </c>
      <c r="AM4235" t="s">
        <v>262</v>
      </c>
      <c r="AN4235" t="s">
        <v>11464</v>
      </c>
    </row>
    <row r="4236" spans="1:40" x14ac:dyDescent="0.35">
      <c r="A4236">
        <v>7015178</v>
      </c>
      <c r="B4236" t="s">
        <v>11465</v>
      </c>
      <c r="C4236" t="str">
        <f>""</f>
        <v/>
      </c>
      <c r="D4236" t="str">
        <f>"9783110900668"</f>
        <v>9783110900668</v>
      </c>
      <c r="E4236" t="s">
        <v>415</v>
      </c>
      <c r="F4236" t="s">
        <v>415</v>
      </c>
      <c r="G4236" s="1">
        <v>38551</v>
      </c>
      <c r="H4236" s="1">
        <v>44726</v>
      </c>
      <c r="I4236" t="s">
        <v>189</v>
      </c>
      <c r="J4236">
        <v>4</v>
      </c>
      <c r="L4236" t="s">
        <v>11466</v>
      </c>
      <c r="M4236" t="s">
        <v>316</v>
      </c>
      <c r="Q4236" t="s">
        <v>408</v>
      </c>
      <c r="R4236" t="s">
        <v>261</v>
      </c>
      <c r="S4236" t="s">
        <v>261</v>
      </c>
      <c r="T4236" t="s">
        <v>261</v>
      </c>
      <c r="U4236" t="s">
        <v>261</v>
      </c>
      <c r="V4236" t="s">
        <v>262</v>
      </c>
      <c r="W4236" t="s">
        <v>261</v>
      </c>
      <c r="X4236" t="s">
        <v>261</v>
      </c>
      <c r="Y4236" t="s">
        <v>261</v>
      </c>
      <c r="Z4236" t="s">
        <v>409</v>
      </c>
      <c r="AA4236" t="s">
        <v>409</v>
      </c>
      <c r="AB4236" t="s">
        <v>409</v>
      </c>
      <c r="AC4236" t="s">
        <v>409</v>
      </c>
      <c r="AD4236" t="s">
        <v>261</v>
      </c>
      <c r="AH4236" t="s">
        <v>262</v>
      </c>
      <c r="AI4236" t="s">
        <v>262</v>
      </c>
      <c r="AJ4236" t="s">
        <v>261</v>
      </c>
      <c r="AK4236" t="s">
        <v>261</v>
      </c>
      <c r="AM4236" t="s">
        <v>262</v>
      </c>
      <c r="AN4236" t="s">
        <v>11467</v>
      </c>
    </row>
    <row r="4237" spans="1:40" x14ac:dyDescent="0.35">
      <c r="A4237">
        <v>7015179</v>
      </c>
      <c r="B4237" t="s">
        <v>11468</v>
      </c>
      <c r="C4237" t="str">
        <f>""</f>
        <v/>
      </c>
      <c r="D4237" t="str">
        <f>"9783035620801"</f>
        <v>9783035620801</v>
      </c>
      <c r="E4237" t="s">
        <v>415</v>
      </c>
      <c r="F4237" t="s">
        <v>1107</v>
      </c>
      <c r="G4237" s="1">
        <v>44235</v>
      </c>
      <c r="H4237" s="1">
        <v>44726</v>
      </c>
      <c r="I4237" t="s">
        <v>189</v>
      </c>
      <c r="J4237">
        <v>1</v>
      </c>
      <c r="K4237" t="s">
        <v>6740</v>
      </c>
      <c r="L4237" t="s">
        <v>11469</v>
      </c>
    </row>
    <row r="4238" spans="1:40" x14ac:dyDescent="0.35">
      <c r="A4238">
        <v>7015180</v>
      </c>
      <c r="B4238" t="s">
        <v>11470</v>
      </c>
      <c r="C4238" t="str">
        <f>""</f>
        <v/>
      </c>
      <c r="D4238" t="str">
        <f>"9783486770575"</f>
        <v>9783486770575</v>
      </c>
      <c r="E4238" t="s">
        <v>415</v>
      </c>
      <c r="F4238" t="s">
        <v>665</v>
      </c>
      <c r="G4238" s="1">
        <v>28216</v>
      </c>
      <c r="H4238" s="1">
        <v>44726</v>
      </c>
      <c r="I4238" t="s">
        <v>189</v>
      </c>
      <c r="J4238">
        <v>2</v>
      </c>
      <c r="K4238" t="s">
        <v>11471</v>
      </c>
      <c r="L4238" t="s">
        <v>11472</v>
      </c>
      <c r="M4238" t="s">
        <v>239</v>
      </c>
      <c r="Q4238" t="s">
        <v>408</v>
      </c>
      <c r="R4238" t="s">
        <v>261</v>
      </c>
      <c r="S4238" t="s">
        <v>261</v>
      </c>
      <c r="T4238" t="s">
        <v>261</v>
      </c>
      <c r="U4238" t="s">
        <v>261</v>
      </c>
      <c r="V4238" t="s">
        <v>262</v>
      </c>
      <c r="W4238" t="s">
        <v>261</v>
      </c>
      <c r="X4238" t="s">
        <v>261</v>
      </c>
      <c r="Y4238" t="s">
        <v>261</v>
      </c>
      <c r="Z4238" t="s">
        <v>409</v>
      </c>
      <c r="AA4238" t="s">
        <v>409</v>
      </c>
      <c r="AB4238" t="s">
        <v>409</v>
      </c>
      <c r="AC4238" t="s">
        <v>409</v>
      </c>
      <c r="AD4238" t="s">
        <v>261</v>
      </c>
      <c r="AH4238" t="s">
        <v>262</v>
      </c>
      <c r="AI4238" t="s">
        <v>262</v>
      </c>
      <c r="AJ4238" t="s">
        <v>261</v>
      </c>
      <c r="AK4238" t="s">
        <v>261</v>
      </c>
      <c r="AM4238" t="s">
        <v>262</v>
      </c>
      <c r="AN4238" t="s">
        <v>11473</v>
      </c>
    </row>
    <row r="4239" spans="1:40" x14ac:dyDescent="0.35">
      <c r="A4239">
        <v>7015181</v>
      </c>
      <c r="B4239" t="s">
        <v>11474</v>
      </c>
      <c r="C4239" t="str">
        <f>""</f>
        <v/>
      </c>
      <c r="D4239" t="str">
        <f>"9783111509709"</f>
        <v>9783111509709</v>
      </c>
      <c r="E4239" t="s">
        <v>415</v>
      </c>
      <c r="F4239" t="s">
        <v>415</v>
      </c>
      <c r="G4239" s="1">
        <v>43525</v>
      </c>
      <c r="H4239" s="1">
        <v>44726</v>
      </c>
      <c r="I4239" t="s">
        <v>189</v>
      </c>
      <c r="J4239">
        <v>1</v>
      </c>
      <c r="K4239" t="s">
        <v>11475</v>
      </c>
      <c r="L4239" t="s">
        <v>11476</v>
      </c>
      <c r="M4239" t="s">
        <v>339</v>
      </c>
      <c r="Q4239" t="s">
        <v>408</v>
      </c>
      <c r="R4239" t="s">
        <v>261</v>
      </c>
      <c r="S4239" t="s">
        <v>261</v>
      </c>
      <c r="T4239" t="s">
        <v>261</v>
      </c>
      <c r="U4239" t="s">
        <v>261</v>
      </c>
      <c r="V4239" t="s">
        <v>262</v>
      </c>
      <c r="W4239" t="s">
        <v>261</v>
      </c>
      <c r="X4239" t="s">
        <v>261</v>
      </c>
      <c r="Y4239" t="s">
        <v>261</v>
      </c>
      <c r="Z4239" t="s">
        <v>409</v>
      </c>
      <c r="AA4239" t="s">
        <v>409</v>
      </c>
      <c r="AB4239" t="s">
        <v>409</v>
      </c>
      <c r="AC4239" t="s">
        <v>409</v>
      </c>
      <c r="AD4239" t="s">
        <v>261</v>
      </c>
      <c r="AH4239" t="s">
        <v>262</v>
      </c>
      <c r="AI4239" t="s">
        <v>262</v>
      </c>
      <c r="AJ4239" t="s">
        <v>261</v>
      </c>
      <c r="AK4239" t="s">
        <v>261</v>
      </c>
      <c r="AM4239" t="s">
        <v>262</v>
      </c>
      <c r="AN4239" t="s">
        <v>11477</v>
      </c>
    </row>
    <row r="4240" spans="1:40" x14ac:dyDescent="0.35">
      <c r="A4240">
        <v>7015182</v>
      </c>
      <c r="B4240" t="s">
        <v>11478</v>
      </c>
      <c r="C4240" t="str">
        <f>"9783110601626"</f>
        <v>9783110601626</v>
      </c>
      <c r="D4240" t="str">
        <f>"9783110604337"</f>
        <v>9783110604337</v>
      </c>
      <c r="E4240" t="s">
        <v>415</v>
      </c>
      <c r="F4240" t="s">
        <v>415</v>
      </c>
      <c r="G4240" s="1">
        <v>43304</v>
      </c>
      <c r="H4240" s="1">
        <v>44726</v>
      </c>
      <c r="I4240" t="s">
        <v>189</v>
      </c>
      <c r="J4240">
        <v>1</v>
      </c>
      <c r="K4240" t="s">
        <v>1159</v>
      </c>
      <c r="L4240" t="s">
        <v>128</v>
      </c>
    </row>
    <row r="4241" spans="1:40" x14ac:dyDescent="0.35">
      <c r="A4241">
        <v>7015183</v>
      </c>
      <c r="B4241" t="s">
        <v>11479</v>
      </c>
      <c r="C4241" t="str">
        <f>""</f>
        <v/>
      </c>
      <c r="D4241" t="str">
        <f>"9783110878592"</f>
        <v>9783110878592</v>
      </c>
      <c r="E4241" t="s">
        <v>346</v>
      </c>
      <c r="F4241" t="s">
        <v>2637</v>
      </c>
      <c r="G4241" s="1">
        <v>27395</v>
      </c>
      <c r="H4241" s="1">
        <v>44726</v>
      </c>
      <c r="I4241" t="s">
        <v>189</v>
      </c>
      <c r="J4241">
        <v>1</v>
      </c>
      <c r="K4241" t="s">
        <v>11480</v>
      </c>
      <c r="L4241" t="s">
        <v>11481</v>
      </c>
      <c r="M4241" t="s">
        <v>219</v>
      </c>
      <c r="Q4241" t="s">
        <v>260</v>
      </c>
      <c r="R4241" t="s">
        <v>261</v>
      </c>
      <c r="S4241" t="s">
        <v>261</v>
      </c>
      <c r="T4241" t="s">
        <v>261</v>
      </c>
      <c r="U4241" t="s">
        <v>261</v>
      </c>
      <c r="V4241" t="s">
        <v>262</v>
      </c>
      <c r="W4241" t="s">
        <v>261</v>
      </c>
      <c r="X4241" t="s">
        <v>261</v>
      </c>
      <c r="Y4241" t="s">
        <v>261</v>
      </c>
      <c r="Z4241" t="s">
        <v>409</v>
      </c>
      <c r="AA4241" t="s">
        <v>409</v>
      </c>
      <c r="AB4241" t="s">
        <v>409</v>
      </c>
      <c r="AC4241" t="s">
        <v>409</v>
      </c>
      <c r="AD4241" t="s">
        <v>261</v>
      </c>
      <c r="AH4241" t="s">
        <v>262</v>
      </c>
      <c r="AI4241" t="s">
        <v>262</v>
      </c>
      <c r="AJ4241" t="s">
        <v>261</v>
      </c>
      <c r="AK4241" t="s">
        <v>261</v>
      </c>
      <c r="AM4241" t="s">
        <v>262</v>
      </c>
      <c r="AN4241" t="s">
        <v>11482</v>
      </c>
    </row>
    <row r="4242" spans="1:40" x14ac:dyDescent="0.35">
      <c r="A4242">
        <v>7015184</v>
      </c>
      <c r="B4242" t="s">
        <v>11483</v>
      </c>
      <c r="C4242" t="str">
        <f>""</f>
        <v/>
      </c>
      <c r="D4242" t="str">
        <f>"9783111698212"</f>
        <v>9783111698212</v>
      </c>
      <c r="E4242" t="s">
        <v>346</v>
      </c>
      <c r="F4242" t="s">
        <v>2637</v>
      </c>
      <c r="G4242" t="s">
        <v>11484</v>
      </c>
      <c r="H4242" s="1">
        <v>44726</v>
      </c>
      <c r="I4242" t="s">
        <v>189</v>
      </c>
      <c r="J4242">
        <v>1</v>
      </c>
      <c r="L4242" t="s">
        <v>11485</v>
      </c>
      <c r="M4242" t="s">
        <v>676</v>
      </c>
    </row>
    <row r="4243" spans="1:40" x14ac:dyDescent="0.35">
      <c r="A4243">
        <v>7015185</v>
      </c>
      <c r="B4243" t="s">
        <v>11486</v>
      </c>
      <c r="C4243" t="str">
        <f>""</f>
        <v/>
      </c>
      <c r="D4243" t="str">
        <f>"9783111646213"</f>
        <v>9783111646213</v>
      </c>
      <c r="E4243" t="s">
        <v>415</v>
      </c>
      <c r="F4243" t="s">
        <v>415</v>
      </c>
      <c r="G4243" s="1">
        <v>6301</v>
      </c>
      <c r="H4243" s="1">
        <v>44726</v>
      </c>
      <c r="I4243" t="s">
        <v>189</v>
      </c>
      <c r="J4243">
        <v>1</v>
      </c>
      <c r="L4243" t="s">
        <v>11487</v>
      </c>
    </row>
    <row r="4244" spans="1:40" x14ac:dyDescent="0.35">
      <c r="A4244">
        <v>7015186</v>
      </c>
      <c r="B4244" t="s">
        <v>11488</v>
      </c>
      <c r="C4244" t="str">
        <f>""</f>
        <v/>
      </c>
      <c r="D4244" t="str">
        <f>"9783110622652"</f>
        <v>9783110622652</v>
      </c>
      <c r="E4244" t="s">
        <v>415</v>
      </c>
      <c r="F4244" t="s">
        <v>415</v>
      </c>
      <c r="G4244" s="1">
        <v>36661</v>
      </c>
      <c r="H4244" s="1">
        <v>44726</v>
      </c>
      <c r="I4244" t="s">
        <v>189</v>
      </c>
      <c r="J4244">
        <v>1</v>
      </c>
      <c r="K4244" t="s">
        <v>10673</v>
      </c>
      <c r="L4244" t="s">
        <v>11489</v>
      </c>
      <c r="M4244" t="s">
        <v>676</v>
      </c>
      <c r="Q4244" t="s">
        <v>408</v>
      </c>
      <c r="R4244" t="s">
        <v>261</v>
      </c>
      <c r="S4244" t="s">
        <v>261</v>
      </c>
      <c r="T4244" t="s">
        <v>261</v>
      </c>
      <c r="U4244" t="s">
        <v>261</v>
      </c>
      <c r="V4244" t="s">
        <v>262</v>
      </c>
      <c r="W4244" t="s">
        <v>261</v>
      </c>
      <c r="X4244" t="s">
        <v>261</v>
      </c>
      <c r="Y4244" t="s">
        <v>261</v>
      </c>
      <c r="Z4244" t="s">
        <v>409</v>
      </c>
      <c r="AA4244" t="s">
        <v>409</v>
      </c>
      <c r="AB4244" t="s">
        <v>409</v>
      </c>
      <c r="AC4244" t="s">
        <v>409</v>
      </c>
      <c r="AD4244" t="s">
        <v>261</v>
      </c>
      <c r="AH4244" t="s">
        <v>262</v>
      </c>
      <c r="AI4244" t="s">
        <v>262</v>
      </c>
      <c r="AJ4244" t="s">
        <v>261</v>
      </c>
      <c r="AK4244" t="s">
        <v>261</v>
      </c>
      <c r="AM4244" t="s">
        <v>262</v>
      </c>
      <c r="AN4244" t="s">
        <v>11490</v>
      </c>
    </row>
    <row r="4245" spans="1:40" x14ac:dyDescent="0.35">
      <c r="A4245">
        <v>7015187</v>
      </c>
      <c r="B4245" t="s">
        <v>11491</v>
      </c>
      <c r="C4245" t="str">
        <f>""</f>
        <v/>
      </c>
      <c r="D4245" t="str">
        <f>"9783110590647"</f>
        <v>9783110590647</v>
      </c>
      <c r="E4245" t="s">
        <v>415</v>
      </c>
      <c r="F4245" t="s">
        <v>415</v>
      </c>
      <c r="G4245" s="1">
        <v>44522</v>
      </c>
      <c r="H4245" s="1">
        <v>44726</v>
      </c>
      <c r="I4245" t="s">
        <v>189</v>
      </c>
      <c r="J4245">
        <v>1</v>
      </c>
      <c r="K4245" t="s">
        <v>3931</v>
      </c>
      <c r="L4245" t="s">
        <v>10698</v>
      </c>
    </row>
    <row r="4246" spans="1:40" x14ac:dyDescent="0.35">
      <c r="A4246">
        <v>7015188</v>
      </c>
      <c r="B4246" t="s">
        <v>11492</v>
      </c>
      <c r="C4246" t="str">
        <f>""</f>
        <v/>
      </c>
      <c r="D4246" t="str">
        <f>"9783111485133"</f>
        <v>9783111485133</v>
      </c>
      <c r="E4246" t="s">
        <v>415</v>
      </c>
      <c r="F4246" t="s">
        <v>415</v>
      </c>
      <c r="G4246" t="s">
        <v>11493</v>
      </c>
      <c r="H4246" s="1">
        <v>44726</v>
      </c>
      <c r="I4246" t="s">
        <v>189</v>
      </c>
      <c r="J4246">
        <v>1</v>
      </c>
      <c r="L4246" t="s">
        <v>11494</v>
      </c>
      <c r="M4246" t="s">
        <v>239</v>
      </c>
      <c r="Q4246" t="s">
        <v>408</v>
      </c>
      <c r="R4246" t="s">
        <v>261</v>
      </c>
      <c r="S4246" t="s">
        <v>261</v>
      </c>
      <c r="T4246" t="s">
        <v>261</v>
      </c>
      <c r="U4246" t="s">
        <v>261</v>
      </c>
      <c r="V4246" t="s">
        <v>262</v>
      </c>
      <c r="W4246" t="s">
        <v>261</v>
      </c>
      <c r="X4246" t="s">
        <v>261</v>
      </c>
      <c r="Y4246" t="s">
        <v>261</v>
      </c>
      <c r="Z4246" t="s">
        <v>409</v>
      </c>
      <c r="AA4246" t="s">
        <v>409</v>
      </c>
      <c r="AB4246" t="s">
        <v>409</v>
      </c>
      <c r="AC4246" t="s">
        <v>409</v>
      </c>
      <c r="AD4246" t="s">
        <v>261</v>
      </c>
      <c r="AH4246" t="s">
        <v>262</v>
      </c>
      <c r="AI4246" t="s">
        <v>262</v>
      </c>
      <c r="AJ4246" t="s">
        <v>261</v>
      </c>
      <c r="AK4246" t="s">
        <v>261</v>
      </c>
      <c r="AM4246" t="s">
        <v>262</v>
      </c>
      <c r="AN4246" t="s">
        <v>11495</v>
      </c>
    </row>
    <row r="4247" spans="1:40" x14ac:dyDescent="0.35">
      <c r="A4247">
        <v>7015189</v>
      </c>
      <c r="B4247" t="s">
        <v>11496</v>
      </c>
      <c r="C4247" t="str">
        <f>""</f>
        <v/>
      </c>
      <c r="D4247" t="str">
        <f>"9783110725612"</f>
        <v>9783110725612</v>
      </c>
      <c r="E4247" t="s">
        <v>415</v>
      </c>
      <c r="F4247" t="s">
        <v>415</v>
      </c>
      <c r="G4247" s="1">
        <v>44396</v>
      </c>
      <c r="H4247" s="1">
        <v>44726</v>
      </c>
      <c r="I4247" t="s">
        <v>189</v>
      </c>
      <c r="J4247">
        <v>1</v>
      </c>
      <c r="K4247" t="s">
        <v>354</v>
      </c>
      <c r="L4247" t="s">
        <v>11497</v>
      </c>
    </row>
    <row r="4248" spans="1:40" x14ac:dyDescent="0.35">
      <c r="A4248">
        <v>7015190</v>
      </c>
      <c r="B4248" t="s">
        <v>11498</v>
      </c>
      <c r="C4248" t="str">
        <f>""</f>
        <v/>
      </c>
      <c r="D4248" t="str">
        <f>"9783110657807"</f>
        <v>9783110657807</v>
      </c>
      <c r="E4248" t="s">
        <v>415</v>
      </c>
      <c r="F4248" t="s">
        <v>416</v>
      </c>
      <c r="G4248" s="1">
        <v>44214</v>
      </c>
      <c r="H4248" s="1">
        <v>44726</v>
      </c>
      <c r="I4248" t="s">
        <v>189</v>
      </c>
      <c r="J4248">
        <v>1</v>
      </c>
      <c r="K4248" t="s">
        <v>11499</v>
      </c>
      <c r="L4248" t="s">
        <v>11500</v>
      </c>
    </row>
    <row r="4249" spans="1:40" x14ac:dyDescent="0.35">
      <c r="A4249">
        <v>7015191</v>
      </c>
      <c r="B4249" t="s">
        <v>11501</v>
      </c>
      <c r="C4249" t="str">
        <f>"9783486558982"</f>
        <v>9783486558982</v>
      </c>
      <c r="D4249" t="str">
        <f>"9783486594201"</f>
        <v>9783486594201</v>
      </c>
      <c r="E4249" t="s">
        <v>415</v>
      </c>
      <c r="F4249" t="s">
        <v>665</v>
      </c>
      <c r="G4249" s="1">
        <v>33687</v>
      </c>
      <c r="H4249" s="1">
        <v>44726</v>
      </c>
      <c r="I4249" t="s">
        <v>189</v>
      </c>
      <c r="J4249">
        <v>1</v>
      </c>
      <c r="K4249" t="s">
        <v>1387</v>
      </c>
      <c r="L4249" t="s">
        <v>11502</v>
      </c>
    </row>
    <row r="4250" spans="1:40" x14ac:dyDescent="0.35">
      <c r="A4250">
        <v>7015192</v>
      </c>
      <c r="B4250" t="s">
        <v>11503</v>
      </c>
      <c r="C4250" t="str">
        <f>""</f>
        <v/>
      </c>
      <c r="D4250" t="str">
        <f>"9783110709872"</f>
        <v>9783110709872</v>
      </c>
      <c r="E4250" t="s">
        <v>415</v>
      </c>
      <c r="F4250" t="s">
        <v>415</v>
      </c>
      <c r="G4250" s="1">
        <v>44095</v>
      </c>
      <c r="H4250" s="1">
        <v>44726</v>
      </c>
      <c r="I4250" t="s">
        <v>189</v>
      </c>
      <c r="J4250">
        <v>1</v>
      </c>
      <c r="K4250" t="s">
        <v>564</v>
      </c>
      <c r="L4250" t="s">
        <v>11504</v>
      </c>
      <c r="M4250" t="s">
        <v>316</v>
      </c>
      <c r="Q4250" t="s">
        <v>408</v>
      </c>
      <c r="R4250" t="s">
        <v>261</v>
      </c>
      <c r="S4250" t="s">
        <v>261</v>
      </c>
      <c r="T4250" t="s">
        <v>261</v>
      </c>
      <c r="U4250" t="s">
        <v>261</v>
      </c>
      <c r="V4250" t="s">
        <v>262</v>
      </c>
      <c r="W4250" t="s">
        <v>261</v>
      </c>
      <c r="X4250" t="s">
        <v>261</v>
      </c>
      <c r="Y4250" t="s">
        <v>261</v>
      </c>
      <c r="Z4250" t="s">
        <v>409</v>
      </c>
      <c r="AA4250" t="s">
        <v>409</v>
      </c>
      <c r="AB4250" t="s">
        <v>409</v>
      </c>
      <c r="AC4250" t="s">
        <v>409</v>
      </c>
      <c r="AD4250" t="s">
        <v>261</v>
      </c>
      <c r="AH4250" t="s">
        <v>262</v>
      </c>
      <c r="AI4250" t="s">
        <v>262</v>
      </c>
      <c r="AJ4250" t="s">
        <v>261</v>
      </c>
      <c r="AK4250" t="s">
        <v>261</v>
      </c>
      <c r="AM4250" t="s">
        <v>262</v>
      </c>
      <c r="AN4250" t="s">
        <v>11505</v>
      </c>
    </row>
    <row r="4251" spans="1:40" x14ac:dyDescent="0.35">
      <c r="A4251">
        <v>7015193</v>
      </c>
      <c r="B4251" t="s">
        <v>11506</v>
      </c>
      <c r="C4251" t="str">
        <f>""</f>
        <v/>
      </c>
      <c r="D4251" t="str">
        <f>"9783110720105"</f>
        <v>9783110720105</v>
      </c>
      <c r="E4251" t="s">
        <v>415</v>
      </c>
      <c r="F4251" t="s">
        <v>6576</v>
      </c>
      <c r="G4251" s="1">
        <v>44384</v>
      </c>
      <c r="H4251" s="1">
        <v>44726</v>
      </c>
      <c r="I4251" t="s">
        <v>189</v>
      </c>
      <c r="J4251">
        <v>1</v>
      </c>
      <c r="L4251" t="s">
        <v>11507</v>
      </c>
      <c r="M4251" t="s">
        <v>339</v>
      </c>
      <c r="Q4251" t="s">
        <v>260</v>
      </c>
      <c r="R4251" t="s">
        <v>261</v>
      </c>
      <c r="S4251" t="s">
        <v>261</v>
      </c>
      <c r="T4251" t="s">
        <v>261</v>
      </c>
      <c r="U4251" t="s">
        <v>261</v>
      </c>
      <c r="V4251" t="s">
        <v>262</v>
      </c>
      <c r="W4251" t="s">
        <v>261</v>
      </c>
      <c r="X4251" t="s">
        <v>261</v>
      </c>
      <c r="Y4251" t="s">
        <v>261</v>
      </c>
      <c r="Z4251" t="s">
        <v>409</v>
      </c>
      <c r="AA4251" t="s">
        <v>409</v>
      </c>
      <c r="AB4251" t="s">
        <v>409</v>
      </c>
      <c r="AC4251" t="s">
        <v>409</v>
      </c>
      <c r="AD4251" t="s">
        <v>261</v>
      </c>
      <c r="AH4251" t="s">
        <v>262</v>
      </c>
      <c r="AI4251" t="s">
        <v>262</v>
      </c>
      <c r="AJ4251" t="s">
        <v>261</v>
      </c>
      <c r="AK4251" t="s">
        <v>261</v>
      </c>
      <c r="AM4251" t="s">
        <v>262</v>
      </c>
      <c r="AN4251" t="s">
        <v>11508</v>
      </c>
    </row>
    <row r="4252" spans="1:40" x14ac:dyDescent="0.35">
      <c r="A4252">
        <v>7015194</v>
      </c>
      <c r="B4252" t="s">
        <v>11509</v>
      </c>
      <c r="C4252" t="str">
        <f>"9783110567809"</f>
        <v>9783110567809</v>
      </c>
      <c r="D4252" t="str">
        <f>"9783110569070"</f>
        <v>9783110569070</v>
      </c>
      <c r="E4252" t="s">
        <v>415</v>
      </c>
      <c r="F4252" t="s">
        <v>415</v>
      </c>
      <c r="G4252" s="1">
        <v>43423</v>
      </c>
      <c r="H4252" s="1">
        <v>44726</v>
      </c>
      <c r="I4252" t="s">
        <v>189</v>
      </c>
      <c r="J4252">
        <v>1</v>
      </c>
      <c r="L4252" t="s">
        <v>11510</v>
      </c>
      <c r="M4252" t="s">
        <v>535</v>
      </c>
    </row>
    <row r="4253" spans="1:40" x14ac:dyDescent="0.35">
      <c r="A4253">
        <v>7015195</v>
      </c>
      <c r="B4253" t="s">
        <v>11511</v>
      </c>
      <c r="C4253" t="str">
        <f>""</f>
        <v/>
      </c>
      <c r="D4253" t="str">
        <f>"9783110446593"</f>
        <v>9783110446593</v>
      </c>
      <c r="E4253" t="s">
        <v>415</v>
      </c>
      <c r="F4253" t="s">
        <v>665</v>
      </c>
      <c r="G4253" s="1">
        <v>34669</v>
      </c>
      <c r="H4253" s="1">
        <v>44726</v>
      </c>
      <c r="I4253" t="s">
        <v>189</v>
      </c>
      <c r="J4253">
        <v>1</v>
      </c>
      <c r="K4253" t="s">
        <v>1387</v>
      </c>
      <c r="L4253" t="s">
        <v>11512</v>
      </c>
    </row>
    <row r="4254" spans="1:40" x14ac:dyDescent="0.35">
      <c r="A4254">
        <v>7015196</v>
      </c>
      <c r="B4254" t="s">
        <v>11513</v>
      </c>
      <c r="C4254" t="str">
        <f>""</f>
        <v/>
      </c>
      <c r="D4254" t="str">
        <f>"9783110716016"</f>
        <v>9783110716016</v>
      </c>
      <c r="E4254" t="s">
        <v>415</v>
      </c>
      <c r="F4254" t="s">
        <v>415</v>
      </c>
      <c r="G4254" s="1">
        <v>44410</v>
      </c>
      <c r="H4254" s="1">
        <v>44726</v>
      </c>
      <c r="I4254" t="s">
        <v>189</v>
      </c>
      <c r="J4254">
        <v>1</v>
      </c>
      <c r="L4254" t="s">
        <v>11514</v>
      </c>
    </row>
    <row r="4255" spans="1:40" x14ac:dyDescent="0.35">
      <c r="A4255">
        <v>7015197</v>
      </c>
      <c r="B4255" t="s">
        <v>11515</v>
      </c>
      <c r="C4255" t="str">
        <f>""</f>
        <v/>
      </c>
      <c r="D4255" t="str">
        <f>"9783110744767"</f>
        <v>9783110744767</v>
      </c>
      <c r="E4255" t="s">
        <v>415</v>
      </c>
      <c r="F4255" t="s">
        <v>415</v>
      </c>
      <c r="G4255" s="1">
        <v>44459</v>
      </c>
      <c r="H4255" s="1">
        <v>44726</v>
      </c>
      <c r="I4255" t="s">
        <v>189</v>
      </c>
      <c r="J4255">
        <v>1</v>
      </c>
      <c r="L4255" t="s">
        <v>11516</v>
      </c>
    </row>
    <row r="4256" spans="1:40" x14ac:dyDescent="0.35">
      <c r="A4256">
        <v>7015198</v>
      </c>
      <c r="B4256" t="s">
        <v>11517</v>
      </c>
      <c r="C4256" t="str">
        <f>""</f>
        <v/>
      </c>
      <c r="D4256" t="str">
        <f>"9783110727845"</f>
        <v>9783110727845</v>
      </c>
      <c r="E4256" t="s">
        <v>415</v>
      </c>
      <c r="F4256" t="s">
        <v>415</v>
      </c>
      <c r="G4256" s="1">
        <v>44446</v>
      </c>
      <c r="H4256" s="1">
        <v>44726</v>
      </c>
      <c r="I4256" t="s">
        <v>189</v>
      </c>
      <c r="J4256">
        <v>1</v>
      </c>
      <c r="K4256" t="s">
        <v>3243</v>
      </c>
      <c r="L4256" t="s">
        <v>11518</v>
      </c>
      <c r="M4256" t="s">
        <v>676</v>
      </c>
    </row>
    <row r="4257" spans="1:40" x14ac:dyDescent="0.35">
      <c r="A4257">
        <v>7015199</v>
      </c>
      <c r="B4257" t="s">
        <v>11519</v>
      </c>
      <c r="C4257" t="str">
        <f>""</f>
        <v/>
      </c>
      <c r="D4257" t="str">
        <f>"9783111600765"</f>
        <v>9783111600765</v>
      </c>
      <c r="E4257" t="s">
        <v>415</v>
      </c>
      <c r="F4257" t="s">
        <v>415</v>
      </c>
      <c r="G4257" s="1">
        <v>6666</v>
      </c>
      <c r="H4257" s="1">
        <v>44726</v>
      </c>
      <c r="I4257" t="s">
        <v>189</v>
      </c>
      <c r="J4257">
        <v>1</v>
      </c>
      <c r="K4257" t="s">
        <v>11520</v>
      </c>
      <c r="L4257" t="s">
        <v>11521</v>
      </c>
      <c r="M4257" t="s">
        <v>316</v>
      </c>
      <c r="Q4257" t="s">
        <v>408</v>
      </c>
      <c r="R4257" t="s">
        <v>261</v>
      </c>
      <c r="S4257" t="s">
        <v>261</v>
      </c>
      <c r="T4257" t="s">
        <v>261</v>
      </c>
      <c r="U4257" t="s">
        <v>261</v>
      </c>
      <c r="V4257" t="s">
        <v>262</v>
      </c>
      <c r="W4257" t="s">
        <v>261</v>
      </c>
      <c r="X4257" t="s">
        <v>261</v>
      </c>
      <c r="Y4257" t="s">
        <v>261</v>
      </c>
      <c r="Z4257" t="s">
        <v>409</v>
      </c>
      <c r="AA4257" t="s">
        <v>409</v>
      </c>
      <c r="AB4257" t="s">
        <v>409</v>
      </c>
      <c r="AC4257" t="s">
        <v>409</v>
      </c>
      <c r="AD4257" t="s">
        <v>261</v>
      </c>
      <c r="AH4257" t="s">
        <v>262</v>
      </c>
      <c r="AI4257" t="s">
        <v>262</v>
      </c>
      <c r="AJ4257" t="s">
        <v>261</v>
      </c>
      <c r="AK4257" t="s">
        <v>261</v>
      </c>
      <c r="AM4257" t="s">
        <v>262</v>
      </c>
      <c r="AN4257" t="s">
        <v>11522</v>
      </c>
    </row>
    <row r="4258" spans="1:40" x14ac:dyDescent="0.35">
      <c r="A4258">
        <v>7015200</v>
      </c>
      <c r="B4258" t="s">
        <v>11523</v>
      </c>
      <c r="C4258" t="str">
        <f>""</f>
        <v/>
      </c>
      <c r="D4258" t="str">
        <f>"9783110720068"</f>
        <v>9783110720068</v>
      </c>
      <c r="E4258" t="s">
        <v>415</v>
      </c>
      <c r="F4258" t="s">
        <v>6576</v>
      </c>
      <c r="G4258" s="1">
        <v>44277</v>
      </c>
      <c r="H4258" s="1">
        <v>44726</v>
      </c>
      <c r="I4258" t="s">
        <v>189</v>
      </c>
      <c r="J4258">
        <v>1</v>
      </c>
      <c r="K4258" t="s">
        <v>11524</v>
      </c>
      <c r="L4258" t="s">
        <v>11525</v>
      </c>
    </row>
    <row r="4259" spans="1:40" x14ac:dyDescent="0.35">
      <c r="A4259">
        <v>7015201</v>
      </c>
      <c r="B4259" t="s">
        <v>11526</v>
      </c>
      <c r="C4259" t="str">
        <f>""</f>
        <v/>
      </c>
      <c r="D4259" t="str">
        <f>"9783110720365"</f>
        <v>9783110720365</v>
      </c>
      <c r="E4259" t="s">
        <v>415</v>
      </c>
      <c r="F4259" t="s">
        <v>6576</v>
      </c>
      <c r="G4259" s="1">
        <v>43220</v>
      </c>
      <c r="H4259" s="1">
        <v>44726</v>
      </c>
      <c r="I4259" t="s">
        <v>189</v>
      </c>
      <c r="J4259">
        <v>1</v>
      </c>
      <c r="K4259" t="s">
        <v>10678</v>
      </c>
      <c r="L4259" t="s">
        <v>11527</v>
      </c>
      <c r="M4259" t="s">
        <v>676</v>
      </c>
      <c r="Q4259" t="s">
        <v>260</v>
      </c>
      <c r="R4259" t="s">
        <v>261</v>
      </c>
      <c r="S4259" t="s">
        <v>261</v>
      </c>
      <c r="T4259" t="s">
        <v>261</v>
      </c>
      <c r="U4259" t="s">
        <v>261</v>
      </c>
      <c r="V4259" t="s">
        <v>262</v>
      </c>
      <c r="W4259" t="s">
        <v>261</v>
      </c>
      <c r="X4259" t="s">
        <v>261</v>
      </c>
      <c r="Y4259" t="s">
        <v>261</v>
      </c>
      <c r="Z4259" t="s">
        <v>409</v>
      </c>
      <c r="AA4259" t="s">
        <v>409</v>
      </c>
      <c r="AB4259" t="s">
        <v>409</v>
      </c>
      <c r="AC4259" t="s">
        <v>409</v>
      </c>
      <c r="AD4259" t="s">
        <v>261</v>
      </c>
      <c r="AH4259" t="s">
        <v>262</v>
      </c>
      <c r="AI4259" t="s">
        <v>262</v>
      </c>
      <c r="AJ4259" t="s">
        <v>261</v>
      </c>
      <c r="AK4259" t="s">
        <v>261</v>
      </c>
      <c r="AM4259" t="s">
        <v>262</v>
      </c>
      <c r="AN4259" t="s">
        <v>11528</v>
      </c>
    </row>
    <row r="4260" spans="1:40" x14ac:dyDescent="0.35">
      <c r="A4260">
        <v>7015202</v>
      </c>
      <c r="B4260" t="s">
        <v>11529</v>
      </c>
      <c r="C4260" t="str">
        <f>""</f>
        <v/>
      </c>
      <c r="D4260" t="str">
        <f>"9783110712568"</f>
        <v>9783110712568</v>
      </c>
      <c r="E4260" t="s">
        <v>415</v>
      </c>
      <c r="F4260" t="s">
        <v>415</v>
      </c>
      <c r="G4260" s="1">
        <v>44431</v>
      </c>
      <c r="H4260" s="1">
        <v>44726</v>
      </c>
      <c r="I4260" t="s">
        <v>189</v>
      </c>
      <c r="J4260">
        <v>1</v>
      </c>
      <c r="L4260" t="s">
        <v>11530</v>
      </c>
    </row>
    <row r="4261" spans="1:40" x14ac:dyDescent="0.35">
      <c r="A4261">
        <v>7015203</v>
      </c>
      <c r="B4261" t="s">
        <v>11531</v>
      </c>
      <c r="C4261" t="str">
        <f>""</f>
        <v/>
      </c>
      <c r="D4261" t="str">
        <f>"9783035622164"</f>
        <v>9783035622164</v>
      </c>
      <c r="E4261" t="s">
        <v>415</v>
      </c>
      <c r="F4261" t="s">
        <v>1107</v>
      </c>
      <c r="G4261" s="1">
        <v>44130</v>
      </c>
      <c r="H4261" s="1">
        <v>44726</v>
      </c>
      <c r="I4261" t="s">
        <v>189</v>
      </c>
      <c r="J4261">
        <v>1</v>
      </c>
      <c r="K4261" t="s">
        <v>6740</v>
      </c>
      <c r="L4261" t="s">
        <v>11532</v>
      </c>
    </row>
    <row r="4262" spans="1:40" x14ac:dyDescent="0.35">
      <c r="A4262">
        <v>7015204</v>
      </c>
      <c r="B4262" t="s">
        <v>11533</v>
      </c>
      <c r="C4262" t="str">
        <f>""</f>
        <v/>
      </c>
      <c r="D4262" t="str">
        <f>"9783110742503"</f>
        <v>9783110742503</v>
      </c>
      <c r="E4262" t="s">
        <v>415</v>
      </c>
      <c r="F4262" t="s">
        <v>415</v>
      </c>
      <c r="G4262" s="1">
        <v>44326</v>
      </c>
      <c r="H4262" s="1">
        <v>44726</v>
      </c>
      <c r="I4262" t="s">
        <v>189</v>
      </c>
      <c r="J4262">
        <v>1</v>
      </c>
      <c r="K4262" t="s">
        <v>3050</v>
      </c>
      <c r="L4262" t="s">
        <v>3051</v>
      </c>
    </row>
    <row r="4263" spans="1:40" x14ac:dyDescent="0.35">
      <c r="A4263">
        <v>7015205</v>
      </c>
      <c r="B4263" t="s">
        <v>11534</v>
      </c>
      <c r="C4263" t="str">
        <f>""</f>
        <v/>
      </c>
      <c r="D4263" t="str">
        <f>"9783110713626"</f>
        <v>9783110713626</v>
      </c>
      <c r="E4263" t="s">
        <v>415</v>
      </c>
      <c r="F4263" t="s">
        <v>415</v>
      </c>
      <c r="G4263" s="1">
        <v>44536</v>
      </c>
      <c r="H4263" s="1">
        <v>44726</v>
      </c>
      <c r="I4263" t="s">
        <v>189</v>
      </c>
      <c r="J4263">
        <v>1</v>
      </c>
      <c r="K4263" t="s">
        <v>3890</v>
      </c>
      <c r="L4263" t="s">
        <v>11535</v>
      </c>
    </row>
    <row r="4264" spans="1:40" x14ac:dyDescent="0.35">
      <c r="A4264">
        <v>7015206</v>
      </c>
      <c r="B4264" t="s">
        <v>11536</v>
      </c>
      <c r="C4264" t="str">
        <f>""</f>
        <v/>
      </c>
      <c r="D4264" t="str">
        <f>"9783110747003"</f>
        <v>9783110747003</v>
      </c>
      <c r="E4264" t="s">
        <v>415</v>
      </c>
      <c r="F4264" t="s">
        <v>415</v>
      </c>
      <c r="G4264" s="1">
        <v>44473</v>
      </c>
      <c r="H4264" s="1">
        <v>44726</v>
      </c>
      <c r="I4264" t="s">
        <v>189</v>
      </c>
      <c r="J4264">
        <v>1</v>
      </c>
      <c r="K4264" t="s">
        <v>354</v>
      </c>
      <c r="L4264" t="s">
        <v>11537</v>
      </c>
      <c r="M4264" t="s">
        <v>239</v>
      </c>
    </row>
    <row r="4265" spans="1:40" x14ac:dyDescent="0.35">
      <c r="A4265">
        <v>7015207</v>
      </c>
      <c r="B4265" t="s">
        <v>11538</v>
      </c>
      <c r="C4265" t="str">
        <f>"9783110568776"</f>
        <v>9783110568776</v>
      </c>
      <c r="D4265" t="str">
        <f>"9783110569636"</f>
        <v>9783110569636</v>
      </c>
      <c r="E4265" t="s">
        <v>415</v>
      </c>
      <c r="F4265" t="s">
        <v>415</v>
      </c>
      <c r="G4265" s="1">
        <v>44508</v>
      </c>
      <c r="H4265" s="1">
        <v>44726</v>
      </c>
      <c r="I4265" t="s">
        <v>189</v>
      </c>
      <c r="J4265">
        <v>1</v>
      </c>
      <c r="L4265" t="s">
        <v>11539</v>
      </c>
      <c r="M4265" t="s">
        <v>847</v>
      </c>
    </row>
    <row r="4266" spans="1:40" x14ac:dyDescent="0.35">
      <c r="A4266">
        <v>7015208</v>
      </c>
      <c r="B4266" t="s">
        <v>11540</v>
      </c>
      <c r="C4266" t="str">
        <f>""</f>
        <v/>
      </c>
      <c r="D4266" t="str">
        <f>"9783111506234"</f>
        <v>9783111506234</v>
      </c>
      <c r="E4266" t="s">
        <v>415</v>
      </c>
      <c r="F4266" t="s">
        <v>415</v>
      </c>
      <c r="G4266" s="1">
        <v>18719</v>
      </c>
      <c r="H4266" s="1">
        <v>44726</v>
      </c>
      <c r="I4266" t="s">
        <v>189</v>
      </c>
      <c r="J4266">
        <v>1</v>
      </c>
      <c r="L4266" t="s">
        <v>11541</v>
      </c>
      <c r="M4266" t="s">
        <v>239</v>
      </c>
      <c r="Q4266" t="s">
        <v>408</v>
      </c>
      <c r="R4266" t="s">
        <v>261</v>
      </c>
      <c r="S4266" t="s">
        <v>261</v>
      </c>
      <c r="T4266" t="s">
        <v>261</v>
      </c>
      <c r="U4266" t="s">
        <v>261</v>
      </c>
      <c r="V4266" t="s">
        <v>262</v>
      </c>
      <c r="W4266" t="s">
        <v>261</v>
      </c>
      <c r="X4266" t="s">
        <v>261</v>
      </c>
      <c r="Y4266" t="s">
        <v>261</v>
      </c>
      <c r="Z4266" t="s">
        <v>409</v>
      </c>
      <c r="AA4266" t="s">
        <v>409</v>
      </c>
      <c r="AB4266" t="s">
        <v>409</v>
      </c>
      <c r="AC4266" t="s">
        <v>409</v>
      </c>
      <c r="AD4266" t="s">
        <v>261</v>
      </c>
      <c r="AH4266" t="s">
        <v>262</v>
      </c>
      <c r="AI4266" t="s">
        <v>262</v>
      </c>
      <c r="AJ4266" t="s">
        <v>261</v>
      </c>
      <c r="AK4266" t="s">
        <v>261</v>
      </c>
      <c r="AM4266" t="s">
        <v>262</v>
      </c>
      <c r="AN4266" t="s">
        <v>11542</v>
      </c>
    </row>
    <row r="4267" spans="1:40" x14ac:dyDescent="0.35">
      <c r="A4267">
        <v>7015209</v>
      </c>
      <c r="B4267" t="s">
        <v>11543</v>
      </c>
      <c r="C4267" t="str">
        <f>"9783110617825"</f>
        <v>9783110617825</v>
      </c>
      <c r="D4267" t="str">
        <f>"9783110617832"</f>
        <v>9783110617832</v>
      </c>
      <c r="E4267" t="s">
        <v>415</v>
      </c>
      <c r="F4267" t="s">
        <v>3134</v>
      </c>
      <c r="G4267" s="1">
        <v>43311</v>
      </c>
      <c r="H4267" s="1">
        <v>44726</v>
      </c>
      <c r="I4267" t="s">
        <v>189</v>
      </c>
      <c r="J4267">
        <v>1</v>
      </c>
      <c r="L4267" t="s">
        <v>11544</v>
      </c>
    </row>
    <row r="4268" spans="1:40" x14ac:dyDescent="0.35">
      <c r="A4268">
        <v>7015210</v>
      </c>
      <c r="B4268" t="s">
        <v>11545</v>
      </c>
      <c r="C4268" t="str">
        <f>""</f>
        <v/>
      </c>
      <c r="D4268" t="str">
        <f>"9783110680744"</f>
        <v>9783110680744</v>
      </c>
      <c r="E4268" t="s">
        <v>346</v>
      </c>
      <c r="F4268" t="s">
        <v>2637</v>
      </c>
      <c r="G4268" s="1">
        <v>44116</v>
      </c>
      <c r="H4268" s="1">
        <v>44726</v>
      </c>
      <c r="I4268" t="s">
        <v>189</v>
      </c>
      <c r="J4268">
        <v>1</v>
      </c>
      <c r="K4268" t="s">
        <v>10547</v>
      </c>
      <c r="L4268" t="s">
        <v>11546</v>
      </c>
    </row>
    <row r="4269" spans="1:40" x14ac:dyDescent="0.35">
      <c r="A4269">
        <v>7015211</v>
      </c>
      <c r="B4269" t="s">
        <v>11547</v>
      </c>
      <c r="C4269" t="str">
        <f>""</f>
        <v/>
      </c>
      <c r="D4269" t="str">
        <f>"9783110748383"</f>
        <v>9783110748383</v>
      </c>
      <c r="E4269" t="s">
        <v>415</v>
      </c>
      <c r="F4269" t="s">
        <v>415</v>
      </c>
      <c r="G4269" s="1">
        <v>44536</v>
      </c>
      <c r="H4269" s="1">
        <v>44726</v>
      </c>
      <c r="I4269" t="s">
        <v>189</v>
      </c>
      <c r="J4269">
        <v>1</v>
      </c>
      <c r="L4269" t="s">
        <v>3253</v>
      </c>
      <c r="M4269" t="s">
        <v>219</v>
      </c>
      <c r="O4269" s="2">
        <v>860998</v>
      </c>
      <c r="Q4269" t="s">
        <v>260</v>
      </c>
      <c r="R4269" t="s">
        <v>261</v>
      </c>
      <c r="S4269" t="s">
        <v>261</v>
      </c>
      <c r="T4269" t="s">
        <v>261</v>
      </c>
      <c r="U4269" t="s">
        <v>261</v>
      </c>
      <c r="V4269" t="s">
        <v>262</v>
      </c>
      <c r="W4269" t="s">
        <v>261</v>
      </c>
      <c r="X4269" t="s">
        <v>261</v>
      </c>
      <c r="Y4269" t="s">
        <v>261</v>
      </c>
      <c r="Z4269" t="s">
        <v>409</v>
      </c>
      <c r="AA4269" t="s">
        <v>409</v>
      </c>
      <c r="AB4269" t="s">
        <v>409</v>
      </c>
      <c r="AC4269" t="s">
        <v>409</v>
      </c>
      <c r="AD4269" t="s">
        <v>261</v>
      </c>
      <c r="AH4269" t="s">
        <v>262</v>
      </c>
      <c r="AI4269" t="s">
        <v>262</v>
      </c>
      <c r="AJ4269" t="s">
        <v>261</v>
      </c>
      <c r="AK4269" t="s">
        <v>261</v>
      </c>
      <c r="AM4269" t="s">
        <v>262</v>
      </c>
      <c r="AN4269" t="s">
        <v>11548</v>
      </c>
    </row>
    <row r="4270" spans="1:40" x14ac:dyDescent="0.35">
      <c r="A4270">
        <v>7015212</v>
      </c>
      <c r="B4270" t="s">
        <v>11549</v>
      </c>
      <c r="C4270" t="str">
        <f>""</f>
        <v/>
      </c>
      <c r="D4270" t="str">
        <f>"9783111599991"</f>
        <v>9783111599991</v>
      </c>
      <c r="E4270" t="s">
        <v>415</v>
      </c>
      <c r="F4270" t="s">
        <v>415</v>
      </c>
      <c r="G4270" t="s">
        <v>10998</v>
      </c>
      <c r="H4270" s="1">
        <v>44726</v>
      </c>
      <c r="I4270" t="s">
        <v>189</v>
      </c>
      <c r="J4270">
        <v>1</v>
      </c>
      <c r="L4270" t="s">
        <v>11550</v>
      </c>
      <c r="M4270" t="s">
        <v>239</v>
      </c>
      <c r="Q4270" t="s">
        <v>408</v>
      </c>
      <c r="R4270" t="s">
        <v>261</v>
      </c>
      <c r="S4270" t="s">
        <v>261</v>
      </c>
      <c r="T4270" t="s">
        <v>261</v>
      </c>
      <c r="U4270" t="s">
        <v>261</v>
      </c>
      <c r="V4270" t="s">
        <v>262</v>
      </c>
      <c r="W4270" t="s">
        <v>261</v>
      </c>
      <c r="X4270" t="s">
        <v>261</v>
      </c>
      <c r="Y4270" t="s">
        <v>261</v>
      </c>
      <c r="Z4270" t="s">
        <v>409</v>
      </c>
      <c r="AA4270" t="s">
        <v>409</v>
      </c>
      <c r="AB4270" t="s">
        <v>409</v>
      </c>
      <c r="AC4270" t="s">
        <v>409</v>
      </c>
      <c r="AD4270" t="s">
        <v>261</v>
      </c>
      <c r="AH4270" t="s">
        <v>262</v>
      </c>
      <c r="AI4270" t="s">
        <v>262</v>
      </c>
      <c r="AJ4270" t="s">
        <v>261</v>
      </c>
      <c r="AK4270" t="s">
        <v>261</v>
      </c>
      <c r="AM4270" t="s">
        <v>262</v>
      </c>
      <c r="AN4270" t="s">
        <v>11551</v>
      </c>
    </row>
    <row r="4271" spans="1:40" x14ac:dyDescent="0.35">
      <c r="A4271">
        <v>7015213</v>
      </c>
      <c r="B4271" t="s">
        <v>11552</v>
      </c>
      <c r="C4271" t="str">
        <f>""</f>
        <v/>
      </c>
      <c r="D4271" t="str">
        <f>"9783110894752"</f>
        <v>9783110894752</v>
      </c>
      <c r="E4271" t="s">
        <v>415</v>
      </c>
      <c r="F4271" t="s">
        <v>415</v>
      </c>
      <c r="G4271" s="1">
        <v>43497</v>
      </c>
      <c r="H4271" s="1">
        <v>44726</v>
      </c>
      <c r="I4271" t="s">
        <v>189</v>
      </c>
      <c r="J4271">
        <v>1</v>
      </c>
      <c r="K4271" t="s">
        <v>10587</v>
      </c>
      <c r="L4271" t="s">
        <v>11553</v>
      </c>
      <c r="M4271" t="s">
        <v>316</v>
      </c>
      <c r="Q4271" t="s">
        <v>408</v>
      </c>
      <c r="R4271" t="s">
        <v>261</v>
      </c>
      <c r="S4271" t="s">
        <v>261</v>
      </c>
      <c r="T4271" t="s">
        <v>261</v>
      </c>
      <c r="U4271" t="s">
        <v>261</v>
      </c>
      <c r="V4271" t="s">
        <v>262</v>
      </c>
      <c r="W4271" t="s">
        <v>261</v>
      </c>
      <c r="X4271" t="s">
        <v>261</v>
      </c>
      <c r="Y4271" t="s">
        <v>261</v>
      </c>
      <c r="Z4271" t="s">
        <v>409</v>
      </c>
      <c r="AA4271" t="s">
        <v>409</v>
      </c>
      <c r="AB4271" t="s">
        <v>409</v>
      </c>
      <c r="AC4271" t="s">
        <v>409</v>
      </c>
      <c r="AD4271" t="s">
        <v>261</v>
      </c>
      <c r="AH4271" t="s">
        <v>262</v>
      </c>
      <c r="AI4271" t="s">
        <v>262</v>
      </c>
      <c r="AJ4271" t="s">
        <v>261</v>
      </c>
      <c r="AK4271" t="s">
        <v>261</v>
      </c>
      <c r="AM4271" t="s">
        <v>262</v>
      </c>
      <c r="AN4271" t="s">
        <v>11554</v>
      </c>
    </row>
    <row r="4272" spans="1:40" x14ac:dyDescent="0.35">
      <c r="A4272">
        <v>7015214</v>
      </c>
      <c r="B4272" t="s">
        <v>11555</v>
      </c>
      <c r="C4272" t="str">
        <f>""</f>
        <v/>
      </c>
      <c r="D4272" t="str">
        <f>"9783110826401"</f>
        <v>9783110826401</v>
      </c>
      <c r="E4272" t="s">
        <v>415</v>
      </c>
      <c r="F4272" t="s">
        <v>415</v>
      </c>
      <c r="G4272" s="1">
        <v>25477</v>
      </c>
      <c r="H4272" s="1">
        <v>44726</v>
      </c>
      <c r="I4272" t="s">
        <v>189</v>
      </c>
      <c r="J4272">
        <v>1</v>
      </c>
      <c r="K4272" t="s">
        <v>11556</v>
      </c>
      <c r="L4272" t="s">
        <v>11557</v>
      </c>
    </row>
    <row r="4273" spans="1:40" x14ac:dyDescent="0.35">
      <c r="A4273">
        <v>7015215</v>
      </c>
      <c r="B4273" t="s">
        <v>11558</v>
      </c>
      <c r="C4273" t="str">
        <f>""</f>
        <v/>
      </c>
      <c r="D4273" t="str">
        <f>"9783111479002"</f>
        <v>9783111479002</v>
      </c>
      <c r="E4273" t="s">
        <v>346</v>
      </c>
      <c r="F4273" t="s">
        <v>2637</v>
      </c>
      <c r="G4273" s="1">
        <v>42497</v>
      </c>
      <c r="H4273" s="1">
        <v>44726</v>
      </c>
      <c r="I4273" t="s">
        <v>189</v>
      </c>
      <c r="J4273">
        <v>1</v>
      </c>
      <c r="L4273" t="s">
        <v>11559</v>
      </c>
      <c r="M4273" t="s">
        <v>676</v>
      </c>
      <c r="Q4273" t="s">
        <v>260</v>
      </c>
      <c r="R4273" t="s">
        <v>261</v>
      </c>
      <c r="S4273" t="s">
        <v>261</v>
      </c>
      <c r="T4273" t="s">
        <v>261</v>
      </c>
      <c r="U4273" t="s">
        <v>261</v>
      </c>
      <c r="V4273" t="s">
        <v>262</v>
      </c>
      <c r="W4273" t="s">
        <v>261</v>
      </c>
      <c r="X4273" t="s">
        <v>261</v>
      </c>
      <c r="Y4273" t="s">
        <v>261</v>
      </c>
      <c r="Z4273" t="s">
        <v>409</v>
      </c>
      <c r="AA4273" t="s">
        <v>409</v>
      </c>
      <c r="AB4273" t="s">
        <v>409</v>
      </c>
      <c r="AC4273" t="s">
        <v>409</v>
      </c>
      <c r="AD4273" t="s">
        <v>261</v>
      </c>
      <c r="AH4273" t="s">
        <v>262</v>
      </c>
      <c r="AI4273" t="s">
        <v>262</v>
      </c>
      <c r="AJ4273" t="s">
        <v>261</v>
      </c>
      <c r="AK4273" t="s">
        <v>261</v>
      </c>
      <c r="AM4273" t="s">
        <v>262</v>
      </c>
      <c r="AN4273" t="s">
        <v>11560</v>
      </c>
    </row>
    <row r="4274" spans="1:40" x14ac:dyDescent="0.35">
      <c r="A4274">
        <v>7015216</v>
      </c>
      <c r="B4274" t="s">
        <v>11561</v>
      </c>
      <c r="C4274" t="str">
        <f>"9783110613438"</f>
        <v>9783110613438</v>
      </c>
      <c r="D4274" t="str">
        <f>"9783110613445"</f>
        <v>9783110613445</v>
      </c>
      <c r="E4274" t="s">
        <v>415</v>
      </c>
      <c r="F4274" t="s">
        <v>3134</v>
      </c>
      <c r="G4274" s="1">
        <v>43385</v>
      </c>
      <c r="H4274" s="1">
        <v>44726</v>
      </c>
      <c r="I4274" t="s">
        <v>189</v>
      </c>
      <c r="J4274">
        <v>1</v>
      </c>
      <c r="L4274" t="s">
        <v>11562</v>
      </c>
    </row>
    <row r="4275" spans="1:40" x14ac:dyDescent="0.35">
      <c r="A4275">
        <v>7015217</v>
      </c>
      <c r="B4275" t="s">
        <v>11563</v>
      </c>
      <c r="C4275" t="str">
        <f>""</f>
        <v/>
      </c>
      <c r="D4275" t="str">
        <f>"9783111486345"</f>
        <v>9783111486345</v>
      </c>
      <c r="E4275" t="s">
        <v>415</v>
      </c>
      <c r="F4275" t="s">
        <v>415</v>
      </c>
      <c r="G4275" t="s">
        <v>11178</v>
      </c>
      <c r="H4275" s="1">
        <v>44726</v>
      </c>
      <c r="I4275" t="s">
        <v>189</v>
      </c>
      <c r="J4275">
        <v>1</v>
      </c>
      <c r="L4275" t="s">
        <v>11564</v>
      </c>
      <c r="M4275" t="s">
        <v>219</v>
      </c>
      <c r="Q4275" t="s">
        <v>408</v>
      </c>
      <c r="R4275" t="s">
        <v>261</v>
      </c>
      <c r="S4275" t="s">
        <v>261</v>
      </c>
      <c r="T4275" t="s">
        <v>261</v>
      </c>
      <c r="U4275" t="s">
        <v>261</v>
      </c>
      <c r="V4275" t="s">
        <v>262</v>
      </c>
      <c r="W4275" t="s">
        <v>261</v>
      </c>
      <c r="X4275" t="s">
        <v>261</v>
      </c>
      <c r="Y4275" t="s">
        <v>261</v>
      </c>
      <c r="Z4275" t="s">
        <v>409</v>
      </c>
      <c r="AA4275" t="s">
        <v>409</v>
      </c>
      <c r="AB4275" t="s">
        <v>409</v>
      </c>
      <c r="AC4275" t="s">
        <v>409</v>
      </c>
      <c r="AD4275" t="s">
        <v>261</v>
      </c>
      <c r="AH4275" t="s">
        <v>262</v>
      </c>
      <c r="AI4275" t="s">
        <v>262</v>
      </c>
      <c r="AJ4275" t="s">
        <v>261</v>
      </c>
      <c r="AK4275" t="s">
        <v>261</v>
      </c>
      <c r="AM4275" t="s">
        <v>262</v>
      </c>
      <c r="AN4275" t="s">
        <v>11565</v>
      </c>
    </row>
    <row r="4276" spans="1:40" x14ac:dyDescent="0.35">
      <c r="A4276">
        <v>7015218</v>
      </c>
      <c r="B4276" t="s">
        <v>11566</v>
      </c>
      <c r="C4276" t="str">
        <f>""</f>
        <v/>
      </c>
      <c r="D4276" t="str">
        <f>"9783110720303"</f>
        <v>9783110720303</v>
      </c>
      <c r="E4276" t="s">
        <v>415</v>
      </c>
      <c r="F4276" t="s">
        <v>6576</v>
      </c>
      <c r="G4276" s="1">
        <v>42552</v>
      </c>
      <c r="H4276" s="1">
        <v>44726</v>
      </c>
      <c r="I4276" t="s">
        <v>189</v>
      </c>
      <c r="J4276">
        <v>1</v>
      </c>
      <c r="K4276" t="s">
        <v>10550</v>
      </c>
      <c r="L4276" t="s">
        <v>11567</v>
      </c>
      <c r="M4276" t="s">
        <v>676</v>
      </c>
    </row>
    <row r="4277" spans="1:40" x14ac:dyDescent="0.35">
      <c r="A4277">
        <v>7015219</v>
      </c>
      <c r="B4277" t="s">
        <v>11568</v>
      </c>
      <c r="C4277" t="str">
        <f>""</f>
        <v/>
      </c>
      <c r="D4277" t="str">
        <f>"9783110622836"</f>
        <v>9783110622836</v>
      </c>
      <c r="E4277" t="s">
        <v>415</v>
      </c>
      <c r="F4277" t="s">
        <v>415</v>
      </c>
      <c r="G4277" s="1">
        <v>44104</v>
      </c>
      <c r="H4277" s="1">
        <v>44726</v>
      </c>
      <c r="I4277" t="s">
        <v>189</v>
      </c>
      <c r="J4277">
        <v>1</v>
      </c>
      <c r="K4277" t="s">
        <v>10673</v>
      </c>
      <c r="L4277" t="s">
        <v>11569</v>
      </c>
      <c r="M4277" t="s">
        <v>676</v>
      </c>
    </row>
    <row r="4278" spans="1:40" x14ac:dyDescent="0.35">
      <c r="A4278">
        <v>7015220</v>
      </c>
      <c r="B4278" t="s">
        <v>11570</v>
      </c>
      <c r="C4278" t="str">
        <f>""</f>
        <v/>
      </c>
      <c r="D4278" t="str">
        <f>"9783110663839"</f>
        <v>9783110663839</v>
      </c>
      <c r="E4278" t="s">
        <v>415</v>
      </c>
      <c r="F4278" t="s">
        <v>6576</v>
      </c>
      <c r="G4278" s="1">
        <v>43956</v>
      </c>
      <c r="H4278" s="1">
        <v>44726</v>
      </c>
      <c r="I4278" t="s">
        <v>189</v>
      </c>
      <c r="J4278">
        <v>1</v>
      </c>
      <c r="L4278" t="s">
        <v>11571</v>
      </c>
    </row>
    <row r="4279" spans="1:40" x14ac:dyDescent="0.35">
      <c r="A4279">
        <v>7015221</v>
      </c>
      <c r="B4279" t="s">
        <v>11572</v>
      </c>
      <c r="C4279" t="str">
        <f>""</f>
        <v/>
      </c>
      <c r="D4279" t="str">
        <f>"9783111571881"</f>
        <v>9783111571881</v>
      </c>
      <c r="E4279" t="s">
        <v>415</v>
      </c>
      <c r="F4279" t="s">
        <v>415</v>
      </c>
      <c r="G4279" s="1">
        <v>43466</v>
      </c>
      <c r="H4279" s="1">
        <v>44726</v>
      </c>
      <c r="I4279" t="s">
        <v>189</v>
      </c>
      <c r="J4279">
        <v>1</v>
      </c>
      <c r="L4279" t="s">
        <v>11573</v>
      </c>
      <c r="M4279" t="s">
        <v>582</v>
      </c>
      <c r="Q4279" t="s">
        <v>408</v>
      </c>
      <c r="R4279" t="s">
        <v>261</v>
      </c>
      <c r="S4279" t="s">
        <v>261</v>
      </c>
      <c r="T4279" t="s">
        <v>261</v>
      </c>
      <c r="U4279" t="s">
        <v>261</v>
      </c>
      <c r="V4279" t="s">
        <v>262</v>
      </c>
      <c r="W4279" t="s">
        <v>261</v>
      </c>
      <c r="X4279" t="s">
        <v>261</v>
      </c>
      <c r="Y4279" t="s">
        <v>261</v>
      </c>
      <c r="Z4279" t="s">
        <v>409</v>
      </c>
      <c r="AA4279" t="s">
        <v>409</v>
      </c>
      <c r="AB4279" t="s">
        <v>409</v>
      </c>
      <c r="AC4279" t="s">
        <v>409</v>
      </c>
      <c r="AD4279" t="s">
        <v>261</v>
      </c>
      <c r="AH4279" t="s">
        <v>262</v>
      </c>
      <c r="AI4279" t="s">
        <v>262</v>
      </c>
      <c r="AJ4279" t="s">
        <v>261</v>
      </c>
      <c r="AK4279" t="s">
        <v>261</v>
      </c>
      <c r="AM4279" t="s">
        <v>262</v>
      </c>
      <c r="AN4279" t="s">
        <v>11574</v>
      </c>
    </row>
    <row r="4280" spans="1:40" x14ac:dyDescent="0.35">
      <c r="A4280">
        <v>7015222</v>
      </c>
      <c r="B4280" t="s">
        <v>11575</v>
      </c>
      <c r="C4280" t="str">
        <f>""</f>
        <v/>
      </c>
      <c r="D4280" t="str">
        <f>"9783110730531"</f>
        <v>9783110730531</v>
      </c>
      <c r="E4280" t="s">
        <v>415</v>
      </c>
      <c r="F4280" t="s">
        <v>415</v>
      </c>
      <c r="G4280" s="1">
        <v>44494</v>
      </c>
      <c r="H4280" s="1">
        <v>44726</v>
      </c>
      <c r="I4280" t="s">
        <v>189</v>
      </c>
      <c r="J4280">
        <v>1</v>
      </c>
      <c r="K4280" t="s">
        <v>11576</v>
      </c>
      <c r="L4280" t="s">
        <v>11577</v>
      </c>
      <c r="M4280" t="s">
        <v>199</v>
      </c>
      <c r="Q4280" t="s">
        <v>408</v>
      </c>
      <c r="R4280" t="s">
        <v>261</v>
      </c>
      <c r="S4280" t="s">
        <v>261</v>
      </c>
      <c r="T4280" t="s">
        <v>261</v>
      </c>
      <c r="U4280" t="s">
        <v>261</v>
      </c>
      <c r="V4280" t="s">
        <v>262</v>
      </c>
      <c r="W4280" t="s">
        <v>261</v>
      </c>
      <c r="X4280" t="s">
        <v>261</v>
      </c>
      <c r="Y4280" t="s">
        <v>261</v>
      </c>
      <c r="Z4280" t="s">
        <v>409</v>
      </c>
      <c r="AA4280" t="s">
        <v>409</v>
      </c>
      <c r="AB4280" t="s">
        <v>409</v>
      </c>
      <c r="AC4280" t="s">
        <v>409</v>
      </c>
      <c r="AD4280" t="s">
        <v>261</v>
      </c>
      <c r="AH4280" t="s">
        <v>262</v>
      </c>
      <c r="AI4280" t="s">
        <v>262</v>
      </c>
      <c r="AJ4280" t="s">
        <v>261</v>
      </c>
      <c r="AK4280" t="s">
        <v>261</v>
      </c>
      <c r="AM4280" t="s">
        <v>262</v>
      </c>
      <c r="AN4280" t="s">
        <v>11578</v>
      </c>
    </row>
    <row r="4281" spans="1:40" x14ac:dyDescent="0.35">
      <c r="A4281">
        <v>7015223</v>
      </c>
      <c r="B4281" t="s">
        <v>11579</v>
      </c>
      <c r="C4281" t="str">
        <f>""</f>
        <v/>
      </c>
      <c r="D4281" t="str">
        <f>"9783110731378"</f>
        <v>9783110731378</v>
      </c>
      <c r="E4281" t="s">
        <v>415</v>
      </c>
      <c r="F4281" t="s">
        <v>665</v>
      </c>
      <c r="G4281" s="1">
        <v>44522</v>
      </c>
      <c r="H4281" s="1">
        <v>44726</v>
      </c>
      <c r="I4281" t="s">
        <v>189</v>
      </c>
      <c r="J4281">
        <v>1</v>
      </c>
      <c r="K4281" t="s">
        <v>11580</v>
      </c>
      <c r="L4281" t="s">
        <v>11581</v>
      </c>
    </row>
    <row r="4282" spans="1:40" x14ac:dyDescent="0.35">
      <c r="A4282">
        <v>7015224</v>
      </c>
      <c r="B4282" t="s">
        <v>11582</v>
      </c>
      <c r="C4282" t="str">
        <f>""</f>
        <v/>
      </c>
      <c r="D4282" t="str">
        <f>"9783110705621"</f>
        <v>9783110705621</v>
      </c>
      <c r="E4282" t="s">
        <v>415</v>
      </c>
      <c r="F4282" t="s">
        <v>665</v>
      </c>
      <c r="G4282" s="1">
        <v>44292</v>
      </c>
      <c r="H4282" s="1">
        <v>44726</v>
      </c>
      <c r="I4282" t="s">
        <v>189</v>
      </c>
      <c r="J4282">
        <v>1</v>
      </c>
      <c r="K4282" t="s">
        <v>11583</v>
      </c>
      <c r="L4282" t="s">
        <v>11313</v>
      </c>
      <c r="M4282" t="s">
        <v>239</v>
      </c>
      <c r="Q4282" t="s">
        <v>408</v>
      </c>
      <c r="R4282" t="s">
        <v>261</v>
      </c>
      <c r="S4282" t="s">
        <v>261</v>
      </c>
      <c r="T4282" t="s">
        <v>261</v>
      </c>
      <c r="U4282" t="s">
        <v>261</v>
      </c>
      <c r="V4282" t="s">
        <v>262</v>
      </c>
      <c r="W4282" t="s">
        <v>261</v>
      </c>
      <c r="X4282" t="s">
        <v>261</v>
      </c>
      <c r="Y4282" t="s">
        <v>261</v>
      </c>
      <c r="Z4282" t="s">
        <v>409</v>
      </c>
      <c r="AA4282" t="s">
        <v>409</v>
      </c>
      <c r="AB4282" t="s">
        <v>409</v>
      </c>
      <c r="AC4282" t="s">
        <v>409</v>
      </c>
      <c r="AD4282" t="s">
        <v>261</v>
      </c>
      <c r="AH4282" t="s">
        <v>262</v>
      </c>
      <c r="AI4282" t="s">
        <v>262</v>
      </c>
      <c r="AJ4282" t="s">
        <v>261</v>
      </c>
      <c r="AK4282" t="s">
        <v>261</v>
      </c>
      <c r="AM4282" t="s">
        <v>262</v>
      </c>
      <c r="AN4282" t="s">
        <v>11584</v>
      </c>
    </row>
    <row r="4283" spans="1:40" x14ac:dyDescent="0.35">
      <c r="A4283">
        <v>7015225</v>
      </c>
      <c r="B4283" t="s">
        <v>11585</v>
      </c>
      <c r="C4283" t="str">
        <f>""</f>
        <v/>
      </c>
      <c r="D4283" t="str">
        <f>"9783110720037"</f>
        <v>9783110720037</v>
      </c>
      <c r="E4283" t="s">
        <v>415</v>
      </c>
      <c r="F4283" t="s">
        <v>6576</v>
      </c>
      <c r="G4283" s="1">
        <v>40210</v>
      </c>
      <c r="H4283" s="1">
        <v>44726</v>
      </c>
      <c r="I4283" t="s">
        <v>189</v>
      </c>
      <c r="J4283">
        <v>1</v>
      </c>
      <c r="L4283" t="s">
        <v>10532</v>
      </c>
      <c r="M4283" t="s">
        <v>1831</v>
      </c>
      <c r="Q4283" t="s">
        <v>408</v>
      </c>
      <c r="R4283" t="s">
        <v>261</v>
      </c>
      <c r="S4283" t="s">
        <v>261</v>
      </c>
      <c r="T4283" t="s">
        <v>261</v>
      </c>
      <c r="U4283" t="s">
        <v>261</v>
      </c>
      <c r="V4283" t="s">
        <v>262</v>
      </c>
      <c r="W4283" t="s">
        <v>261</v>
      </c>
      <c r="X4283" t="s">
        <v>261</v>
      </c>
      <c r="Y4283" t="s">
        <v>261</v>
      </c>
      <c r="Z4283" t="s">
        <v>409</v>
      </c>
      <c r="AA4283" t="s">
        <v>409</v>
      </c>
      <c r="AB4283" t="s">
        <v>409</v>
      </c>
      <c r="AC4283" t="s">
        <v>409</v>
      </c>
      <c r="AD4283" t="s">
        <v>261</v>
      </c>
      <c r="AH4283" t="s">
        <v>262</v>
      </c>
      <c r="AI4283" t="s">
        <v>262</v>
      </c>
      <c r="AJ4283" t="s">
        <v>261</v>
      </c>
      <c r="AK4283" t="s">
        <v>261</v>
      </c>
      <c r="AM4283" t="s">
        <v>262</v>
      </c>
      <c r="AN4283" t="s">
        <v>11586</v>
      </c>
    </row>
    <row r="4284" spans="1:40" x14ac:dyDescent="0.35">
      <c r="A4284">
        <v>7015226</v>
      </c>
      <c r="B4284" t="s">
        <v>11587</v>
      </c>
      <c r="C4284" t="str">
        <f>""</f>
        <v/>
      </c>
      <c r="D4284" t="str">
        <f>"9783110906639"</f>
        <v>9783110906639</v>
      </c>
      <c r="E4284" t="s">
        <v>415</v>
      </c>
      <c r="F4284" t="s">
        <v>415</v>
      </c>
      <c r="G4284" s="1">
        <v>21947</v>
      </c>
      <c r="H4284" s="1">
        <v>44726</v>
      </c>
      <c r="I4284" t="s">
        <v>189</v>
      </c>
      <c r="J4284">
        <v>1</v>
      </c>
      <c r="K4284" t="s">
        <v>11520</v>
      </c>
      <c r="L4284" t="s">
        <v>11588</v>
      </c>
      <c r="M4284" t="s">
        <v>316</v>
      </c>
      <c r="Q4284" t="s">
        <v>408</v>
      </c>
      <c r="R4284" t="s">
        <v>261</v>
      </c>
      <c r="S4284" t="s">
        <v>261</v>
      </c>
      <c r="T4284" t="s">
        <v>261</v>
      </c>
      <c r="U4284" t="s">
        <v>261</v>
      </c>
      <c r="V4284" t="s">
        <v>262</v>
      </c>
      <c r="W4284" t="s">
        <v>261</v>
      </c>
      <c r="X4284" t="s">
        <v>261</v>
      </c>
      <c r="Y4284" t="s">
        <v>261</v>
      </c>
      <c r="Z4284" t="s">
        <v>409</v>
      </c>
      <c r="AA4284" t="s">
        <v>409</v>
      </c>
      <c r="AB4284" t="s">
        <v>409</v>
      </c>
      <c r="AC4284" t="s">
        <v>409</v>
      </c>
      <c r="AD4284" t="s">
        <v>261</v>
      </c>
      <c r="AH4284" t="s">
        <v>262</v>
      </c>
      <c r="AI4284" t="s">
        <v>262</v>
      </c>
      <c r="AJ4284" t="s">
        <v>261</v>
      </c>
      <c r="AK4284" t="s">
        <v>261</v>
      </c>
      <c r="AM4284" t="s">
        <v>262</v>
      </c>
      <c r="AN4284" t="s">
        <v>11589</v>
      </c>
    </row>
    <row r="4285" spans="1:40" x14ac:dyDescent="0.35">
      <c r="A4285">
        <v>7015227</v>
      </c>
      <c r="B4285" t="s">
        <v>11590</v>
      </c>
      <c r="C4285" t="str">
        <f>""</f>
        <v/>
      </c>
      <c r="D4285" t="str">
        <f>"9783110753707"</f>
        <v>9783110753707</v>
      </c>
      <c r="E4285" t="s">
        <v>415</v>
      </c>
      <c r="F4285" t="s">
        <v>415</v>
      </c>
      <c r="G4285" s="1">
        <v>44522</v>
      </c>
      <c r="H4285" s="1">
        <v>44726</v>
      </c>
      <c r="I4285" t="s">
        <v>189</v>
      </c>
      <c r="J4285">
        <v>1</v>
      </c>
      <c r="K4285" t="s">
        <v>11591</v>
      </c>
      <c r="L4285" t="s">
        <v>11592</v>
      </c>
    </row>
    <row r="4286" spans="1:40" x14ac:dyDescent="0.35">
      <c r="A4286">
        <v>7015228</v>
      </c>
      <c r="B4286" t="s">
        <v>11593</v>
      </c>
      <c r="C4286" t="str">
        <f>""</f>
        <v/>
      </c>
      <c r="D4286" t="str">
        <f>"9783110651874"</f>
        <v>9783110651874</v>
      </c>
      <c r="E4286" t="s">
        <v>415</v>
      </c>
      <c r="F4286" t="s">
        <v>665</v>
      </c>
      <c r="G4286" s="1">
        <v>44067</v>
      </c>
      <c r="H4286" s="1">
        <v>44726</v>
      </c>
      <c r="I4286" t="s">
        <v>189</v>
      </c>
      <c r="J4286">
        <v>1</v>
      </c>
      <c r="L4286" t="s">
        <v>11594</v>
      </c>
    </row>
    <row r="4287" spans="1:40" x14ac:dyDescent="0.35">
      <c r="A4287">
        <v>7015229</v>
      </c>
      <c r="B4287" t="s">
        <v>11595</v>
      </c>
      <c r="C4287" t="str">
        <f>""</f>
        <v/>
      </c>
      <c r="D4287" t="str">
        <f>"9783111707884"</f>
        <v>9783111707884</v>
      </c>
      <c r="E4287" t="s">
        <v>415</v>
      </c>
      <c r="F4287" t="s">
        <v>415</v>
      </c>
      <c r="G4287" s="1">
        <v>1553</v>
      </c>
      <c r="H4287" s="1">
        <v>44726</v>
      </c>
      <c r="I4287" t="s">
        <v>189</v>
      </c>
      <c r="J4287">
        <v>1</v>
      </c>
      <c r="L4287" t="s">
        <v>11596</v>
      </c>
      <c r="M4287" t="s">
        <v>199</v>
      </c>
      <c r="Q4287" t="s">
        <v>408</v>
      </c>
      <c r="R4287" t="s">
        <v>261</v>
      </c>
      <c r="S4287" t="s">
        <v>261</v>
      </c>
      <c r="T4287" t="s">
        <v>261</v>
      </c>
      <c r="U4287" t="s">
        <v>261</v>
      </c>
      <c r="V4287" t="s">
        <v>262</v>
      </c>
      <c r="W4287" t="s">
        <v>261</v>
      </c>
      <c r="X4287" t="s">
        <v>261</v>
      </c>
      <c r="Y4287" t="s">
        <v>261</v>
      </c>
      <c r="Z4287" t="s">
        <v>409</v>
      </c>
      <c r="AA4287" t="s">
        <v>409</v>
      </c>
      <c r="AB4287" t="s">
        <v>409</v>
      </c>
      <c r="AC4287" t="s">
        <v>409</v>
      </c>
      <c r="AD4287" t="s">
        <v>261</v>
      </c>
      <c r="AH4287" t="s">
        <v>262</v>
      </c>
      <c r="AI4287" t="s">
        <v>262</v>
      </c>
      <c r="AJ4287" t="s">
        <v>261</v>
      </c>
      <c r="AK4287" t="s">
        <v>261</v>
      </c>
      <c r="AM4287" t="s">
        <v>262</v>
      </c>
      <c r="AN4287" t="s">
        <v>11597</v>
      </c>
    </row>
    <row r="4288" spans="1:40" x14ac:dyDescent="0.35">
      <c r="A4288">
        <v>7015230</v>
      </c>
      <c r="B4288" t="s">
        <v>11598</v>
      </c>
      <c r="C4288" t="str">
        <f>""</f>
        <v/>
      </c>
      <c r="D4288" t="str">
        <f>"9783111526713"</f>
        <v>9783111526713</v>
      </c>
      <c r="E4288" t="s">
        <v>415</v>
      </c>
      <c r="F4288" t="s">
        <v>415</v>
      </c>
      <c r="G4288" s="1">
        <v>5205</v>
      </c>
      <c r="H4288" s="1">
        <v>44726</v>
      </c>
      <c r="I4288" t="s">
        <v>189</v>
      </c>
      <c r="J4288">
        <v>1</v>
      </c>
      <c r="K4288" t="s">
        <v>11520</v>
      </c>
      <c r="L4288" t="s">
        <v>11599</v>
      </c>
      <c r="M4288" t="s">
        <v>316</v>
      </c>
      <c r="Q4288" t="s">
        <v>408</v>
      </c>
      <c r="R4288" t="s">
        <v>261</v>
      </c>
      <c r="S4288" t="s">
        <v>261</v>
      </c>
      <c r="T4288" t="s">
        <v>261</v>
      </c>
      <c r="U4288" t="s">
        <v>261</v>
      </c>
      <c r="V4288" t="s">
        <v>262</v>
      </c>
      <c r="W4288" t="s">
        <v>261</v>
      </c>
      <c r="X4288" t="s">
        <v>261</v>
      </c>
      <c r="Y4288" t="s">
        <v>261</v>
      </c>
      <c r="Z4288" t="s">
        <v>409</v>
      </c>
      <c r="AA4288" t="s">
        <v>409</v>
      </c>
      <c r="AB4288" t="s">
        <v>409</v>
      </c>
      <c r="AC4288" t="s">
        <v>409</v>
      </c>
      <c r="AD4288" t="s">
        <v>261</v>
      </c>
      <c r="AH4288" t="s">
        <v>262</v>
      </c>
      <c r="AI4288" t="s">
        <v>262</v>
      </c>
      <c r="AJ4288" t="s">
        <v>261</v>
      </c>
      <c r="AK4288" t="s">
        <v>261</v>
      </c>
      <c r="AM4288" t="s">
        <v>262</v>
      </c>
      <c r="AN4288" t="s">
        <v>11600</v>
      </c>
    </row>
    <row r="4289" spans="1:40" x14ac:dyDescent="0.35">
      <c r="A4289">
        <v>7015231</v>
      </c>
      <c r="B4289" t="s">
        <v>11601</v>
      </c>
      <c r="C4289" t="str">
        <f>""</f>
        <v/>
      </c>
      <c r="D4289" t="str">
        <f>"9783110707557"</f>
        <v>9783110707557</v>
      </c>
      <c r="E4289" t="s">
        <v>415</v>
      </c>
      <c r="F4289" t="s">
        <v>415</v>
      </c>
      <c r="G4289" s="1">
        <v>44494</v>
      </c>
      <c r="H4289" s="1">
        <v>44726</v>
      </c>
      <c r="I4289" t="s">
        <v>189</v>
      </c>
      <c r="J4289">
        <v>1</v>
      </c>
      <c r="K4289" t="s">
        <v>3327</v>
      </c>
      <c r="L4289" t="s">
        <v>3864</v>
      </c>
    </row>
    <row r="4290" spans="1:40" x14ac:dyDescent="0.35">
      <c r="A4290">
        <v>7015232</v>
      </c>
      <c r="B4290" t="s">
        <v>11602</v>
      </c>
      <c r="C4290" t="str">
        <f>""</f>
        <v/>
      </c>
      <c r="D4290" t="str">
        <f>"9788395720499"</f>
        <v>9788395720499</v>
      </c>
      <c r="E4290" t="s">
        <v>415</v>
      </c>
      <c r="F4290" t="s">
        <v>659</v>
      </c>
      <c r="G4290" s="1">
        <v>44216</v>
      </c>
      <c r="H4290" s="1">
        <v>44726</v>
      </c>
      <c r="I4290" t="s">
        <v>189</v>
      </c>
      <c r="J4290">
        <v>1</v>
      </c>
      <c r="L4290" t="s">
        <v>11603</v>
      </c>
    </row>
    <row r="4291" spans="1:40" x14ac:dyDescent="0.35">
      <c r="A4291">
        <v>7015233</v>
      </c>
      <c r="B4291" t="s">
        <v>11604</v>
      </c>
      <c r="C4291" t="str">
        <f>""</f>
        <v/>
      </c>
      <c r="D4291" t="str">
        <f>"9783486778014"</f>
        <v>9783486778014</v>
      </c>
      <c r="E4291" t="s">
        <v>415</v>
      </c>
      <c r="F4291" t="s">
        <v>665</v>
      </c>
      <c r="G4291" s="1">
        <v>18354</v>
      </c>
      <c r="H4291" s="1">
        <v>44726</v>
      </c>
      <c r="I4291" t="s">
        <v>189</v>
      </c>
      <c r="J4291">
        <v>1</v>
      </c>
      <c r="L4291" t="s">
        <v>11605</v>
      </c>
      <c r="M4291" t="s">
        <v>1318</v>
      </c>
      <c r="Q4291" t="s">
        <v>408</v>
      </c>
      <c r="R4291" t="s">
        <v>261</v>
      </c>
      <c r="S4291" t="s">
        <v>261</v>
      </c>
      <c r="T4291" t="s">
        <v>261</v>
      </c>
      <c r="U4291" t="s">
        <v>261</v>
      </c>
      <c r="V4291" t="s">
        <v>262</v>
      </c>
      <c r="W4291" t="s">
        <v>261</v>
      </c>
      <c r="X4291" t="s">
        <v>261</v>
      </c>
      <c r="Y4291" t="s">
        <v>261</v>
      </c>
      <c r="Z4291" t="s">
        <v>409</v>
      </c>
      <c r="AA4291" t="s">
        <v>409</v>
      </c>
      <c r="AB4291" t="s">
        <v>409</v>
      </c>
      <c r="AC4291" t="s">
        <v>409</v>
      </c>
      <c r="AD4291" t="s">
        <v>261</v>
      </c>
      <c r="AH4291" t="s">
        <v>262</v>
      </c>
      <c r="AI4291" t="s">
        <v>262</v>
      </c>
      <c r="AJ4291" t="s">
        <v>261</v>
      </c>
      <c r="AK4291" t="s">
        <v>261</v>
      </c>
      <c r="AM4291" t="s">
        <v>262</v>
      </c>
      <c r="AN4291" t="s">
        <v>11606</v>
      </c>
    </row>
    <row r="4292" spans="1:40" x14ac:dyDescent="0.35">
      <c r="A4292">
        <v>7015234</v>
      </c>
      <c r="B4292" t="s">
        <v>11607</v>
      </c>
      <c r="C4292" t="str">
        <f>"9783486516715"</f>
        <v>9783486516715</v>
      </c>
      <c r="D4292" t="str">
        <f>"9783486594157"</f>
        <v>9783486594157</v>
      </c>
      <c r="E4292" t="s">
        <v>415</v>
      </c>
      <c r="F4292" t="s">
        <v>665</v>
      </c>
      <c r="G4292" s="1">
        <v>30819</v>
      </c>
      <c r="H4292" s="1">
        <v>44726</v>
      </c>
      <c r="I4292" t="s">
        <v>189</v>
      </c>
      <c r="J4292">
        <v>1</v>
      </c>
      <c r="K4292" t="s">
        <v>1387</v>
      </c>
      <c r="L4292" t="s">
        <v>11608</v>
      </c>
    </row>
    <row r="4293" spans="1:40" x14ac:dyDescent="0.35">
      <c r="A4293">
        <v>7015235</v>
      </c>
      <c r="B4293" t="s">
        <v>11609</v>
      </c>
      <c r="C4293" t="str">
        <f>""</f>
        <v/>
      </c>
      <c r="D4293" t="str">
        <f>"9783110729290"</f>
        <v>9783110729290</v>
      </c>
      <c r="E4293" t="s">
        <v>415</v>
      </c>
      <c r="F4293" t="s">
        <v>665</v>
      </c>
      <c r="G4293" s="1">
        <v>44522</v>
      </c>
      <c r="H4293" s="1">
        <v>44726</v>
      </c>
      <c r="I4293" t="s">
        <v>189</v>
      </c>
      <c r="J4293">
        <v>1</v>
      </c>
      <c r="L4293" t="s">
        <v>6874</v>
      </c>
    </row>
    <row r="4294" spans="1:40" x14ac:dyDescent="0.35">
      <c r="A4294">
        <v>7015236</v>
      </c>
      <c r="B4294" t="s">
        <v>11610</v>
      </c>
      <c r="C4294" t="str">
        <f>""</f>
        <v/>
      </c>
      <c r="D4294" t="str">
        <f>"9783111506807"</f>
        <v>9783111506807</v>
      </c>
      <c r="E4294" t="s">
        <v>415</v>
      </c>
      <c r="F4294" t="s">
        <v>415</v>
      </c>
      <c r="G4294" s="1">
        <v>43497</v>
      </c>
      <c r="H4294" s="1">
        <v>44726</v>
      </c>
      <c r="I4294" t="s">
        <v>189</v>
      </c>
      <c r="J4294">
        <v>1</v>
      </c>
      <c r="L4294" t="s">
        <v>11611</v>
      </c>
    </row>
    <row r="4295" spans="1:40" x14ac:dyDescent="0.35">
      <c r="A4295">
        <v>7015237</v>
      </c>
      <c r="B4295" t="s">
        <v>11612</v>
      </c>
      <c r="C4295" t="str">
        <f>""</f>
        <v/>
      </c>
      <c r="D4295" t="str">
        <f>"9783486777390"</f>
        <v>9783486777390</v>
      </c>
      <c r="E4295" t="s">
        <v>415</v>
      </c>
      <c r="F4295" t="s">
        <v>665</v>
      </c>
      <c r="G4295" s="1">
        <v>17899</v>
      </c>
      <c r="H4295" s="1">
        <v>44726</v>
      </c>
      <c r="I4295" t="s">
        <v>189</v>
      </c>
      <c r="J4295">
        <v>1</v>
      </c>
      <c r="L4295" t="s">
        <v>11613</v>
      </c>
      <c r="M4295" t="s">
        <v>219</v>
      </c>
      <c r="Q4295" t="s">
        <v>408</v>
      </c>
      <c r="R4295" t="s">
        <v>261</v>
      </c>
      <c r="S4295" t="s">
        <v>261</v>
      </c>
      <c r="T4295" t="s">
        <v>261</v>
      </c>
      <c r="U4295" t="s">
        <v>261</v>
      </c>
      <c r="V4295" t="s">
        <v>262</v>
      </c>
      <c r="W4295" t="s">
        <v>261</v>
      </c>
      <c r="X4295" t="s">
        <v>261</v>
      </c>
      <c r="Y4295" t="s">
        <v>261</v>
      </c>
      <c r="Z4295" t="s">
        <v>409</v>
      </c>
      <c r="AA4295" t="s">
        <v>409</v>
      </c>
      <c r="AB4295" t="s">
        <v>409</v>
      </c>
      <c r="AC4295" t="s">
        <v>409</v>
      </c>
      <c r="AD4295" t="s">
        <v>261</v>
      </c>
      <c r="AH4295" t="s">
        <v>262</v>
      </c>
      <c r="AI4295" t="s">
        <v>262</v>
      </c>
      <c r="AJ4295" t="s">
        <v>261</v>
      </c>
      <c r="AK4295" t="s">
        <v>261</v>
      </c>
      <c r="AM4295" t="s">
        <v>262</v>
      </c>
      <c r="AN4295" t="s">
        <v>11614</v>
      </c>
    </row>
    <row r="4296" spans="1:40" x14ac:dyDescent="0.35">
      <c r="A4296">
        <v>7015238</v>
      </c>
      <c r="B4296" t="s">
        <v>11615</v>
      </c>
      <c r="C4296" t="str">
        <f>""</f>
        <v/>
      </c>
      <c r="D4296" t="str">
        <f>"9783111637464"</f>
        <v>9783111637464</v>
      </c>
      <c r="E4296" t="s">
        <v>415</v>
      </c>
      <c r="F4296" t="s">
        <v>415</v>
      </c>
      <c r="G4296" s="1">
        <v>25659</v>
      </c>
      <c r="H4296" s="1">
        <v>44726</v>
      </c>
      <c r="I4296" t="s">
        <v>189</v>
      </c>
      <c r="J4296">
        <v>1</v>
      </c>
      <c r="K4296" t="s">
        <v>10663</v>
      </c>
      <c r="L4296" t="s">
        <v>11616</v>
      </c>
      <c r="M4296" t="s">
        <v>219</v>
      </c>
      <c r="Q4296" t="s">
        <v>408</v>
      </c>
      <c r="R4296" t="s">
        <v>261</v>
      </c>
      <c r="S4296" t="s">
        <v>261</v>
      </c>
      <c r="T4296" t="s">
        <v>261</v>
      </c>
      <c r="U4296" t="s">
        <v>261</v>
      </c>
      <c r="V4296" t="s">
        <v>262</v>
      </c>
      <c r="W4296" t="s">
        <v>261</v>
      </c>
      <c r="X4296" t="s">
        <v>261</v>
      </c>
      <c r="Y4296" t="s">
        <v>261</v>
      </c>
      <c r="Z4296" t="s">
        <v>409</v>
      </c>
      <c r="AA4296" t="s">
        <v>409</v>
      </c>
      <c r="AB4296" t="s">
        <v>409</v>
      </c>
      <c r="AC4296" t="s">
        <v>409</v>
      </c>
      <c r="AD4296" t="s">
        <v>261</v>
      </c>
      <c r="AH4296" t="s">
        <v>262</v>
      </c>
      <c r="AI4296" t="s">
        <v>262</v>
      </c>
      <c r="AJ4296" t="s">
        <v>261</v>
      </c>
      <c r="AK4296" t="s">
        <v>261</v>
      </c>
      <c r="AM4296" t="s">
        <v>262</v>
      </c>
      <c r="AN4296" t="s">
        <v>11617</v>
      </c>
    </row>
    <row r="4297" spans="1:40" x14ac:dyDescent="0.35">
      <c r="A4297">
        <v>7015239</v>
      </c>
      <c r="B4297" t="s">
        <v>11618</v>
      </c>
      <c r="C4297" t="str">
        <f>""</f>
        <v/>
      </c>
      <c r="D4297" t="str">
        <f>"9783110722758"</f>
        <v>9783110722758</v>
      </c>
      <c r="E4297" t="s">
        <v>415</v>
      </c>
      <c r="F4297" t="s">
        <v>415</v>
      </c>
      <c r="G4297" s="1">
        <v>44263</v>
      </c>
      <c r="H4297" s="1">
        <v>44726</v>
      </c>
      <c r="I4297" t="s">
        <v>189</v>
      </c>
      <c r="J4297">
        <v>1</v>
      </c>
      <c r="K4297" t="s">
        <v>1159</v>
      </c>
      <c r="L4297" t="s">
        <v>54</v>
      </c>
      <c r="M4297" t="s">
        <v>239</v>
      </c>
    </row>
    <row r="4298" spans="1:40" x14ac:dyDescent="0.35">
      <c r="A4298">
        <v>7015240</v>
      </c>
      <c r="B4298" t="s">
        <v>11619</v>
      </c>
      <c r="C4298" t="str">
        <f>"9783486241075"</f>
        <v>9783486241075</v>
      </c>
      <c r="D4298" t="str">
        <f>"9783486792720"</f>
        <v>9783486792720</v>
      </c>
      <c r="E4298" t="s">
        <v>415</v>
      </c>
      <c r="F4298" t="s">
        <v>665</v>
      </c>
      <c r="G4298" s="1">
        <v>35487</v>
      </c>
      <c r="H4298" s="1">
        <v>44726</v>
      </c>
      <c r="I4298" t="s">
        <v>189</v>
      </c>
      <c r="J4298">
        <v>2</v>
      </c>
      <c r="L4298" t="s">
        <v>11620</v>
      </c>
      <c r="M4298" t="s">
        <v>282</v>
      </c>
      <c r="Q4298" t="s">
        <v>408</v>
      </c>
      <c r="R4298" t="s">
        <v>261</v>
      </c>
      <c r="S4298" t="s">
        <v>261</v>
      </c>
      <c r="T4298" t="s">
        <v>261</v>
      </c>
      <c r="U4298" t="s">
        <v>261</v>
      </c>
      <c r="V4298" t="s">
        <v>262</v>
      </c>
      <c r="W4298" t="s">
        <v>261</v>
      </c>
      <c r="X4298" t="s">
        <v>261</v>
      </c>
      <c r="Y4298" t="s">
        <v>261</v>
      </c>
      <c r="Z4298" t="s">
        <v>409</v>
      </c>
      <c r="AA4298" t="s">
        <v>409</v>
      </c>
      <c r="AB4298" t="s">
        <v>409</v>
      </c>
      <c r="AC4298" t="s">
        <v>409</v>
      </c>
      <c r="AD4298" t="s">
        <v>261</v>
      </c>
      <c r="AH4298" t="s">
        <v>262</v>
      </c>
      <c r="AI4298" t="s">
        <v>262</v>
      </c>
      <c r="AJ4298" t="s">
        <v>261</v>
      </c>
      <c r="AK4298" t="s">
        <v>261</v>
      </c>
      <c r="AM4298" t="s">
        <v>262</v>
      </c>
      <c r="AN4298" t="s">
        <v>11621</v>
      </c>
    </row>
    <row r="4299" spans="1:40" x14ac:dyDescent="0.35">
      <c r="A4299">
        <v>7015241</v>
      </c>
      <c r="B4299" t="s">
        <v>11622</v>
      </c>
      <c r="C4299" t="str">
        <f>""</f>
        <v/>
      </c>
      <c r="D4299" t="str">
        <f>"9783110616194"</f>
        <v>9783110616194</v>
      </c>
      <c r="E4299" t="s">
        <v>415</v>
      </c>
      <c r="F4299" t="s">
        <v>415</v>
      </c>
      <c r="G4299" s="1">
        <v>44410</v>
      </c>
      <c r="H4299" s="1">
        <v>44726</v>
      </c>
      <c r="I4299" t="s">
        <v>189</v>
      </c>
      <c r="J4299">
        <v>1</v>
      </c>
      <c r="L4299" t="s">
        <v>11623</v>
      </c>
      <c r="M4299" t="s">
        <v>676</v>
      </c>
      <c r="Q4299" t="s">
        <v>408</v>
      </c>
      <c r="R4299" t="s">
        <v>261</v>
      </c>
      <c r="S4299" t="s">
        <v>261</v>
      </c>
      <c r="T4299" t="s">
        <v>261</v>
      </c>
      <c r="U4299" t="s">
        <v>261</v>
      </c>
      <c r="V4299" t="s">
        <v>262</v>
      </c>
      <c r="W4299" t="s">
        <v>261</v>
      </c>
      <c r="X4299" t="s">
        <v>261</v>
      </c>
      <c r="Y4299" t="s">
        <v>261</v>
      </c>
      <c r="Z4299" t="s">
        <v>409</v>
      </c>
      <c r="AA4299" t="s">
        <v>409</v>
      </c>
      <c r="AB4299" t="s">
        <v>409</v>
      </c>
      <c r="AC4299" t="s">
        <v>409</v>
      </c>
      <c r="AD4299" t="s">
        <v>261</v>
      </c>
      <c r="AH4299" t="s">
        <v>262</v>
      </c>
      <c r="AI4299" t="s">
        <v>262</v>
      </c>
      <c r="AJ4299" t="s">
        <v>261</v>
      </c>
      <c r="AK4299" t="s">
        <v>261</v>
      </c>
      <c r="AM4299" t="s">
        <v>262</v>
      </c>
      <c r="AN4299" t="s">
        <v>11624</v>
      </c>
    </row>
    <row r="4300" spans="1:40" x14ac:dyDescent="0.35">
      <c r="A4300">
        <v>7015242</v>
      </c>
      <c r="B4300" t="s">
        <v>11625</v>
      </c>
      <c r="C4300" t="str">
        <f>""</f>
        <v/>
      </c>
      <c r="D4300" t="str">
        <f>"9783110655599"</f>
        <v>9783110655599</v>
      </c>
      <c r="E4300" t="s">
        <v>415</v>
      </c>
      <c r="F4300" t="s">
        <v>665</v>
      </c>
      <c r="G4300" s="1">
        <v>43871</v>
      </c>
      <c r="H4300" s="1">
        <v>44726</v>
      </c>
      <c r="I4300" t="s">
        <v>189</v>
      </c>
      <c r="J4300">
        <v>1</v>
      </c>
      <c r="K4300" t="s">
        <v>11626</v>
      </c>
      <c r="L4300" t="s">
        <v>11627</v>
      </c>
    </row>
    <row r="4301" spans="1:40" x14ac:dyDescent="0.35">
      <c r="A4301">
        <v>7015243</v>
      </c>
      <c r="B4301" t="s">
        <v>11628</v>
      </c>
      <c r="C4301" t="str">
        <f>""</f>
        <v/>
      </c>
      <c r="D4301" t="str">
        <f>"9783110622522"</f>
        <v>9783110622522</v>
      </c>
      <c r="E4301" t="s">
        <v>415</v>
      </c>
      <c r="F4301" t="s">
        <v>415</v>
      </c>
      <c r="G4301" s="1">
        <v>35139</v>
      </c>
      <c r="H4301" s="1">
        <v>44726</v>
      </c>
      <c r="I4301" t="s">
        <v>189</v>
      </c>
      <c r="J4301">
        <v>1</v>
      </c>
      <c r="K4301" t="s">
        <v>10673</v>
      </c>
      <c r="L4301" t="s">
        <v>11629</v>
      </c>
    </row>
    <row r="4302" spans="1:40" x14ac:dyDescent="0.35">
      <c r="A4302">
        <v>7015244</v>
      </c>
      <c r="B4302" t="s">
        <v>11630</v>
      </c>
      <c r="C4302" t="str">
        <f>""</f>
        <v/>
      </c>
      <c r="D4302" t="str">
        <f>"9783110722291"</f>
        <v>9783110722291</v>
      </c>
      <c r="E4302" t="s">
        <v>415</v>
      </c>
      <c r="F4302" t="s">
        <v>415</v>
      </c>
      <c r="G4302" s="1">
        <v>44522</v>
      </c>
      <c r="H4302" s="1">
        <v>44726</v>
      </c>
      <c r="I4302" t="s">
        <v>189</v>
      </c>
      <c r="J4302">
        <v>1</v>
      </c>
      <c r="K4302" t="s">
        <v>11631</v>
      </c>
      <c r="L4302" t="s">
        <v>11632</v>
      </c>
      <c r="M4302" t="s">
        <v>199</v>
      </c>
      <c r="O4302">
        <v>193</v>
      </c>
      <c r="Q4302" t="s">
        <v>260</v>
      </c>
      <c r="R4302" t="s">
        <v>261</v>
      </c>
      <c r="S4302" t="s">
        <v>261</v>
      </c>
      <c r="T4302" t="s">
        <v>261</v>
      </c>
      <c r="U4302" t="s">
        <v>261</v>
      </c>
      <c r="V4302" t="s">
        <v>262</v>
      </c>
      <c r="W4302" t="s">
        <v>261</v>
      </c>
      <c r="X4302" t="s">
        <v>261</v>
      </c>
      <c r="Y4302" t="s">
        <v>261</v>
      </c>
      <c r="Z4302" t="s">
        <v>409</v>
      </c>
      <c r="AA4302" t="s">
        <v>409</v>
      </c>
      <c r="AB4302" t="s">
        <v>409</v>
      </c>
      <c r="AC4302" t="s">
        <v>409</v>
      </c>
      <c r="AD4302" t="s">
        <v>261</v>
      </c>
      <c r="AH4302" t="s">
        <v>262</v>
      </c>
      <c r="AI4302" t="s">
        <v>262</v>
      </c>
      <c r="AJ4302" t="s">
        <v>261</v>
      </c>
      <c r="AK4302" t="s">
        <v>261</v>
      </c>
      <c r="AM4302" t="s">
        <v>262</v>
      </c>
      <c r="AN4302" t="s">
        <v>11633</v>
      </c>
    </row>
    <row r="4303" spans="1:40" x14ac:dyDescent="0.35">
      <c r="A4303">
        <v>7015245</v>
      </c>
      <c r="B4303" t="s">
        <v>11634</v>
      </c>
      <c r="C4303" t="str">
        <f>"9783110634075"</f>
        <v>9783110634075</v>
      </c>
      <c r="D4303" t="str">
        <f>"9783110634082"</f>
        <v>9783110634082</v>
      </c>
      <c r="E4303" t="s">
        <v>415</v>
      </c>
      <c r="F4303" t="s">
        <v>659</v>
      </c>
      <c r="G4303" s="1">
        <v>43461</v>
      </c>
      <c r="H4303" s="1">
        <v>44726</v>
      </c>
      <c r="I4303" t="s">
        <v>189</v>
      </c>
      <c r="J4303">
        <v>1</v>
      </c>
      <c r="L4303" t="s">
        <v>2440</v>
      </c>
    </row>
    <row r="4304" spans="1:40" x14ac:dyDescent="0.35">
      <c r="A4304">
        <v>7015246</v>
      </c>
      <c r="B4304" t="s">
        <v>11635</v>
      </c>
      <c r="C4304" t="str">
        <f>"9783110587807"</f>
        <v>9783110587807</v>
      </c>
      <c r="D4304" t="str">
        <f>"9783110591026"</f>
        <v>9783110591026</v>
      </c>
      <c r="E4304" t="s">
        <v>415</v>
      </c>
      <c r="F4304" t="s">
        <v>416</v>
      </c>
      <c r="G4304" s="1">
        <v>43927</v>
      </c>
      <c r="H4304" s="1">
        <v>44726</v>
      </c>
      <c r="I4304" t="s">
        <v>189</v>
      </c>
      <c r="J4304">
        <v>1</v>
      </c>
      <c r="K4304" t="s">
        <v>11209</v>
      </c>
      <c r="L4304" t="s">
        <v>11636</v>
      </c>
    </row>
    <row r="4305" spans="1:40" x14ac:dyDescent="0.35">
      <c r="A4305">
        <v>7015247</v>
      </c>
      <c r="B4305" t="s">
        <v>11637</v>
      </c>
      <c r="C4305" t="str">
        <f>"9783110602234"</f>
        <v>9783110602234</v>
      </c>
      <c r="D4305" t="str">
        <f>"9783110604955"</f>
        <v>9783110604955</v>
      </c>
      <c r="E4305" t="s">
        <v>415</v>
      </c>
      <c r="F4305" t="s">
        <v>665</v>
      </c>
      <c r="G4305" s="1">
        <v>43353</v>
      </c>
      <c r="H4305" s="1">
        <v>44726</v>
      </c>
      <c r="I4305" t="s">
        <v>189</v>
      </c>
      <c r="J4305">
        <v>1</v>
      </c>
      <c r="L4305" t="s">
        <v>11638</v>
      </c>
      <c r="M4305" t="s">
        <v>239</v>
      </c>
      <c r="Q4305" t="s">
        <v>408</v>
      </c>
      <c r="R4305" t="s">
        <v>261</v>
      </c>
      <c r="S4305" t="s">
        <v>261</v>
      </c>
      <c r="T4305" t="s">
        <v>261</v>
      </c>
      <c r="U4305" t="s">
        <v>261</v>
      </c>
      <c r="V4305" t="s">
        <v>262</v>
      </c>
      <c r="W4305" t="s">
        <v>261</v>
      </c>
      <c r="X4305" t="s">
        <v>261</v>
      </c>
      <c r="Y4305" t="s">
        <v>261</v>
      </c>
      <c r="Z4305" t="s">
        <v>409</v>
      </c>
      <c r="AA4305" t="s">
        <v>409</v>
      </c>
      <c r="AB4305" t="s">
        <v>409</v>
      </c>
      <c r="AC4305" t="s">
        <v>409</v>
      </c>
      <c r="AD4305" t="s">
        <v>261</v>
      </c>
      <c r="AH4305" t="s">
        <v>262</v>
      </c>
      <c r="AI4305" t="s">
        <v>262</v>
      </c>
      <c r="AJ4305" t="s">
        <v>261</v>
      </c>
      <c r="AK4305" t="s">
        <v>261</v>
      </c>
      <c r="AM4305" t="s">
        <v>262</v>
      </c>
      <c r="AN4305" t="s">
        <v>11639</v>
      </c>
    </row>
    <row r="4306" spans="1:40" x14ac:dyDescent="0.35">
      <c r="A4306">
        <v>7015248</v>
      </c>
      <c r="B4306" t="s">
        <v>11640</v>
      </c>
      <c r="C4306" t="str">
        <f>""</f>
        <v/>
      </c>
      <c r="D4306" t="str">
        <f>"9783111526966"</f>
        <v>9783111526966</v>
      </c>
      <c r="E4306" t="s">
        <v>415</v>
      </c>
      <c r="F4306" t="s">
        <v>415</v>
      </c>
      <c r="G4306" s="1">
        <v>20911</v>
      </c>
      <c r="H4306" s="1">
        <v>44726</v>
      </c>
      <c r="I4306" t="s">
        <v>189</v>
      </c>
      <c r="J4306">
        <v>1</v>
      </c>
      <c r="L4306" t="s">
        <v>11641</v>
      </c>
    </row>
    <row r="4307" spans="1:40" x14ac:dyDescent="0.35">
      <c r="A4307">
        <v>7015249</v>
      </c>
      <c r="B4307" t="s">
        <v>11642</v>
      </c>
      <c r="C4307" t="str">
        <f>""</f>
        <v/>
      </c>
      <c r="D4307" t="str">
        <f>"9783110601183"</f>
        <v>9783110601183</v>
      </c>
      <c r="E4307" t="s">
        <v>415</v>
      </c>
      <c r="F4307" t="s">
        <v>665</v>
      </c>
      <c r="G4307" s="1">
        <v>43969</v>
      </c>
      <c r="H4307" s="1">
        <v>44726</v>
      </c>
      <c r="I4307" t="s">
        <v>189</v>
      </c>
      <c r="J4307">
        <v>1</v>
      </c>
      <c r="L4307" t="s">
        <v>11643</v>
      </c>
    </row>
    <row r="4308" spans="1:40" x14ac:dyDescent="0.35">
      <c r="A4308">
        <v>7015250</v>
      </c>
      <c r="B4308" t="s">
        <v>11644</v>
      </c>
      <c r="C4308" t="str">
        <f>""</f>
        <v/>
      </c>
      <c r="D4308" t="str">
        <f>"9783110622447"</f>
        <v>9783110622447</v>
      </c>
      <c r="E4308" t="s">
        <v>415</v>
      </c>
      <c r="F4308" t="s">
        <v>415</v>
      </c>
      <c r="G4308" s="1">
        <v>43494</v>
      </c>
      <c r="H4308" s="1">
        <v>44726</v>
      </c>
      <c r="I4308" t="s">
        <v>189</v>
      </c>
      <c r="J4308">
        <v>1</v>
      </c>
      <c r="K4308" t="s">
        <v>10673</v>
      </c>
      <c r="L4308" t="s">
        <v>11645</v>
      </c>
      <c r="M4308" t="s">
        <v>676</v>
      </c>
      <c r="Q4308" t="s">
        <v>408</v>
      </c>
      <c r="R4308" t="s">
        <v>261</v>
      </c>
      <c r="S4308" t="s">
        <v>261</v>
      </c>
      <c r="T4308" t="s">
        <v>261</v>
      </c>
      <c r="U4308" t="s">
        <v>261</v>
      </c>
      <c r="V4308" t="s">
        <v>262</v>
      </c>
      <c r="W4308" t="s">
        <v>261</v>
      </c>
      <c r="X4308" t="s">
        <v>261</v>
      </c>
      <c r="Y4308" t="s">
        <v>261</v>
      </c>
      <c r="Z4308" t="s">
        <v>409</v>
      </c>
      <c r="AA4308" t="s">
        <v>409</v>
      </c>
      <c r="AB4308" t="s">
        <v>409</v>
      </c>
      <c r="AC4308" t="s">
        <v>409</v>
      </c>
      <c r="AD4308" t="s">
        <v>261</v>
      </c>
      <c r="AH4308" t="s">
        <v>262</v>
      </c>
      <c r="AI4308" t="s">
        <v>262</v>
      </c>
      <c r="AJ4308" t="s">
        <v>261</v>
      </c>
      <c r="AK4308" t="s">
        <v>261</v>
      </c>
      <c r="AM4308" t="s">
        <v>262</v>
      </c>
      <c r="AN4308" t="s">
        <v>11646</v>
      </c>
    </row>
    <row r="4309" spans="1:40" x14ac:dyDescent="0.35">
      <c r="A4309">
        <v>7015251</v>
      </c>
      <c r="B4309" t="s">
        <v>11647</v>
      </c>
      <c r="C4309" t="str">
        <f>""</f>
        <v/>
      </c>
      <c r="D4309" t="str">
        <f>"9783110695366"</f>
        <v>9783110695366</v>
      </c>
      <c r="E4309" t="s">
        <v>415</v>
      </c>
      <c r="F4309" t="s">
        <v>415</v>
      </c>
      <c r="G4309" s="1">
        <v>44326</v>
      </c>
      <c r="H4309" s="1">
        <v>44726</v>
      </c>
      <c r="I4309" t="s">
        <v>189</v>
      </c>
      <c r="J4309">
        <v>1</v>
      </c>
      <c r="K4309" t="s">
        <v>11648</v>
      </c>
      <c r="L4309" t="s">
        <v>11649</v>
      </c>
    </row>
    <row r="4310" spans="1:40" x14ac:dyDescent="0.35">
      <c r="A4310">
        <v>7015252</v>
      </c>
      <c r="B4310" t="s">
        <v>11650</v>
      </c>
      <c r="C4310" t="str">
        <f>""</f>
        <v/>
      </c>
      <c r="D4310" t="str">
        <f>"9783111612089"</f>
        <v>9783111612089</v>
      </c>
      <c r="E4310" t="s">
        <v>415</v>
      </c>
      <c r="F4310" t="s">
        <v>415</v>
      </c>
      <c r="G4310" t="s">
        <v>11651</v>
      </c>
      <c r="H4310" s="1">
        <v>44726</v>
      </c>
      <c r="I4310" t="s">
        <v>189</v>
      </c>
      <c r="J4310">
        <v>1</v>
      </c>
      <c r="L4310" t="s">
        <v>11652</v>
      </c>
      <c r="M4310" t="s">
        <v>944</v>
      </c>
    </row>
    <row r="4311" spans="1:40" x14ac:dyDescent="0.35">
      <c r="A4311">
        <v>7015253</v>
      </c>
      <c r="B4311" t="s">
        <v>11653</v>
      </c>
      <c r="C4311" t="str">
        <f>""</f>
        <v/>
      </c>
      <c r="D4311" t="str">
        <f>"9783111698205"</f>
        <v>9783111698205</v>
      </c>
      <c r="E4311" t="s">
        <v>346</v>
      </c>
      <c r="F4311" t="s">
        <v>2637</v>
      </c>
      <c r="G4311" s="1">
        <v>26024</v>
      </c>
      <c r="H4311" s="1">
        <v>44726</v>
      </c>
      <c r="I4311" t="s">
        <v>189</v>
      </c>
      <c r="J4311">
        <v>1</v>
      </c>
      <c r="K4311" t="s">
        <v>11654</v>
      </c>
      <c r="L4311" t="s">
        <v>11655</v>
      </c>
      <c r="M4311" t="s">
        <v>676</v>
      </c>
    </row>
    <row r="4312" spans="1:40" x14ac:dyDescent="0.35">
      <c r="A4312">
        <v>7015254</v>
      </c>
      <c r="B4312" t="s">
        <v>11656</v>
      </c>
      <c r="C4312" t="str">
        <f>""</f>
        <v/>
      </c>
      <c r="D4312" t="str">
        <f>"9783111388618"</f>
        <v>9783111388618</v>
      </c>
      <c r="E4312" t="s">
        <v>415</v>
      </c>
      <c r="F4312" t="s">
        <v>415</v>
      </c>
      <c r="G4312" s="1">
        <v>24198</v>
      </c>
      <c r="H4312" s="1">
        <v>44732</v>
      </c>
      <c r="I4312" t="s">
        <v>189</v>
      </c>
      <c r="J4312">
        <v>1</v>
      </c>
      <c r="K4312" t="s">
        <v>11657</v>
      </c>
      <c r="M4312" t="s">
        <v>1831</v>
      </c>
    </row>
    <row r="4313" spans="1:40" x14ac:dyDescent="0.35">
      <c r="A4313">
        <v>7015255</v>
      </c>
      <c r="B4313" t="s">
        <v>11658</v>
      </c>
      <c r="C4313" t="str">
        <f>""</f>
        <v/>
      </c>
      <c r="D4313" t="str">
        <f>"9783110655575"</f>
        <v>9783110655575</v>
      </c>
      <c r="E4313" t="s">
        <v>415</v>
      </c>
      <c r="F4313" t="s">
        <v>665</v>
      </c>
      <c r="G4313" s="1">
        <v>44095</v>
      </c>
      <c r="H4313" s="1">
        <v>44726</v>
      </c>
      <c r="I4313" t="s">
        <v>189</v>
      </c>
      <c r="J4313">
        <v>1</v>
      </c>
      <c r="L4313" t="s">
        <v>11659</v>
      </c>
      <c r="M4313" t="s">
        <v>249</v>
      </c>
      <c r="O4313" s="2">
        <v>3820943</v>
      </c>
      <c r="Q4313" t="s">
        <v>260</v>
      </c>
      <c r="R4313" t="s">
        <v>261</v>
      </c>
      <c r="S4313" t="s">
        <v>261</v>
      </c>
      <c r="T4313" t="s">
        <v>261</v>
      </c>
      <c r="U4313" t="s">
        <v>261</v>
      </c>
      <c r="V4313" t="s">
        <v>262</v>
      </c>
      <c r="W4313" t="s">
        <v>261</v>
      </c>
      <c r="X4313" t="s">
        <v>261</v>
      </c>
      <c r="Y4313" t="s">
        <v>261</v>
      </c>
      <c r="Z4313" t="s">
        <v>409</v>
      </c>
      <c r="AA4313" t="s">
        <v>409</v>
      </c>
      <c r="AB4313" t="s">
        <v>409</v>
      </c>
      <c r="AC4313" t="s">
        <v>409</v>
      </c>
      <c r="AD4313" t="s">
        <v>261</v>
      </c>
      <c r="AH4313" t="s">
        <v>262</v>
      </c>
      <c r="AI4313" t="s">
        <v>262</v>
      </c>
      <c r="AJ4313" t="s">
        <v>261</v>
      </c>
      <c r="AK4313" t="s">
        <v>261</v>
      </c>
      <c r="AM4313" t="s">
        <v>262</v>
      </c>
      <c r="AN4313" t="s">
        <v>11660</v>
      </c>
    </row>
    <row r="4314" spans="1:40" x14ac:dyDescent="0.35">
      <c r="A4314">
        <v>7015256</v>
      </c>
      <c r="B4314" t="s">
        <v>11661</v>
      </c>
      <c r="C4314" t="str">
        <f>""</f>
        <v/>
      </c>
      <c r="D4314" t="str">
        <f>"9783110713336"</f>
        <v>9783110713336</v>
      </c>
      <c r="E4314" t="s">
        <v>415</v>
      </c>
      <c r="F4314" t="s">
        <v>415</v>
      </c>
      <c r="G4314" s="1">
        <v>44494</v>
      </c>
      <c r="H4314" s="1">
        <v>44726</v>
      </c>
      <c r="I4314" t="s">
        <v>189</v>
      </c>
      <c r="J4314">
        <v>1</v>
      </c>
      <c r="K4314" t="s">
        <v>11662</v>
      </c>
      <c r="L4314" t="s">
        <v>11663</v>
      </c>
    </row>
    <row r="4315" spans="1:40" x14ac:dyDescent="0.35">
      <c r="A4315">
        <v>7015257</v>
      </c>
      <c r="B4315" t="s">
        <v>11664</v>
      </c>
      <c r="C4315" t="str">
        <f>""</f>
        <v/>
      </c>
      <c r="D4315" t="str">
        <f>"9783486754360"</f>
        <v>9783486754360</v>
      </c>
      <c r="E4315" t="s">
        <v>415</v>
      </c>
      <c r="F4315" t="s">
        <v>665</v>
      </c>
      <c r="G4315" s="1">
        <v>9863</v>
      </c>
      <c r="H4315" s="1">
        <v>44726</v>
      </c>
      <c r="I4315" t="s">
        <v>189</v>
      </c>
      <c r="J4315">
        <v>1</v>
      </c>
      <c r="K4315" t="s">
        <v>10726</v>
      </c>
      <c r="L4315" t="s">
        <v>11665</v>
      </c>
      <c r="M4315" t="s">
        <v>219</v>
      </c>
      <c r="Q4315" t="s">
        <v>408</v>
      </c>
      <c r="R4315" t="s">
        <v>261</v>
      </c>
      <c r="S4315" t="s">
        <v>261</v>
      </c>
      <c r="T4315" t="s">
        <v>261</v>
      </c>
      <c r="U4315" t="s">
        <v>261</v>
      </c>
      <c r="V4315" t="s">
        <v>262</v>
      </c>
      <c r="W4315" t="s">
        <v>261</v>
      </c>
      <c r="X4315" t="s">
        <v>261</v>
      </c>
      <c r="Y4315" t="s">
        <v>261</v>
      </c>
      <c r="Z4315" t="s">
        <v>409</v>
      </c>
      <c r="AA4315" t="s">
        <v>409</v>
      </c>
      <c r="AB4315" t="s">
        <v>409</v>
      </c>
      <c r="AC4315" t="s">
        <v>409</v>
      </c>
      <c r="AD4315" t="s">
        <v>261</v>
      </c>
      <c r="AH4315" t="s">
        <v>262</v>
      </c>
      <c r="AI4315" t="s">
        <v>262</v>
      </c>
      <c r="AJ4315" t="s">
        <v>261</v>
      </c>
      <c r="AK4315" t="s">
        <v>261</v>
      </c>
      <c r="AM4315" t="s">
        <v>262</v>
      </c>
      <c r="AN4315" t="s">
        <v>11666</v>
      </c>
    </row>
    <row r="4316" spans="1:40" x14ac:dyDescent="0.35">
      <c r="A4316">
        <v>7015258</v>
      </c>
      <c r="B4316" t="s">
        <v>11667</v>
      </c>
      <c r="C4316" t="str">
        <f>"9783035617962"</f>
        <v>9783035617962</v>
      </c>
      <c r="D4316" t="str">
        <f>"9783035618013"</f>
        <v>9783035618013</v>
      </c>
      <c r="E4316" t="s">
        <v>415</v>
      </c>
      <c r="F4316" t="s">
        <v>1107</v>
      </c>
      <c r="G4316" s="1">
        <v>43333</v>
      </c>
      <c r="H4316" s="1">
        <v>44726</v>
      </c>
      <c r="I4316" t="s">
        <v>189</v>
      </c>
      <c r="J4316">
        <v>1</v>
      </c>
      <c r="L4316" t="s">
        <v>11668</v>
      </c>
    </row>
    <row r="4317" spans="1:40" x14ac:dyDescent="0.35">
      <c r="A4317">
        <v>7015259</v>
      </c>
      <c r="B4317" t="s">
        <v>11669</v>
      </c>
      <c r="C4317" t="str">
        <f>""</f>
        <v/>
      </c>
      <c r="D4317" t="str">
        <f>"9783111721088"</f>
        <v>9783111721088</v>
      </c>
      <c r="E4317" t="s">
        <v>415</v>
      </c>
      <c r="F4317" t="s">
        <v>415</v>
      </c>
      <c r="G4317" s="1">
        <v>92</v>
      </c>
      <c r="H4317" s="1">
        <v>44726</v>
      </c>
      <c r="I4317" t="s">
        <v>189</v>
      </c>
      <c r="J4317">
        <v>1</v>
      </c>
      <c r="L4317" t="s">
        <v>11670</v>
      </c>
      <c r="M4317" t="s">
        <v>239</v>
      </c>
      <c r="Q4317" t="s">
        <v>408</v>
      </c>
      <c r="R4317" t="s">
        <v>261</v>
      </c>
      <c r="S4317" t="s">
        <v>261</v>
      </c>
      <c r="T4317" t="s">
        <v>261</v>
      </c>
      <c r="U4317" t="s">
        <v>261</v>
      </c>
      <c r="V4317" t="s">
        <v>262</v>
      </c>
      <c r="W4317" t="s">
        <v>261</v>
      </c>
      <c r="X4317" t="s">
        <v>261</v>
      </c>
      <c r="Y4317" t="s">
        <v>261</v>
      </c>
      <c r="Z4317" t="s">
        <v>409</v>
      </c>
      <c r="AA4317" t="s">
        <v>409</v>
      </c>
      <c r="AB4317" t="s">
        <v>409</v>
      </c>
      <c r="AC4317" t="s">
        <v>409</v>
      </c>
      <c r="AD4317" t="s">
        <v>261</v>
      </c>
      <c r="AH4317" t="s">
        <v>262</v>
      </c>
      <c r="AI4317" t="s">
        <v>262</v>
      </c>
      <c r="AJ4317" t="s">
        <v>261</v>
      </c>
      <c r="AK4317" t="s">
        <v>261</v>
      </c>
      <c r="AM4317" t="s">
        <v>262</v>
      </c>
      <c r="AN4317" t="s">
        <v>11671</v>
      </c>
    </row>
    <row r="4318" spans="1:40" x14ac:dyDescent="0.35">
      <c r="A4318">
        <v>7015260</v>
      </c>
      <c r="B4318" t="s">
        <v>11672</v>
      </c>
      <c r="C4318" t="str">
        <f>""</f>
        <v/>
      </c>
      <c r="D4318" t="str">
        <f>"9783111436753"</f>
        <v>9783111436753</v>
      </c>
      <c r="E4318" t="s">
        <v>415</v>
      </c>
      <c r="F4318" t="s">
        <v>415</v>
      </c>
      <c r="G4318" s="1">
        <v>26755</v>
      </c>
      <c r="H4318" s="1">
        <v>44726</v>
      </c>
      <c r="I4318" t="s">
        <v>189</v>
      </c>
      <c r="J4318">
        <v>4</v>
      </c>
      <c r="L4318" t="s">
        <v>11673</v>
      </c>
      <c r="M4318" t="s">
        <v>249</v>
      </c>
    </row>
    <row r="4319" spans="1:40" x14ac:dyDescent="0.35">
      <c r="A4319">
        <v>7015261</v>
      </c>
      <c r="B4319" t="s">
        <v>11674</v>
      </c>
      <c r="C4319" t="str">
        <f>""</f>
        <v/>
      </c>
      <c r="D4319" t="str">
        <f>"9783111369914"</f>
        <v>9783111369914</v>
      </c>
      <c r="E4319" t="s">
        <v>415</v>
      </c>
      <c r="F4319" t="s">
        <v>415</v>
      </c>
      <c r="G4319" s="1">
        <v>27120</v>
      </c>
      <c r="H4319" s="1">
        <v>44726</v>
      </c>
      <c r="I4319" t="s">
        <v>189</v>
      </c>
      <c r="J4319">
        <v>1</v>
      </c>
      <c r="K4319" t="s">
        <v>10663</v>
      </c>
      <c r="L4319" t="s">
        <v>11675</v>
      </c>
    </row>
    <row r="4320" spans="1:40" x14ac:dyDescent="0.35">
      <c r="A4320">
        <v>7015262</v>
      </c>
      <c r="B4320" t="s">
        <v>11676</v>
      </c>
      <c r="C4320" t="str">
        <f>"9783111317410"</f>
        <v>9783111317410</v>
      </c>
      <c r="D4320" t="str">
        <f>"9783111706849"</f>
        <v>9783111706849</v>
      </c>
      <c r="E4320" t="s">
        <v>415</v>
      </c>
      <c r="F4320" t="s">
        <v>415</v>
      </c>
      <c r="G4320" t="s">
        <v>11677</v>
      </c>
      <c r="H4320" s="1">
        <v>44732</v>
      </c>
      <c r="I4320" t="s">
        <v>189</v>
      </c>
      <c r="J4320">
        <v>1</v>
      </c>
      <c r="M4320" t="s">
        <v>239</v>
      </c>
    </row>
    <row r="4321" spans="1:40" x14ac:dyDescent="0.35">
      <c r="A4321">
        <v>7015277</v>
      </c>
      <c r="B4321" t="s">
        <v>11678</v>
      </c>
      <c r="C4321" t="str">
        <f>"9781478015116"</f>
        <v>9781478015116</v>
      </c>
      <c r="D4321" t="str">
        <f>"9781478091806"</f>
        <v>9781478091806</v>
      </c>
      <c r="E4321" t="s">
        <v>687</v>
      </c>
      <c r="F4321" t="s">
        <v>687</v>
      </c>
      <c r="G4321" s="1">
        <v>44601</v>
      </c>
      <c r="H4321" s="1">
        <v>44726</v>
      </c>
      <c r="I4321" t="s">
        <v>189</v>
      </c>
      <c r="J4321">
        <v>1</v>
      </c>
      <c r="L4321" t="s">
        <v>11679</v>
      </c>
      <c r="M4321" t="s">
        <v>219</v>
      </c>
      <c r="N4321" t="s">
        <v>841</v>
      </c>
      <c r="O4321" s="2">
        <v>8099336</v>
      </c>
      <c r="Q4321" t="s">
        <v>260</v>
      </c>
      <c r="R4321" t="s">
        <v>261</v>
      </c>
      <c r="S4321" t="s">
        <v>261</v>
      </c>
      <c r="T4321" t="s">
        <v>261</v>
      </c>
      <c r="U4321" t="s">
        <v>261</v>
      </c>
      <c r="V4321" t="s">
        <v>262</v>
      </c>
      <c r="W4321" t="s">
        <v>261</v>
      </c>
      <c r="X4321" t="s">
        <v>261</v>
      </c>
      <c r="Y4321" t="s">
        <v>261</v>
      </c>
      <c r="Z4321" t="s">
        <v>409</v>
      </c>
      <c r="AB4321" t="s">
        <v>409</v>
      </c>
      <c r="AC4321" t="s">
        <v>409</v>
      </c>
      <c r="AD4321" t="s">
        <v>261</v>
      </c>
      <c r="AH4321" t="s">
        <v>262</v>
      </c>
      <c r="AI4321" t="s">
        <v>262</v>
      </c>
      <c r="AJ4321" t="s">
        <v>261</v>
      </c>
      <c r="AK4321" t="s">
        <v>261</v>
      </c>
      <c r="AM4321" t="s">
        <v>262</v>
      </c>
      <c r="AN4321" t="s">
        <v>11680</v>
      </c>
    </row>
    <row r="4322" spans="1:40" x14ac:dyDescent="0.35">
      <c r="A4322">
        <v>7015337</v>
      </c>
      <c r="B4322" t="s">
        <v>11681</v>
      </c>
      <c r="C4322" t="str">
        <f>"9789811901232"</f>
        <v>9789811901232</v>
      </c>
      <c r="D4322" t="str">
        <f>"9789811901249"</f>
        <v>9789811901249</v>
      </c>
      <c r="E4322" t="s">
        <v>2662</v>
      </c>
      <c r="F4322" t="s">
        <v>2663</v>
      </c>
      <c r="G4322" s="1">
        <v>44747</v>
      </c>
      <c r="H4322" s="1">
        <v>44739</v>
      </c>
      <c r="I4322" t="s">
        <v>189</v>
      </c>
      <c r="K4322" t="s">
        <v>11682</v>
      </c>
      <c r="L4322" t="s">
        <v>11683</v>
      </c>
    </row>
    <row r="4323" spans="1:40" x14ac:dyDescent="0.35">
      <c r="A4323">
        <v>7015360</v>
      </c>
      <c r="B4323" t="s">
        <v>11684</v>
      </c>
      <c r="C4323" t="str">
        <f>"9783030943158"</f>
        <v>9783030943158</v>
      </c>
      <c r="D4323" t="str">
        <f>"9783030943165"</f>
        <v>9783030943165</v>
      </c>
      <c r="E4323" t="s">
        <v>2289</v>
      </c>
      <c r="F4323" t="s">
        <v>2663</v>
      </c>
      <c r="G4323" s="1">
        <v>44763</v>
      </c>
      <c r="H4323" s="1">
        <v>44739</v>
      </c>
      <c r="I4323" t="s">
        <v>189</v>
      </c>
      <c r="L4323" t="s">
        <v>11685</v>
      </c>
      <c r="M4323" t="s">
        <v>329</v>
      </c>
      <c r="N4323" t="s">
        <v>8255</v>
      </c>
      <c r="O4323" s="2">
        <v>302231</v>
      </c>
      <c r="Q4323" t="s">
        <v>260</v>
      </c>
      <c r="R4323" t="s">
        <v>261</v>
      </c>
      <c r="S4323" t="s">
        <v>261</v>
      </c>
      <c r="T4323" t="s">
        <v>261</v>
      </c>
      <c r="U4323" t="s">
        <v>261</v>
      </c>
      <c r="V4323" t="s">
        <v>262</v>
      </c>
      <c r="W4323" t="s">
        <v>261</v>
      </c>
      <c r="X4323" t="s">
        <v>261</v>
      </c>
      <c r="Y4323" t="s">
        <v>261</v>
      </c>
      <c r="Z4323" t="s">
        <v>409</v>
      </c>
      <c r="AA4323" t="s">
        <v>409</v>
      </c>
      <c r="AB4323" t="s">
        <v>409</v>
      </c>
      <c r="AC4323" t="s">
        <v>409</v>
      </c>
      <c r="AD4323" t="s">
        <v>261</v>
      </c>
      <c r="AH4323" t="s">
        <v>262</v>
      </c>
      <c r="AI4323" t="s">
        <v>262</v>
      </c>
      <c r="AJ4323" t="s">
        <v>261</v>
      </c>
      <c r="AK4323" t="s">
        <v>261</v>
      </c>
      <c r="AM4323" t="s">
        <v>262</v>
      </c>
      <c r="AN4323" t="s">
        <v>11686</v>
      </c>
    </row>
    <row r="4324" spans="1:40" x14ac:dyDescent="0.35">
      <c r="A4324">
        <v>7015364</v>
      </c>
      <c r="B4324" t="s">
        <v>11687</v>
      </c>
      <c r="C4324" t="str">
        <f>"9789462655300"</f>
        <v>9789462655300</v>
      </c>
      <c r="D4324" t="str">
        <f>"9789462655317"</f>
        <v>9789462655317</v>
      </c>
      <c r="E4324" t="s">
        <v>4692</v>
      </c>
      <c r="F4324" t="s">
        <v>4692</v>
      </c>
      <c r="G4324" s="1">
        <v>44757</v>
      </c>
      <c r="H4324" s="1">
        <v>44739</v>
      </c>
      <c r="I4324" t="s">
        <v>189</v>
      </c>
      <c r="K4324" t="s">
        <v>11688</v>
      </c>
      <c r="L4324" t="s">
        <v>11689</v>
      </c>
      <c r="M4324" t="s">
        <v>316</v>
      </c>
      <c r="N4324" t="s">
        <v>11690</v>
      </c>
      <c r="Q4324" t="s">
        <v>260</v>
      </c>
      <c r="R4324" t="s">
        <v>261</v>
      </c>
      <c r="S4324" t="s">
        <v>261</v>
      </c>
      <c r="T4324" t="s">
        <v>261</v>
      </c>
      <c r="U4324" t="s">
        <v>261</v>
      </c>
      <c r="V4324" t="s">
        <v>262</v>
      </c>
      <c r="W4324" t="s">
        <v>261</v>
      </c>
      <c r="X4324" t="s">
        <v>261</v>
      </c>
      <c r="Y4324" t="s">
        <v>261</v>
      </c>
      <c r="Z4324" t="s">
        <v>409</v>
      </c>
      <c r="AA4324" t="s">
        <v>409</v>
      </c>
      <c r="AB4324" t="s">
        <v>409</v>
      </c>
      <c r="AC4324" t="s">
        <v>409</v>
      </c>
      <c r="AD4324" t="s">
        <v>261</v>
      </c>
      <c r="AH4324" t="s">
        <v>262</v>
      </c>
      <c r="AI4324" t="s">
        <v>262</v>
      </c>
      <c r="AJ4324" t="s">
        <v>261</v>
      </c>
      <c r="AK4324" t="s">
        <v>261</v>
      </c>
      <c r="AM4324" t="s">
        <v>262</v>
      </c>
      <c r="AN4324" t="s">
        <v>11691</v>
      </c>
    </row>
    <row r="4325" spans="1:40" x14ac:dyDescent="0.35">
      <c r="A4325">
        <v>7015379</v>
      </c>
      <c r="B4325" t="s">
        <v>11692</v>
      </c>
      <c r="C4325" t="str">
        <f>""</f>
        <v/>
      </c>
      <c r="D4325" t="str">
        <f>"9783110746877"</f>
        <v>9783110746877</v>
      </c>
      <c r="E4325" t="s">
        <v>415</v>
      </c>
      <c r="F4325" t="s">
        <v>415</v>
      </c>
      <c r="G4325" s="1">
        <v>44669</v>
      </c>
      <c r="H4325" s="1">
        <v>44739</v>
      </c>
      <c r="I4325" t="s">
        <v>189</v>
      </c>
      <c r="J4325">
        <v>1</v>
      </c>
      <c r="K4325" t="s">
        <v>11693</v>
      </c>
      <c r="L4325" t="s">
        <v>11694</v>
      </c>
      <c r="M4325" t="s">
        <v>389</v>
      </c>
      <c r="Q4325" t="s">
        <v>408</v>
      </c>
      <c r="R4325" t="s">
        <v>261</v>
      </c>
      <c r="S4325" t="s">
        <v>261</v>
      </c>
      <c r="T4325" t="s">
        <v>261</v>
      </c>
      <c r="U4325" t="s">
        <v>261</v>
      </c>
      <c r="V4325" t="s">
        <v>262</v>
      </c>
      <c r="W4325" t="s">
        <v>261</v>
      </c>
      <c r="X4325" t="s">
        <v>261</v>
      </c>
      <c r="Y4325" t="s">
        <v>261</v>
      </c>
      <c r="Z4325" t="s">
        <v>409</v>
      </c>
      <c r="AA4325" t="s">
        <v>409</v>
      </c>
      <c r="AB4325" t="s">
        <v>409</v>
      </c>
      <c r="AC4325" t="s">
        <v>409</v>
      </c>
      <c r="AD4325" t="s">
        <v>261</v>
      </c>
      <c r="AH4325" t="s">
        <v>262</v>
      </c>
      <c r="AI4325" t="s">
        <v>262</v>
      </c>
      <c r="AJ4325" t="s">
        <v>261</v>
      </c>
      <c r="AK4325" t="s">
        <v>261</v>
      </c>
      <c r="AM4325" t="s">
        <v>262</v>
      </c>
      <c r="AN4325" t="s">
        <v>11695</v>
      </c>
    </row>
    <row r="4326" spans="1:40" x14ac:dyDescent="0.35">
      <c r="A4326">
        <v>7015380</v>
      </c>
      <c r="B4326" t="s">
        <v>11696</v>
      </c>
      <c r="C4326" t="str">
        <f>"9783110183818"</f>
        <v>9783110183818</v>
      </c>
      <c r="D4326" t="str">
        <f>"9783110924572"</f>
        <v>9783110924572</v>
      </c>
      <c r="E4326" t="s">
        <v>415</v>
      </c>
      <c r="F4326" t="s">
        <v>415</v>
      </c>
      <c r="G4326" s="1">
        <v>39251</v>
      </c>
      <c r="H4326" s="1">
        <v>44739</v>
      </c>
      <c r="I4326" t="s">
        <v>189</v>
      </c>
      <c r="J4326">
        <v>1</v>
      </c>
      <c r="L4326" t="s">
        <v>11697</v>
      </c>
    </row>
    <row r="4327" spans="1:40" x14ac:dyDescent="0.35">
      <c r="A4327">
        <v>7015381</v>
      </c>
      <c r="B4327" t="s">
        <v>11698</v>
      </c>
      <c r="C4327" t="str">
        <f>""</f>
        <v/>
      </c>
      <c r="D4327" t="str">
        <f>"9783110661804"</f>
        <v>9783110661804</v>
      </c>
      <c r="E4327" t="s">
        <v>415</v>
      </c>
      <c r="F4327" t="s">
        <v>665</v>
      </c>
      <c r="G4327" s="1">
        <v>44561</v>
      </c>
      <c r="H4327" s="1">
        <v>44739</v>
      </c>
      <c r="I4327" t="s">
        <v>189</v>
      </c>
      <c r="J4327">
        <v>1</v>
      </c>
      <c r="L4327" t="s">
        <v>11699</v>
      </c>
      <c r="M4327" t="s">
        <v>578</v>
      </c>
    </row>
    <row r="4328" spans="1:40" x14ac:dyDescent="0.35">
      <c r="A4328">
        <v>7015382</v>
      </c>
      <c r="B4328" t="s">
        <v>11700</v>
      </c>
      <c r="C4328" t="str">
        <f>""</f>
        <v/>
      </c>
      <c r="D4328" t="str">
        <f>"9783110751987"</f>
        <v>9783110751987</v>
      </c>
      <c r="E4328" t="s">
        <v>415</v>
      </c>
      <c r="F4328" t="s">
        <v>415</v>
      </c>
      <c r="G4328" s="1">
        <v>44669</v>
      </c>
      <c r="H4328" s="1">
        <v>44739</v>
      </c>
      <c r="I4328" t="s">
        <v>189</v>
      </c>
      <c r="J4328">
        <v>1</v>
      </c>
      <c r="K4328" t="s">
        <v>11591</v>
      </c>
      <c r="L4328" t="s">
        <v>11701</v>
      </c>
    </row>
    <row r="4329" spans="1:40" x14ac:dyDescent="0.35">
      <c r="A4329">
        <v>7015383</v>
      </c>
      <c r="B4329" t="s">
        <v>11702</v>
      </c>
      <c r="C4329" t="str">
        <f>""</f>
        <v/>
      </c>
      <c r="D4329" t="str">
        <f>"9783110733853"</f>
        <v>9783110733853</v>
      </c>
      <c r="E4329" t="s">
        <v>346</v>
      </c>
      <c r="F4329" t="s">
        <v>2637</v>
      </c>
      <c r="G4329" s="1">
        <v>44718</v>
      </c>
      <c r="H4329" s="1">
        <v>44739</v>
      </c>
      <c r="I4329" t="s">
        <v>189</v>
      </c>
      <c r="J4329">
        <v>1</v>
      </c>
      <c r="K4329" t="s">
        <v>11703</v>
      </c>
      <c r="L4329" t="s">
        <v>11704</v>
      </c>
      <c r="M4329" t="s">
        <v>676</v>
      </c>
      <c r="O4329" t="s">
        <v>11705</v>
      </c>
      <c r="Q4329" t="s">
        <v>260</v>
      </c>
      <c r="R4329" t="s">
        <v>261</v>
      </c>
      <c r="S4329" t="s">
        <v>261</v>
      </c>
      <c r="T4329" t="s">
        <v>261</v>
      </c>
      <c r="U4329" t="s">
        <v>261</v>
      </c>
      <c r="V4329" t="s">
        <v>262</v>
      </c>
      <c r="W4329" t="s">
        <v>261</v>
      </c>
      <c r="X4329" t="s">
        <v>261</v>
      </c>
      <c r="Y4329" t="s">
        <v>261</v>
      </c>
      <c r="Z4329" t="s">
        <v>409</v>
      </c>
      <c r="AA4329" t="s">
        <v>409</v>
      </c>
      <c r="AB4329" t="s">
        <v>409</v>
      </c>
      <c r="AC4329" t="s">
        <v>409</v>
      </c>
      <c r="AD4329" t="s">
        <v>261</v>
      </c>
      <c r="AH4329" t="s">
        <v>262</v>
      </c>
      <c r="AI4329" t="s">
        <v>262</v>
      </c>
      <c r="AJ4329" t="s">
        <v>261</v>
      </c>
      <c r="AK4329" t="s">
        <v>261</v>
      </c>
      <c r="AM4329" t="s">
        <v>262</v>
      </c>
      <c r="AN4329" t="s">
        <v>11706</v>
      </c>
    </row>
    <row r="4330" spans="1:40" x14ac:dyDescent="0.35">
      <c r="A4330">
        <v>7015384</v>
      </c>
      <c r="B4330" t="s">
        <v>11707</v>
      </c>
      <c r="C4330" t="str">
        <f>""</f>
        <v/>
      </c>
      <c r="D4330" t="str">
        <f>"9783110703245"</f>
        <v>9783110703245</v>
      </c>
      <c r="E4330" t="s">
        <v>346</v>
      </c>
      <c r="F4330" t="s">
        <v>2637</v>
      </c>
      <c r="G4330" s="1">
        <v>44627</v>
      </c>
      <c r="H4330" s="1">
        <v>44739</v>
      </c>
      <c r="I4330" t="s">
        <v>189</v>
      </c>
      <c r="J4330">
        <v>1</v>
      </c>
      <c r="K4330" t="s">
        <v>11069</v>
      </c>
      <c r="L4330" t="s">
        <v>11708</v>
      </c>
    </row>
    <row r="4331" spans="1:40" x14ac:dyDescent="0.35">
      <c r="A4331">
        <v>7015385</v>
      </c>
      <c r="B4331" t="s">
        <v>11709</v>
      </c>
      <c r="C4331" t="str">
        <f>""</f>
        <v/>
      </c>
      <c r="D4331" t="str">
        <f>"9783110770209"</f>
        <v>9783110770209</v>
      </c>
      <c r="E4331" t="s">
        <v>415</v>
      </c>
      <c r="F4331" t="s">
        <v>415</v>
      </c>
      <c r="G4331" s="1">
        <v>44718</v>
      </c>
      <c r="H4331" s="1">
        <v>44739</v>
      </c>
      <c r="I4331" t="s">
        <v>189</v>
      </c>
      <c r="J4331">
        <v>1</v>
      </c>
      <c r="K4331" t="s">
        <v>3906</v>
      </c>
      <c r="L4331" t="s">
        <v>11710</v>
      </c>
    </row>
    <row r="4332" spans="1:40" x14ac:dyDescent="0.35">
      <c r="A4332">
        <v>7015386</v>
      </c>
      <c r="B4332" t="s">
        <v>11711</v>
      </c>
      <c r="C4332" t="str">
        <f>""</f>
        <v/>
      </c>
      <c r="D4332" t="str">
        <f>"9783110745528"</f>
        <v>9783110745528</v>
      </c>
      <c r="E4332" t="s">
        <v>415</v>
      </c>
      <c r="F4332" t="s">
        <v>415</v>
      </c>
      <c r="G4332" s="1">
        <v>44655</v>
      </c>
      <c r="H4332" s="1">
        <v>44739</v>
      </c>
      <c r="I4332" t="s">
        <v>189</v>
      </c>
      <c r="J4332">
        <v>1</v>
      </c>
      <c r="K4332" t="s">
        <v>10566</v>
      </c>
      <c r="L4332" t="s">
        <v>11712</v>
      </c>
      <c r="M4332" t="s">
        <v>239</v>
      </c>
    </row>
    <row r="4333" spans="1:40" x14ac:dyDescent="0.35">
      <c r="A4333">
        <v>7015387</v>
      </c>
      <c r="B4333" t="s">
        <v>11713</v>
      </c>
      <c r="C4333" t="str">
        <f>""</f>
        <v/>
      </c>
      <c r="D4333" t="str">
        <f>"9783486777277"</f>
        <v>9783486777277</v>
      </c>
      <c r="E4333" t="s">
        <v>415</v>
      </c>
      <c r="F4333" t="s">
        <v>665</v>
      </c>
      <c r="G4333" s="1">
        <v>18629</v>
      </c>
      <c r="H4333" s="1">
        <v>44739</v>
      </c>
      <c r="I4333" t="s">
        <v>189</v>
      </c>
      <c r="J4333">
        <v>1</v>
      </c>
      <c r="L4333" t="s">
        <v>11714</v>
      </c>
      <c r="M4333" t="s">
        <v>323</v>
      </c>
      <c r="Q4333" t="s">
        <v>408</v>
      </c>
      <c r="R4333" t="s">
        <v>261</v>
      </c>
      <c r="S4333" t="s">
        <v>261</v>
      </c>
      <c r="T4333" t="s">
        <v>261</v>
      </c>
      <c r="U4333" t="s">
        <v>261</v>
      </c>
      <c r="V4333" t="s">
        <v>262</v>
      </c>
      <c r="W4333" t="s">
        <v>261</v>
      </c>
      <c r="X4333" t="s">
        <v>261</v>
      </c>
      <c r="Y4333" t="s">
        <v>261</v>
      </c>
      <c r="Z4333" t="s">
        <v>409</v>
      </c>
      <c r="AA4333" t="s">
        <v>409</v>
      </c>
      <c r="AB4333" t="s">
        <v>409</v>
      </c>
      <c r="AC4333" t="s">
        <v>409</v>
      </c>
      <c r="AD4333" t="s">
        <v>261</v>
      </c>
      <c r="AH4333" t="s">
        <v>262</v>
      </c>
      <c r="AI4333" t="s">
        <v>262</v>
      </c>
      <c r="AJ4333" t="s">
        <v>261</v>
      </c>
      <c r="AK4333" t="s">
        <v>261</v>
      </c>
      <c r="AM4333" t="s">
        <v>262</v>
      </c>
      <c r="AN4333" t="s">
        <v>11715</v>
      </c>
    </row>
    <row r="4334" spans="1:40" x14ac:dyDescent="0.35">
      <c r="A4334">
        <v>7015389</v>
      </c>
      <c r="B4334" t="s">
        <v>11716</v>
      </c>
      <c r="C4334" t="str">
        <f>""</f>
        <v/>
      </c>
      <c r="D4334" t="str">
        <f>"9783110748703"</f>
        <v>9783110748703</v>
      </c>
      <c r="E4334" t="s">
        <v>415</v>
      </c>
      <c r="F4334" t="s">
        <v>415</v>
      </c>
      <c r="G4334" s="1">
        <v>44627</v>
      </c>
      <c r="H4334" s="1">
        <v>44739</v>
      </c>
      <c r="I4334" t="s">
        <v>189</v>
      </c>
      <c r="J4334">
        <v>1</v>
      </c>
      <c r="K4334" t="s">
        <v>6781</v>
      </c>
      <c r="L4334" t="s">
        <v>11717</v>
      </c>
    </row>
    <row r="4335" spans="1:40" x14ac:dyDescent="0.35">
      <c r="A4335">
        <v>7015390</v>
      </c>
      <c r="B4335" t="s">
        <v>11718</v>
      </c>
      <c r="C4335" t="str">
        <f>""</f>
        <v/>
      </c>
      <c r="D4335" t="str">
        <f>"9783110751734"</f>
        <v>9783110751734</v>
      </c>
      <c r="E4335" t="s">
        <v>415</v>
      </c>
      <c r="F4335" t="s">
        <v>415</v>
      </c>
      <c r="G4335" s="1">
        <v>44627</v>
      </c>
      <c r="H4335" s="1">
        <v>44739</v>
      </c>
      <c r="I4335" t="s">
        <v>189</v>
      </c>
      <c r="J4335">
        <v>1</v>
      </c>
      <c r="K4335" t="s">
        <v>6679</v>
      </c>
      <c r="L4335" t="s">
        <v>11719</v>
      </c>
      <c r="M4335" t="s">
        <v>676</v>
      </c>
      <c r="Q4335" t="s">
        <v>6636</v>
      </c>
    </row>
    <row r="4336" spans="1:40" x14ac:dyDescent="0.35">
      <c r="A4336">
        <v>7015391</v>
      </c>
      <c r="B4336" t="s">
        <v>11720</v>
      </c>
      <c r="C4336" t="str">
        <f>""</f>
        <v/>
      </c>
      <c r="D4336" t="str">
        <f>"9783110732283"</f>
        <v>9783110732283</v>
      </c>
      <c r="E4336" t="s">
        <v>415</v>
      </c>
      <c r="F4336" t="s">
        <v>665</v>
      </c>
      <c r="G4336" s="1">
        <v>44592</v>
      </c>
      <c r="H4336" s="1">
        <v>44739</v>
      </c>
      <c r="I4336" t="s">
        <v>189</v>
      </c>
      <c r="J4336">
        <v>1</v>
      </c>
      <c r="L4336" t="s">
        <v>11721</v>
      </c>
    </row>
    <row r="4337" spans="1:40" x14ac:dyDescent="0.35">
      <c r="A4337">
        <v>7015392</v>
      </c>
      <c r="B4337" t="s">
        <v>11722</v>
      </c>
      <c r="C4337" t="str">
        <f>""</f>
        <v/>
      </c>
      <c r="D4337" t="str">
        <f>"9783110758948"</f>
        <v>9783110758948</v>
      </c>
      <c r="E4337" t="s">
        <v>415</v>
      </c>
      <c r="F4337" t="s">
        <v>415</v>
      </c>
      <c r="G4337" s="1">
        <v>44718</v>
      </c>
      <c r="H4337" s="1">
        <v>44739</v>
      </c>
      <c r="I4337" t="s">
        <v>189</v>
      </c>
      <c r="J4337">
        <v>1</v>
      </c>
      <c r="K4337" t="s">
        <v>11723</v>
      </c>
      <c r="L4337" t="s">
        <v>11724</v>
      </c>
    </row>
    <row r="4338" spans="1:40" x14ac:dyDescent="0.35">
      <c r="A4338">
        <v>7015394</v>
      </c>
      <c r="B4338" t="s">
        <v>11725</v>
      </c>
      <c r="C4338" t="str">
        <f>""</f>
        <v/>
      </c>
      <c r="D4338" t="str">
        <f>"9783110749472"</f>
        <v>9783110749472</v>
      </c>
      <c r="E4338" t="s">
        <v>415</v>
      </c>
      <c r="F4338" t="s">
        <v>415</v>
      </c>
      <c r="G4338" s="1">
        <v>44592</v>
      </c>
      <c r="H4338" s="1">
        <v>44739</v>
      </c>
      <c r="I4338" t="s">
        <v>189</v>
      </c>
      <c r="J4338">
        <v>1</v>
      </c>
      <c r="K4338" t="s">
        <v>11726</v>
      </c>
      <c r="L4338" t="s">
        <v>11727</v>
      </c>
    </row>
    <row r="4339" spans="1:40" x14ac:dyDescent="0.35">
      <c r="A4339">
        <v>7015395</v>
      </c>
      <c r="B4339" t="s">
        <v>11728</v>
      </c>
      <c r="C4339" t="str">
        <f>""</f>
        <v/>
      </c>
      <c r="D4339" t="str">
        <f>"9783110723991"</f>
        <v>9783110723991</v>
      </c>
      <c r="E4339" t="s">
        <v>415</v>
      </c>
      <c r="F4339" t="s">
        <v>665</v>
      </c>
      <c r="G4339" s="1">
        <v>44733</v>
      </c>
      <c r="H4339" s="1">
        <v>44739</v>
      </c>
      <c r="I4339" t="s">
        <v>189</v>
      </c>
      <c r="J4339">
        <v>1</v>
      </c>
      <c r="K4339" t="s">
        <v>10563</v>
      </c>
      <c r="L4339" t="s">
        <v>11729</v>
      </c>
    </row>
    <row r="4340" spans="1:40" x14ac:dyDescent="0.35">
      <c r="A4340">
        <v>7015396</v>
      </c>
      <c r="B4340" t="s">
        <v>11730</v>
      </c>
      <c r="C4340" t="str">
        <f>""</f>
        <v/>
      </c>
      <c r="D4340" t="str">
        <f>"9783110760200"</f>
        <v>9783110760200</v>
      </c>
      <c r="E4340" t="s">
        <v>415</v>
      </c>
      <c r="F4340" t="s">
        <v>415</v>
      </c>
      <c r="G4340" s="1">
        <v>44592</v>
      </c>
      <c r="H4340" s="1">
        <v>44739</v>
      </c>
      <c r="I4340" t="s">
        <v>189</v>
      </c>
      <c r="J4340">
        <v>1</v>
      </c>
      <c r="K4340" t="s">
        <v>10944</v>
      </c>
      <c r="L4340" t="s">
        <v>127</v>
      </c>
      <c r="M4340" t="s">
        <v>239</v>
      </c>
    </row>
    <row r="4341" spans="1:40" x14ac:dyDescent="0.35">
      <c r="A4341">
        <v>7015397</v>
      </c>
      <c r="B4341" t="s">
        <v>11731</v>
      </c>
      <c r="C4341" t="str">
        <f>""</f>
        <v/>
      </c>
      <c r="D4341" t="str">
        <f>"9783110749823"</f>
        <v>9783110749823</v>
      </c>
      <c r="E4341" t="s">
        <v>415</v>
      </c>
      <c r="F4341" t="s">
        <v>415</v>
      </c>
      <c r="G4341" s="1">
        <v>44613</v>
      </c>
      <c r="H4341" s="1">
        <v>44739</v>
      </c>
      <c r="I4341" t="s">
        <v>189</v>
      </c>
      <c r="J4341">
        <v>1</v>
      </c>
      <c r="K4341" t="s">
        <v>11732</v>
      </c>
      <c r="L4341" t="s">
        <v>11733</v>
      </c>
      <c r="M4341" t="s">
        <v>239</v>
      </c>
      <c r="O4341" t="s">
        <v>11734</v>
      </c>
      <c r="Q4341" t="s">
        <v>260</v>
      </c>
      <c r="R4341" t="s">
        <v>261</v>
      </c>
      <c r="S4341" t="s">
        <v>261</v>
      </c>
      <c r="T4341" t="s">
        <v>261</v>
      </c>
      <c r="U4341" t="s">
        <v>261</v>
      </c>
      <c r="V4341" t="s">
        <v>262</v>
      </c>
      <c r="W4341" t="s">
        <v>261</v>
      </c>
      <c r="X4341" t="s">
        <v>261</v>
      </c>
      <c r="Y4341" t="s">
        <v>261</v>
      </c>
      <c r="Z4341" t="s">
        <v>409</v>
      </c>
      <c r="AA4341" t="s">
        <v>409</v>
      </c>
      <c r="AB4341" t="s">
        <v>409</v>
      </c>
      <c r="AC4341" t="s">
        <v>409</v>
      </c>
      <c r="AD4341" t="s">
        <v>261</v>
      </c>
      <c r="AH4341" t="s">
        <v>262</v>
      </c>
      <c r="AI4341" t="s">
        <v>262</v>
      </c>
      <c r="AJ4341" t="s">
        <v>261</v>
      </c>
      <c r="AK4341" t="s">
        <v>261</v>
      </c>
      <c r="AM4341" t="s">
        <v>262</v>
      </c>
      <c r="AN4341" t="s">
        <v>11735</v>
      </c>
    </row>
    <row r="4342" spans="1:40" x14ac:dyDescent="0.35">
      <c r="A4342">
        <v>7015398</v>
      </c>
      <c r="B4342" t="s">
        <v>11736</v>
      </c>
      <c r="C4342" t="str">
        <f>""</f>
        <v/>
      </c>
      <c r="D4342" t="str">
        <f>"9783110536539"</f>
        <v>9783110536539</v>
      </c>
      <c r="E4342" t="s">
        <v>415</v>
      </c>
      <c r="F4342" t="s">
        <v>415</v>
      </c>
      <c r="G4342" s="1">
        <v>44613</v>
      </c>
      <c r="H4342" s="1">
        <v>44739</v>
      </c>
      <c r="I4342" t="s">
        <v>189</v>
      </c>
      <c r="J4342">
        <v>1</v>
      </c>
      <c r="L4342" t="s">
        <v>11737</v>
      </c>
      <c r="M4342" t="s">
        <v>1831</v>
      </c>
      <c r="O4342" s="2">
        <v>130285</v>
      </c>
      <c r="Q4342" t="s">
        <v>260</v>
      </c>
      <c r="R4342" t="s">
        <v>261</v>
      </c>
      <c r="S4342" t="s">
        <v>261</v>
      </c>
      <c r="T4342" t="s">
        <v>261</v>
      </c>
      <c r="U4342" t="s">
        <v>261</v>
      </c>
      <c r="V4342" t="s">
        <v>262</v>
      </c>
      <c r="W4342" t="s">
        <v>261</v>
      </c>
      <c r="X4342" t="s">
        <v>261</v>
      </c>
      <c r="Y4342" t="s">
        <v>261</v>
      </c>
      <c r="Z4342" t="s">
        <v>409</v>
      </c>
      <c r="AA4342" t="s">
        <v>409</v>
      </c>
      <c r="AB4342" t="s">
        <v>409</v>
      </c>
      <c r="AC4342" t="s">
        <v>409</v>
      </c>
      <c r="AD4342" t="s">
        <v>261</v>
      </c>
      <c r="AH4342" t="s">
        <v>262</v>
      </c>
      <c r="AI4342" t="s">
        <v>262</v>
      </c>
      <c r="AJ4342" t="s">
        <v>261</v>
      </c>
      <c r="AK4342" t="s">
        <v>261</v>
      </c>
      <c r="AM4342" t="s">
        <v>262</v>
      </c>
      <c r="AN4342" t="s">
        <v>11738</v>
      </c>
    </row>
    <row r="4343" spans="1:40" x14ac:dyDescent="0.35">
      <c r="A4343">
        <v>7015399</v>
      </c>
      <c r="B4343" t="s">
        <v>11739</v>
      </c>
      <c r="C4343" t="str">
        <f>""</f>
        <v/>
      </c>
      <c r="D4343" t="str">
        <f>"9783110758603"</f>
        <v>9783110758603</v>
      </c>
      <c r="E4343" t="s">
        <v>415</v>
      </c>
      <c r="F4343" t="s">
        <v>415</v>
      </c>
      <c r="G4343" s="1">
        <v>44550</v>
      </c>
      <c r="H4343" s="1">
        <v>44739</v>
      </c>
      <c r="I4343" t="s">
        <v>189</v>
      </c>
      <c r="J4343">
        <v>1</v>
      </c>
      <c r="K4343" t="s">
        <v>11740</v>
      </c>
      <c r="L4343" t="s">
        <v>11741</v>
      </c>
    </row>
    <row r="4344" spans="1:40" x14ac:dyDescent="0.35">
      <c r="A4344">
        <v>7015400</v>
      </c>
      <c r="B4344" t="s">
        <v>11742</v>
      </c>
      <c r="C4344" t="str">
        <f>""</f>
        <v/>
      </c>
      <c r="D4344" t="str">
        <f>"9783486774382"</f>
        <v>9783486774382</v>
      </c>
      <c r="E4344" t="s">
        <v>415</v>
      </c>
      <c r="F4344" t="s">
        <v>665</v>
      </c>
      <c r="G4344" s="1">
        <v>43617</v>
      </c>
      <c r="H4344" s="1">
        <v>44739</v>
      </c>
      <c r="I4344" t="s">
        <v>189</v>
      </c>
      <c r="J4344">
        <v>2</v>
      </c>
      <c r="L4344" t="s">
        <v>10986</v>
      </c>
      <c r="M4344" t="s">
        <v>239</v>
      </c>
      <c r="Q4344" t="s">
        <v>408</v>
      </c>
      <c r="R4344" t="s">
        <v>261</v>
      </c>
      <c r="S4344" t="s">
        <v>261</v>
      </c>
      <c r="T4344" t="s">
        <v>261</v>
      </c>
      <c r="U4344" t="s">
        <v>261</v>
      </c>
      <c r="V4344" t="s">
        <v>262</v>
      </c>
      <c r="W4344" t="s">
        <v>261</v>
      </c>
      <c r="X4344" t="s">
        <v>261</v>
      </c>
      <c r="Y4344" t="s">
        <v>261</v>
      </c>
      <c r="Z4344" t="s">
        <v>409</v>
      </c>
      <c r="AA4344" t="s">
        <v>409</v>
      </c>
      <c r="AB4344" t="s">
        <v>409</v>
      </c>
      <c r="AC4344" t="s">
        <v>409</v>
      </c>
      <c r="AD4344" t="s">
        <v>261</v>
      </c>
      <c r="AH4344" t="s">
        <v>262</v>
      </c>
      <c r="AI4344" t="s">
        <v>262</v>
      </c>
      <c r="AJ4344" t="s">
        <v>261</v>
      </c>
      <c r="AK4344" t="s">
        <v>261</v>
      </c>
      <c r="AM4344" t="s">
        <v>262</v>
      </c>
      <c r="AN4344" t="s">
        <v>11743</v>
      </c>
    </row>
    <row r="4345" spans="1:40" x14ac:dyDescent="0.35">
      <c r="A4345">
        <v>7015401</v>
      </c>
      <c r="B4345" t="s">
        <v>11744</v>
      </c>
      <c r="C4345" t="str">
        <f>""</f>
        <v/>
      </c>
      <c r="D4345" t="str">
        <f>"9783110730104"</f>
        <v>9783110730104</v>
      </c>
      <c r="E4345" t="s">
        <v>415</v>
      </c>
      <c r="F4345" t="s">
        <v>665</v>
      </c>
      <c r="G4345" s="1">
        <v>44561</v>
      </c>
      <c r="H4345" s="1">
        <v>44739</v>
      </c>
      <c r="I4345" t="s">
        <v>189</v>
      </c>
      <c r="J4345">
        <v>1</v>
      </c>
      <c r="K4345" t="s">
        <v>11745</v>
      </c>
      <c r="L4345" t="s">
        <v>11746</v>
      </c>
    </row>
    <row r="4346" spans="1:40" x14ac:dyDescent="0.35">
      <c r="A4346">
        <v>7015402</v>
      </c>
      <c r="B4346" t="s">
        <v>11747</v>
      </c>
      <c r="C4346" t="str">
        <f>""</f>
        <v/>
      </c>
      <c r="D4346" t="str">
        <f>"9783110614787"</f>
        <v>9783110614787</v>
      </c>
      <c r="E4346" t="s">
        <v>415</v>
      </c>
      <c r="F4346" t="s">
        <v>415</v>
      </c>
      <c r="G4346" s="1">
        <v>43774</v>
      </c>
      <c r="H4346" s="1">
        <v>44739</v>
      </c>
      <c r="I4346" t="s">
        <v>189</v>
      </c>
      <c r="J4346">
        <v>1</v>
      </c>
      <c r="L4346" t="s">
        <v>11748</v>
      </c>
    </row>
    <row r="4347" spans="1:40" x14ac:dyDescent="0.35">
      <c r="A4347">
        <v>7015403</v>
      </c>
      <c r="B4347" t="s">
        <v>11749</v>
      </c>
      <c r="C4347" t="str">
        <f>""</f>
        <v/>
      </c>
      <c r="D4347" t="str">
        <f>"9783110749496"</f>
        <v>9783110749496</v>
      </c>
      <c r="E4347" t="s">
        <v>415</v>
      </c>
      <c r="F4347" t="s">
        <v>665</v>
      </c>
      <c r="G4347" s="1">
        <v>44627</v>
      </c>
      <c r="H4347" s="1">
        <v>44739</v>
      </c>
      <c r="I4347" t="s">
        <v>189</v>
      </c>
      <c r="J4347">
        <v>1</v>
      </c>
      <c r="L4347" t="s">
        <v>11750</v>
      </c>
      <c r="M4347" t="s">
        <v>239</v>
      </c>
      <c r="Q4347" t="s">
        <v>408</v>
      </c>
      <c r="R4347" t="s">
        <v>261</v>
      </c>
      <c r="S4347" t="s">
        <v>261</v>
      </c>
      <c r="T4347" t="s">
        <v>261</v>
      </c>
      <c r="U4347" t="s">
        <v>261</v>
      </c>
      <c r="V4347" t="s">
        <v>262</v>
      </c>
      <c r="W4347" t="s">
        <v>261</v>
      </c>
      <c r="X4347" t="s">
        <v>261</v>
      </c>
      <c r="Y4347" t="s">
        <v>261</v>
      </c>
      <c r="Z4347" t="s">
        <v>409</v>
      </c>
      <c r="AA4347" t="s">
        <v>409</v>
      </c>
      <c r="AB4347" t="s">
        <v>409</v>
      </c>
      <c r="AC4347" t="s">
        <v>409</v>
      </c>
      <c r="AD4347" t="s">
        <v>261</v>
      </c>
      <c r="AH4347" t="s">
        <v>262</v>
      </c>
      <c r="AI4347" t="s">
        <v>262</v>
      </c>
      <c r="AJ4347" t="s">
        <v>261</v>
      </c>
      <c r="AK4347" t="s">
        <v>261</v>
      </c>
      <c r="AM4347" t="s">
        <v>262</v>
      </c>
      <c r="AN4347" t="s">
        <v>11751</v>
      </c>
    </row>
    <row r="4348" spans="1:40" x14ac:dyDescent="0.35">
      <c r="A4348">
        <v>7015404</v>
      </c>
      <c r="B4348" t="s">
        <v>11752</v>
      </c>
      <c r="C4348" t="str">
        <f>""</f>
        <v/>
      </c>
      <c r="D4348" t="str">
        <f>"9783110701876"</f>
        <v>9783110701876</v>
      </c>
      <c r="E4348" t="s">
        <v>415</v>
      </c>
      <c r="F4348" t="s">
        <v>415</v>
      </c>
      <c r="G4348" s="1">
        <v>44585</v>
      </c>
      <c r="H4348" s="1">
        <v>44739</v>
      </c>
      <c r="I4348" t="s">
        <v>189</v>
      </c>
      <c r="J4348">
        <v>1</v>
      </c>
      <c r="L4348" t="s">
        <v>11753</v>
      </c>
    </row>
    <row r="4349" spans="1:40" x14ac:dyDescent="0.35">
      <c r="A4349">
        <v>7015405</v>
      </c>
      <c r="B4349" t="s">
        <v>11754</v>
      </c>
      <c r="C4349" t="str">
        <f>""</f>
        <v/>
      </c>
      <c r="D4349" t="str">
        <f>"9783110758825"</f>
        <v>9783110758825</v>
      </c>
      <c r="E4349" t="s">
        <v>415</v>
      </c>
      <c r="F4349" t="s">
        <v>665</v>
      </c>
      <c r="G4349" s="1">
        <v>44592</v>
      </c>
      <c r="H4349" s="1">
        <v>44739</v>
      </c>
      <c r="I4349" t="s">
        <v>189</v>
      </c>
      <c r="J4349">
        <v>1</v>
      </c>
      <c r="L4349" t="s">
        <v>11755</v>
      </c>
      <c r="M4349" t="s">
        <v>329</v>
      </c>
      <c r="O4349" t="s">
        <v>11756</v>
      </c>
      <c r="Q4349" t="s">
        <v>260</v>
      </c>
      <c r="R4349" t="s">
        <v>261</v>
      </c>
      <c r="S4349" t="s">
        <v>261</v>
      </c>
      <c r="T4349" t="s">
        <v>261</v>
      </c>
      <c r="U4349" t="s">
        <v>261</v>
      </c>
      <c r="V4349" t="s">
        <v>262</v>
      </c>
      <c r="W4349" t="s">
        <v>261</v>
      </c>
      <c r="X4349" t="s">
        <v>261</v>
      </c>
      <c r="Y4349" t="s">
        <v>261</v>
      </c>
      <c r="Z4349" t="s">
        <v>409</v>
      </c>
      <c r="AA4349" t="s">
        <v>409</v>
      </c>
      <c r="AB4349" t="s">
        <v>409</v>
      </c>
      <c r="AC4349" t="s">
        <v>409</v>
      </c>
      <c r="AD4349" t="s">
        <v>261</v>
      </c>
      <c r="AH4349" t="s">
        <v>262</v>
      </c>
      <c r="AI4349" t="s">
        <v>262</v>
      </c>
      <c r="AJ4349" t="s">
        <v>261</v>
      </c>
      <c r="AK4349" t="s">
        <v>261</v>
      </c>
      <c r="AM4349" t="s">
        <v>262</v>
      </c>
      <c r="AN4349" t="s">
        <v>11757</v>
      </c>
    </row>
    <row r="4350" spans="1:40" x14ac:dyDescent="0.35">
      <c r="A4350">
        <v>7015406</v>
      </c>
      <c r="B4350" t="s">
        <v>11758</v>
      </c>
      <c r="C4350" t="str">
        <f>""</f>
        <v/>
      </c>
      <c r="D4350" t="str">
        <f>"9783110779837"</f>
        <v>9783110779837</v>
      </c>
      <c r="E4350" t="s">
        <v>415</v>
      </c>
      <c r="F4350" t="s">
        <v>415</v>
      </c>
      <c r="G4350" s="1">
        <v>44536</v>
      </c>
      <c r="H4350" s="1">
        <v>44739</v>
      </c>
      <c r="I4350" t="s">
        <v>189</v>
      </c>
      <c r="J4350">
        <v>1</v>
      </c>
      <c r="L4350" t="s">
        <v>11759</v>
      </c>
      <c r="M4350" t="s">
        <v>578</v>
      </c>
      <c r="Q4350" t="s">
        <v>408</v>
      </c>
      <c r="R4350" t="s">
        <v>261</v>
      </c>
      <c r="S4350" t="s">
        <v>261</v>
      </c>
      <c r="T4350" t="s">
        <v>261</v>
      </c>
      <c r="U4350" t="s">
        <v>261</v>
      </c>
      <c r="V4350" t="s">
        <v>262</v>
      </c>
      <c r="W4350" t="s">
        <v>261</v>
      </c>
      <c r="X4350" t="s">
        <v>261</v>
      </c>
      <c r="Y4350" t="s">
        <v>261</v>
      </c>
      <c r="Z4350" t="s">
        <v>409</v>
      </c>
      <c r="AA4350" t="s">
        <v>409</v>
      </c>
      <c r="AB4350" t="s">
        <v>409</v>
      </c>
      <c r="AC4350" t="s">
        <v>409</v>
      </c>
      <c r="AD4350" t="s">
        <v>261</v>
      </c>
      <c r="AH4350" t="s">
        <v>262</v>
      </c>
      <c r="AI4350" t="s">
        <v>262</v>
      </c>
      <c r="AJ4350" t="s">
        <v>261</v>
      </c>
      <c r="AK4350" t="s">
        <v>261</v>
      </c>
      <c r="AM4350" t="s">
        <v>262</v>
      </c>
      <c r="AN4350" t="s">
        <v>11760</v>
      </c>
    </row>
    <row r="4351" spans="1:40" x14ac:dyDescent="0.35">
      <c r="A4351">
        <v>7015407</v>
      </c>
      <c r="B4351" t="s">
        <v>11761</v>
      </c>
      <c r="C4351" t="str">
        <f>""</f>
        <v/>
      </c>
      <c r="D4351" t="str">
        <f>"9783110766851"</f>
        <v>9783110766851</v>
      </c>
      <c r="E4351" t="s">
        <v>415</v>
      </c>
      <c r="F4351" t="s">
        <v>415</v>
      </c>
      <c r="G4351" s="1">
        <v>44627</v>
      </c>
      <c r="H4351" s="1">
        <v>44739</v>
      </c>
      <c r="I4351" t="s">
        <v>189</v>
      </c>
      <c r="J4351">
        <v>1</v>
      </c>
      <c r="K4351" t="s">
        <v>6679</v>
      </c>
      <c r="L4351" t="s">
        <v>11762</v>
      </c>
    </row>
    <row r="4352" spans="1:40" x14ac:dyDescent="0.35">
      <c r="A4352">
        <v>7015408</v>
      </c>
      <c r="B4352" t="s">
        <v>11763</v>
      </c>
      <c r="C4352" t="str">
        <f>""</f>
        <v/>
      </c>
      <c r="D4352" t="str">
        <f>"9783110763942"</f>
        <v>9783110763942</v>
      </c>
      <c r="E4352" t="s">
        <v>415</v>
      </c>
      <c r="F4352" t="s">
        <v>415</v>
      </c>
      <c r="G4352" s="1">
        <v>44613</v>
      </c>
      <c r="H4352" s="1">
        <v>44739</v>
      </c>
      <c r="I4352" t="s">
        <v>189</v>
      </c>
      <c r="J4352">
        <v>1</v>
      </c>
      <c r="K4352" t="s">
        <v>11732</v>
      </c>
      <c r="L4352" t="s">
        <v>11764</v>
      </c>
      <c r="M4352" t="s">
        <v>239</v>
      </c>
    </row>
    <row r="4353" spans="1:40" x14ac:dyDescent="0.35">
      <c r="A4353">
        <v>7015409</v>
      </c>
      <c r="B4353" t="s">
        <v>11765</v>
      </c>
      <c r="C4353" t="str">
        <f>""</f>
        <v/>
      </c>
      <c r="D4353" t="str">
        <f>"9783110709858"</f>
        <v>9783110709858</v>
      </c>
      <c r="E4353" t="s">
        <v>415</v>
      </c>
      <c r="F4353" t="s">
        <v>415</v>
      </c>
      <c r="G4353" s="1">
        <v>44733</v>
      </c>
      <c r="H4353" s="1">
        <v>44739</v>
      </c>
      <c r="I4353" t="s">
        <v>189</v>
      </c>
      <c r="J4353">
        <v>1</v>
      </c>
      <c r="L4353" t="s">
        <v>11766</v>
      </c>
    </row>
    <row r="4354" spans="1:40" x14ac:dyDescent="0.35">
      <c r="A4354">
        <v>7015410</v>
      </c>
      <c r="B4354" t="s">
        <v>11767</v>
      </c>
      <c r="C4354" t="str">
        <f>""</f>
        <v/>
      </c>
      <c r="D4354" t="str">
        <f>"9783110757408"</f>
        <v>9783110757408</v>
      </c>
      <c r="E4354" t="s">
        <v>415</v>
      </c>
      <c r="F4354" t="s">
        <v>415</v>
      </c>
      <c r="G4354" s="1">
        <v>44561</v>
      </c>
      <c r="H4354" s="1">
        <v>44739</v>
      </c>
      <c r="I4354" t="s">
        <v>189</v>
      </c>
      <c r="J4354">
        <v>1</v>
      </c>
      <c r="K4354" t="s">
        <v>3860</v>
      </c>
      <c r="L4354" t="s">
        <v>1148</v>
      </c>
      <c r="M4354" t="s">
        <v>239</v>
      </c>
      <c r="Q4354" t="s">
        <v>260</v>
      </c>
      <c r="R4354" t="s">
        <v>261</v>
      </c>
      <c r="S4354" t="s">
        <v>261</v>
      </c>
      <c r="T4354" t="s">
        <v>261</v>
      </c>
      <c r="U4354" t="s">
        <v>261</v>
      </c>
      <c r="V4354" t="s">
        <v>262</v>
      </c>
      <c r="W4354" t="s">
        <v>261</v>
      </c>
      <c r="X4354" t="s">
        <v>261</v>
      </c>
      <c r="Y4354" t="s">
        <v>261</v>
      </c>
      <c r="Z4354" t="s">
        <v>409</v>
      </c>
      <c r="AA4354" t="s">
        <v>409</v>
      </c>
      <c r="AB4354" t="s">
        <v>409</v>
      </c>
      <c r="AC4354" t="s">
        <v>409</v>
      </c>
      <c r="AD4354" t="s">
        <v>261</v>
      </c>
      <c r="AH4354" t="s">
        <v>262</v>
      </c>
      <c r="AI4354" t="s">
        <v>262</v>
      </c>
      <c r="AJ4354" t="s">
        <v>261</v>
      </c>
      <c r="AK4354" t="s">
        <v>261</v>
      </c>
      <c r="AM4354" t="s">
        <v>262</v>
      </c>
      <c r="AN4354" t="s">
        <v>11768</v>
      </c>
    </row>
    <row r="4355" spans="1:40" x14ac:dyDescent="0.35">
      <c r="A4355">
        <v>7015411</v>
      </c>
      <c r="B4355" t="s">
        <v>11769</v>
      </c>
      <c r="C4355" t="str">
        <f>""</f>
        <v/>
      </c>
      <c r="D4355" t="str">
        <f>"9783110757668"</f>
        <v>9783110757668</v>
      </c>
      <c r="E4355" t="s">
        <v>415</v>
      </c>
      <c r="F4355" t="s">
        <v>415</v>
      </c>
      <c r="G4355" s="1">
        <v>44651</v>
      </c>
      <c r="H4355" s="1">
        <v>44739</v>
      </c>
      <c r="I4355" t="s">
        <v>189</v>
      </c>
      <c r="J4355">
        <v>1</v>
      </c>
      <c r="K4355" t="s">
        <v>11770</v>
      </c>
      <c r="L4355" t="s">
        <v>11771</v>
      </c>
    </row>
    <row r="4356" spans="1:40" x14ac:dyDescent="0.35">
      <c r="A4356">
        <v>7015412</v>
      </c>
      <c r="B4356" t="s">
        <v>11772</v>
      </c>
      <c r="C4356" t="str">
        <f>""</f>
        <v/>
      </c>
      <c r="D4356" t="str">
        <f>"9783110719116"</f>
        <v>9783110719116</v>
      </c>
      <c r="E4356" t="s">
        <v>415</v>
      </c>
      <c r="F4356" t="s">
        <v>415</v>
      </c>
      <c r="G4356" s="1">
        <v>44592</v>
      </c>
      <c r="H4356" s="1">
        <v>44739</v>
      </c>
      <c r="I4356" t="s">
        <v>189</v>
      </c>
      <c r="J4356">
        <v>1</v>
      </c>
      <c r="K4356" t="s">
        <v>11773</v>
      </c>
      <c r="L4356" t="s">
        <v>11774</v>
      </c>
      <c r="M4356" t="s">
        <v>219</v>
      </c>
      <c r="O4356" s="2">
        <v>8308002</v>
      </c>
      <c r="Q4356" t="s">
        <v>408</v>
      </c>
      <c r="R4356" t="s">
        <v>261</v>
      </c>
      <c r="S4356" t="s">
        <v>261</v>
      </c>
      <c r="T4356" t="s">
        <v>261</v>
      </c>
      <c r="U4356" t="s">
        <v>261</v>
      </c>
      <c r="V4356" t="s">
        <v>262</v>
      </c>
      <c r="W4356" t="s">
        <v>261</v>
      </c>
      <c r="X4356" t="s">
        <v>261</v>
      </c>
      <c r="Y4356" t="s">
        <v>261</v>
      </c>
      <c r="Z4356" t="s">
        <v>409</v>
      </c>
      <c r="AA4356" t="s">
        <v>409</v>
      </c>
      <c r="AB4356" t="s">
        <v>409</v>
      </c>
      <c r="AC4356" t="s">
        <v>409</v>
      </c>
      <c r="AD4356" t="s">
        <v>261</v>
      </c>
      <c r="AH4356" t="s">
        <v>262</v>
      </c>
      <c r="AI4356" t="s">
        <v>262</v>
      </c>
      <c r="AJ4356" t="s">
        <v>261</v>
      </c>
      <c r="AK4356" t="s">
        <v>261</v>
      </c>
      <c r="AM4356" t="s">
        <v>262</v>
      </c>
      <c r="AN4356" t="s">
        <v>11775</v>
      </c>
    </row>
    <row r="4357" spans="1:40" x14ac:dyDescent="0.35">
      <c r="A4357">
        <v>7015413</v>
      </c>
      <c r="B4357" t="s">
        <v>11776</v>
      </c>
      <c r="C4357" t="str">
        <f>""</f>
        <v/>
      </c>
      <c r="D4357" t="str">
        <f>"9783110719055"</f>
        <v>9783110719055</v>
      </c>
      <c r="E4357" t="s">
        <v>415</v>
      </c>
      <c r="F4357" t="s">
        <v>415</v>
      </c>
      <c r="G4357" s="1">
        <v>44592</v>
      </c>
      <c r="H4357" s="1">
        <v>44739</v>
      </c>
      <c r="I4357" t="s">
        <v>189</v>
      </c>
      <c r="J4357">
        <v>1</v>
      </c>
      <c r="K4357" t="s">
        <v>11773</v>
      </c>
      <c r="L4357" t="s">
        <v>11774</v>
      </c>
      <c r="M4357" t="s">
        <v>219</v>
      </c>
      <c r="O4357" s="2">
        <v>8308002</v>
      </c>
      <c r="Q4357" t="s">
        <v>408</v>
      </c>
      <c r="R4357" t="s">
        <v>261</v>
      </c>
      <c r="S4357" t="s">
        <v>261</v>
      </c>
      <c r="T4357" t="s">
        <v>261</v>
      </c>
      <c r="U4357" t="s">
        <v>261</v>
      </c>
      <c r="V4357" t="s">
        <v>262</v>
      </c>
      <c r="W4357" t="s">
        <v>261</v>
      </c>
      <c r="X4357" t="s">
        <v>261</v>
      </c>
      <c r="Y4357" t="s">
        <v>261</v>
      </c>
      <c r="Z4357" t="s">
        <v>409</v>
      </c>
      <c r="AA4357" t="s">
        <v>409</v>
      </c>
      <c r="AB4357" t="s">
        <v>409</v>
      </c>
      <c r="AC4357" t="s">
        <v>409</v>
      </c>
      <c r="AD4357" t="s">
        <v>261</v>
      </c>
      <c r="AH4357" t="s">
        <v>262</v>
      </c>
      <c r="AI4357" t="s">
        <v>262</v>
      </c>
      <c r="AJ4357" t="s">
        <v>261</v>
      </c>
      <c r="AK4357" t="s">
        <v>261</v>
      </c>
      <c r="AM4357" t="s">
        <v>262</v>
      </c>
      <c r="AN4357" t="s">
        <v>11777</v>
      </c>
    </row>
    <row r="4358" spans="1:40" x14ac:dyDescent="0.35">
      <c r="A4358">
        <v>7015414</v>
      </c>
      <c r="B4358" t="s">
        <v>11778</v>
      </c>
      <c r="C4358" t="str">
        <f>"9783598220302"</f>
        <v>9783598220302</v>
      </c>
      <c r="D4358" t="str">
        <f>"9783598440243"</f>
        <v>9783598440243</v>
      </c>
      <c r="E4358" t="s">
        <v>346</v>
      </c>
      <c r="F4358" t="s">
        <v>346</v>
      </c>
      <c r="G4358" s="1">
        <v>39071</v>
      </c>
      <c r="H4358" s="1">
        <v>44739</v>
      </c>
      <c r="I4358" t="s">
        <v>189</v>
      </c>
      <c r="J4358">
        <v>1</v>
      </c>
      <c r="K4358" t="s">
        <v>347</v>
      </c>
      <c r="L4358" t="s">
        <v>417</v>
      </c>
      <c r="M4358" t="s">
        <v>379</v>
      </c>
      <c r="N4358" t="s">
        <v>11779</v>
      </c>
      <c r="Q4358" t="s">
        <v>260</v>
      </c>
      <c r="R4358" t="s">
        <v>261</v>
      </c>
      <c r="S4358" t="s">
        <v>261</v>
      </c>
      <c r="T4358" t="s">
        <v>261</v>
      </c>
      <c r="U4358" t="s">
        <v>261</v>
      </c>
      <c r="V4358" t="s">
        <v>262</v>
      </c>
      <c r="W4358" t="s">
        <v>261</v>
      </c>
      <c r="X4358" t="s">
        <v>261</v>
      </c>
      <c r="Y4358" t="s">
        <v>261</v>
      </c>
      <c r="Z4358" t="s">
        <v>409</v>
      </c>
      <c r="AA4358" t="s">
        <v>409</v>
      </c>
      <c r="AB4358" t="s">
        <v>409</v>
      </c>
      <c r="AC4358" t="s">
        <v>409</v>
      </c>
      <c r="AD4358" t="s">
        <v>261</v>
      </c>
      <c r="AH4358" t="s">
        <v>262</v>
      </c>
      <c r="AI4358" t="s">
        <v>262</v>
      </c>
      <c r="AJ4358" t="s">
        <v>261</v>
      </c>
      <c r="AK4358" t="s">
        <v>261</v>
      </c>
      <c r="AM4358" t="s">
        <v>262</v>
      </c>
      <c r="AN4358" t="s">
        <v>11780</v>
      </c>
    </row>
    <row r="4359" spans="1:40" x14ac:dyDescent="0.35">
      <c r="A4359">
        <v>7015415</v>
      </c>
      <c r="B4359" t="s">
        <v>11781</v>
      </c>
      <c r="C4359" t="str">
        <f>""</f>
        <v/>
      </c>
      <c r="D4359" t="str">
        <f>"9783110706611"</f>
        <v>9783110706611</v>
      </c>
      <c r="E4359" t="s">
        <v>415</v>
      </c>
      <c r="F4359" t="s">
        <v>415</v>
      </c>
      <c r="G4359" s="1">
        <v>44684</v>
      </c>
      <c r="H4359" s="1">
        <v>44739</v>
      </c>
      <c r="I4359" t="s">
        <v>189</v>
      </c>
      <c r="J4359">
        <v>1</v>
      </c>
      <c r="L4359" t="s">
        <v>11782</v>
      </c>
    </row>
    <row r="4360" spans="1:40" x14ac:dyDescent="0.35">
      <c r="A4360">
        <v>7015416</v>
      </c>
      <c r="B4360" t="s">
        <v>11783</v>
      </c>
      <c r="C4360" t="str">
        <f>""</f>
        <v/>
      </c>
      <c r="D4360" t="str">
        <f>"9783110707816"</f>
        <v>9783110707816</v>
      </c>
      <c r="E4360" t="s">
        <v>415</v>
      </c>
      <c r="F4360" t="s">
        <v>415</v>
      </c>
      <c r="G4360" s="1">
        <v>44718</v>
      </c>
      <c r="H4360" s="1">
        <v>44739</v>
      </c>
      <c r="I4360" t="s">
        <v>189</v>
      </c>
      <c r="J4360">
        <v>1</v>
      </c>
      <c r="K4360" t="s">
        <v>11784</v>
      </c>
      <c r="L4360" t="s">
        <v>11785</v>
      </c>
    </row>
    <row r="4361" spans="1:40" x14ac:dyDescent="0.35">
      <c r="A4361">
        <v>7015417</v>
      </c>
      <c r="B4361" t="s">
        <v>11786</v>
      </c>
      <c r="C4361" t="str">
        <f>""</f>
        <v/>
      </c>
      <c r="D4361" t="str">
        <f>"9783110764734"</f>
        <v>9783110764734</v>
      </c>
      <c r="E4361" t="s">
        <v>415</v>
      </c>
      <c r="F4361" t="s">
        <v>415</v>
      </c>
      <c r="G4361" s="1">
        <v>44565</v>
      </c>
      <c r="H4361" s="1">
        <v>44739</v>
      </c>
      <c r="I4361" t="s">
        <v>189</v>
      </c>
      <c r="J4361">
        <v>1</v>
      </c>
      <c r="K4361" t="s">
        <v>10793</v>
      </c>
      <c r="L4361" t="s">
        <v>89</v>
      </c>
    </row>
    <row r="4362" spans="1:40" x14ac:dyDescent="0.35">
      <c r="A4362">
        <v>7015418</v>
      </c>
      <c r="B4362" t="s">
        <v>11787</v>
      </c>
      <c r="C4362" t="str">
        <f>""</f>
        <v/>
      </c>
      <c r="D4362" t="str">
        <f>"9783110761658"</f>
        <v>9783110761658</v>
      </c>
      <c r="E4362" t="s">
        <v>415</v>
      </c>
      <c r="F4362" t="s">
        <v>415</v>
      </c>
      <c r="G4362" s="1">
        <v>44641</v>
      </c>
      <c r="H4362" s="1">
        <v>44739</v>
      </c>
      <c r="I4362" t="s">
        <v>189</v>
      </c>
      <c r="J4362">
        <v>1</v>
      </c>
      <c r="K4362" t="s">
        <v>11788</v>
      </c>
      <c r="L4362" t="s">
        <v>11789</v>
      </c>
    </row>
    <row r="4363" spans="1:40" x14ac:dyDescent="0.35">
      <c r="A4363">
        <v>7015419</v>
      </c>
      <c r="B4363" t="s">
        <v>11790</v>
      </c>
      <c r="C4363" t="str">
        <f>"9783486588576"</f>
        <v>9783486588576</v>
      </c>
      <c r="D4363" t="str">
        <f>"9783486707465"</f>
        <v>9783486707465</v>
      </c>
      <c r="E4363" t="s">
        <v>415</v>
      </c>
      <c r="F4363" t="s">
        <v>665</v>
      </c>
      <c r="G4363" s="1">
        <v>39869</v>
      </c>
      <c r="H4363" s="1">
        <v>44739</v>
      </c>
      <c r="I4363" t="s">
        <v>189</v>
      </c>
      <c r="J4363">
        <v>1</v>
      </c>
      <c r="K4363" t="s">
        <v>990</v>
      </c>
      <c r="L4363" t="s">
        <v>11791</v>
      </c>
    </row>
    <row r="4364" spans="1:40" x14ac:dyDescent="0.35">
      <c r="A4364">
        <v>7015420</v>
      </c>
      <c r="B4364" t="s">
        <v>11792</v>
      </c>
      <c r="C4364" t="str">
        <f>""</f>
        <v/>
      </c>
      <c r="D4364" t="str">
        <f>"9783110760828"</f>
        <v>9783110760828</v>
      </c>
      <c r="E4364" t="s">
        <v>415</v>
      </c>
      <c r="F4364" t="s">
        <v>415</v>
      </c>
      <c r="G4364" s="1">
        <v>44655</v>
      </c>
      <c r="H4364" s="1">
        <v>44739</v>
      </c>
      <c r="I4364" t="s">
        <v>189</v>
      </c>
      <c r="J4364">
        <v>1</v>
      </c>
      <c r="K4364" t="s">
        <v>11793</v>
      </c>
      <c r="L4364" t="s">
        <v>11794</v>
      </c>
      <c r="M4364" t="s">
        <v>219</v>
      </c>
    </row>
    <row r="4365" spans="1:40" x14ac:dyDescent="0.35">
      <c r="A4365">
        <v>7015421</v>
      </c>
      <c r="B4365" t="s">
        <v>11795</v>
      </c>
      <c r="C4365" t="str">
        <f>""</f>
        <v/>
      </c>
      <c r="D4365" t="str">
        <f>"9783110756029"</f>
        <v>9783110756029</v>
      </c>
      <c r="E4365" t="s">
        <v>415</v>
      </c>
      <c r="F4365" t="s">
        <v>415</v>
      </c>
      <c r="G4365" s="1">
        <v>44669</v>
      </c>
      <c r="H4365" s="1">
        <v>44739</v>
      </c>
      <c r="I4365" t="s">
        <v>189</v>
      </c>
      <c r="J4365">
        <v>1</v>
      </c>
      <c r="L4365" t="s">
        <v>11796</v>
      </c>
    </row>
    <row r="4366" spans="1:40" x14ac:dyDescent="0.35">
      <c r="A4366">
        <v>7015422</v>
      </c>
      <c r="B4366" t="s">
        <v>11797</v>
      </c>
      <c r="C4366" t="str">
        <f>""</f>
        <v/>
      </c>
      <c r="D4366" t="str">
        <f>"9783486757248"</f>
        <v>9783486757248</v>
      </c>
      <c r="E4366" t="s">
        <v>415</v>
      </c>
      <c r="F4366" t="s">
        <v>665</v>
      </c>
      <c r="G4366" s="1">
        <v>10594</v>
      </c>
      <c r="H4366" s="1">
        <v>44739</v>
      </c>
      <c r="I4366" t="s">
        <v>189</v>
      </c>
      <c r="J4366">
        <v>1</v>
      </c>
      <c r="K4366" t="s">
        <v>11798</v>
      </c>
      <c r="L4366" t="s">
        <v>11799</v>
      </c>
    </row>
    <row r="4367" spans="1:40" x14ac:dyDescent="0.35">
      <c r="A4367">
        <v>7015423</v>
      </c>
      <c r="B4367" t="s">
        <v>11800</v>
      </c>
      <c r="C4367" t="str">
        <f>""</f>
        <v/>
      </c>
      <c r="D4367" t="str">
        <f>"9783486754407"</f>
        <v>9783486754407</v>
      </c>
      <c r="E4367" t="s">
        <v>415</v>
      </c>
      <c r="F4367" t="s">
        <v>665</v>
      </c>
      <c r="G4367" s="1">
        <v>9863</v>
      </c>
      <c r="H4367" s="1">
        <v>44739</v>
      </c>
      <c r="I4367" t="s">
        <v>189</v>
      </c>
      <c r="J4367">
        <v>1</v>
      </c>
      <c r="L4367" t="s">
        <v>11801</v>
      </c>
      <c r="M4367" t="s">
        <v>3574</v>
      </c>
      <c r="Q4367" t="s">
        <v>408</v>
      </c>
      <c r="R4367" t="s">
        <v>261</v>
      </c>
      <c r="S4367" t="s">
        <v>261</v>
      </c>
      <c r="T4367" t="s">
        <v>261</v>
      </c>
      <c r="U4367" t="s">
        <v>261</v>
      </c>
      <c r="V4367" t="s">
        <v>262</v>
      </c>
      <c r="W4367" t="s">
        <v>261</v>
      </c>
      <c r="X4367" t="s">
        <v>261</v>
      </c>
      <c r="Y4367" t="s">
        <v>261</v>
      </c>
      <c r="Z4367" t="s">
        <v>409</v>
      </c>
      <c r="AA4367" t="s">
        <v>409</v>
      </c>
      <c r="AB4367" t="s">
        <v>409</v>
      </c>
      <c r="AC4367" t="s">
        <v>409</v>
      </c>
      <c r="AD4367" t="s">
        <v>261</v>
      </c>
      <c r="AH4367" t="s">
        <v>262</v>
      </c>
      <c r="AI4367" t="s">
        <v>262</v>
      </c>
      <c r="AJ4367" t="s">
        <v>261</v>
      </c>
      <c r="AK4367" t="s">
        <v>261</v>
      </c>
      <c r="AM4367" t="s">
        <v>262</v>
      </c>
      <c r="AN4367" t="s">
        <v>11802</v>
      </c>
    </row>
    <row r="4368" spans="1:40" x14ac:dyDescent="0.35">
      <c r="A4368">
        <v>7015424</v>
      </c>
      <c r="B4368" t="s">
        <v>11803</v>
      </c>
      <c r="C4368" t="str">
        <f>""</f>
        <v/>
      </c>
      <c r="D4368" t="str">
        <f>"9788366675612"</f>
        <v>9788366675612</v>
      </c>
      <c r="E4368" t="s">
        <v>415</v>
      </c>
      <c r="F4368" t="s">
        <v>659</v>
      </c>
      <c r="G4368" s="1">
        <v>44613</v>
      </c>
      <c r="H4368" s="1">
        <v>44739</v>
      </c>
      <c r="I4368" t="s">
        <v>189</v>
      </c>
      <c r="J4368">
        <v>1</v>
      </c>
      <c r="L4368" t="s">
        <v>11804</v>
      </c>
    </row>
    <row r="4369" spans="1:40" x14ac:dyDescent="0.35">
      <c r="A4369">
        <v>7015425</v>
      </c>
      <c r="B4369" t="s">
        <v>11805</v>
      </c>
      <c r="C4369" t="str">
        <f>""</f>
        <v/>
      </c>
      <c r="D4369" t="str">
        <f>"9783110762877"</f>
        <v>9783110762877</v>
      </c>
      <c r="E4369" t="s">
        <v>415</v>
      </c>
      <c r="F4369" t="s">
        <v>415</v>
      </c>
      <c r="G4369" s="1">
        <v>44592</v>
      </c>
      <c r="H4369" s="1">
        <v>44739</v>
      </c>
      <c r="I4369" t="s">
        <v>189</v>
      </c>
      <c r="J4369">
        <v>1</v>
      </c>
      <c r="L4369" t="s">
        <v>11806</v>
      </c>
    </row>
    <row r="4370" spans="1:40" x14ac:dyDescent="0.35">
      <c r="A4370">
        <v>7015426</v>
      </c>
      <c r="B4370" t="s">
        <v>11807</v>
      </c>
      <c r="C4370" t="str">
        <f>""</f>
        <v/>
      </c>
      <c r="D4370" t="str">
        <f>"9783110752748"</f>
        <v>9783110752748</v>
      </c>
      <c r="E4370" t="s">
        <v>415</v>
      </c>
      <c r="F4370" t="s">
        <v>415</v>
      </c>
      <c r="G4370" s="1">
        <v>44613</v>
      </c>
      <c r="H4370" s="1">
        <v>44739</v>
      </c>
      <c r="I4370" t="s">
        <v>189</v>
      </c>
      <c r="J4370">
        <v>1</v>
      </c>
      <c r="K4370" t="s">
        <v>11808</v>
      </c>
      <c r="L4370" t="s">
        <v>11809</v>
      </c>
      <c r="M4370" t="s">
        <v>578</v>
      </c>
      <c r="O4370" s="2">
        <v>79202808909</v>
      </c>
      <c r="Q4370" t="s">
        <v>260</v>
      </c>
      <c r="R4370" t="s">
        <v>261</v>
      </c>
      <c r="S4370" t="s">
        <v>261</v>
      </c>
      <c r="T4370" t="s">
        <v>261</v>
      </c>
      <c r="U4370" t="s">
        <v>261</v>
      </c>
      <c r="V4370" t="s">
        <v>262</v>
      </c>
      <c r="W4370" t="s">
        <v>261</v>
      </c>
      <c r="X4370" t="s">
        <v>261</v>
      </c>
      <c r="Y4370" t="s">
        <v>261</v>
      </c>
      <c r="Z4370" t="s">
        <v>409</v>
      </c>
      <c r="AA4370" t="s">
        <v>409</v>
      </c>
      <c r="AB4370" t="s">
        <v>409</v>
      </c>
      <c r="AC4370" t="s">
        <v>409</v>
      </c>
      <c r="AD4370" t="s">
        <v>261</v>
      </c>
      <c r="AH4370" t="s">
        <v>262</v>
      </c>
      <c r="AI4370" t="s">
        <v>262</v>
      </c>
      <c r="AJ4370" t="s">
        <v>261</v>
      </c>
      <c r="AK4370" t="s">
        <v>261</v>
      </c>
      <c r="AM4370" t="s">
        <v>262</v>
      </c>
      <c r="AN4370" t="s">
        <v>11810</v>
      </c>
    </row>
    <row r="4371" spans="1:40" x14ac:dyDescent="0.35">
      <c r="A4371">
        <v>7015427</v>
      </c>
      <c r="B4371" t="s">
        <v>11811</v>
      </c>
      <c r="C4371" t="str">
        <f>""</f>
        <v/>
      </c>
      <c r="D4371" t="str">
        <f>"9783110746396"</f>
        <v>9783110746396</v>
      </c>
      <c r="E4371" t="s">
        <v>415</v>
      </c>
      <c r="F4371" t="s">
        <v>415</v>
      </c>
      <c r="G4371" s="1">
        <v>44704</v>
      </c>
      <c r="H4371" s="1">
        <v>44739</v>
      </c>
      <c r="I4371" t="s">
        <v>189</v>
      </c>
      <c r="J4371">
        <v>1</v>
      </c>
      <c r="K4371" t="s">
        <v>3906</v>
      </c>
      <c r="L4371" t="s">
        <v>11812</v>
      </c>
    </row>
    <row r="4372" spans="1:40" x14ac:dyDescent="0.35">
      <c r="A4372">
        <v>7015428</v>
      </c>
      <c r="B4372" t="s">
        <v>11813</v>
      </c>
      <c r="C4372" t="str">
        <f>""</f>
        <v/>
      </c>
      <c r="D4372" t="str">
        <f>"9783110725339"</f>
        <v>9783110725339</v>
      </c>
      <c r="E4372" t="s">
        <v>415</v>
      </c>
      <c r="F4372" t="s">
        <v>415</v>
      </c>
      <c r="G4372" s="1">
        <v>44592</v>
      </c>
      <c r="H4372" s="1">
        <v>44739</v>
      </c>
      <c r="I4372" t="s">
        <v>189</v>
      </c>
      <c r="J4372">
        <v>1</v>
      </c>
      <c r="K4372" t="s">
        <v>11814</v>
      </c>
      <c r="L4372" t="s">
        <v>11815</v>
      </c>
    </row>
    <row r="4373" spans="1:40" x14ac:dyDescent="0.35">
      <c r="A4373">
        <v>7015429</v>
      </c>
      <c r="B4373" t="s">
        <v>11816</v>
      </c>
      <c r="C4373" t="str">
        <f>""</f>
        <v/>
      </c>
      <c r="D4373" t="str">
        <f>"9783110784312"</f>
        <v>9783110784312</v>
      </c>
      <c r="E4373" t="s">
        <v>415</v>
      </c>
      <c r="F4373" t="s">
        <v>415</v>
      </c>
      <c r="G4373" s="1">
        <v>44733</v>
      </c>
      <c r="H4373" s="1">
        <v>44739</v>
      </c>
      <c r="I4373" t="s">
        <v>189</v>
      </c>
      <c r="J4373">
        <v>1</v>
      </c>
      <c r="K4373" t="s">
        <v>3914</v>
      </c>
      <c r="L4373" t="s">
        <v>11817</v>
      </c>
      <c r="M4373" t="s">
        <v>1687</v>
      </c>
      <c r="O4373" t="s">
        <v>11818</v>
      </c>
      <c r="Q4373" t="s">
        <v>260</v>
      </c>
      <c r="R4373" t="s">
        <v>261</v>
      </c>
      <c r="S4373" t="s">
        <v>261</v>
      </c>
      <c r="T4373" t="s">
        <v>261</v>
      </c>
      <c r="U4373" t="s">
        <v>261</v>
      </c>
      <c r="V4373" t="s">
        <v>262</v>
      </c>
      <c r="W4373" t="s">
        <v>261</v>
      </c>
      <c r="X4373" t="s">
        <v>261</v>
      </c>
      <c r="Y4373" t="s">
        <v>261</v>
      </c>
      <c r="Z4373" t="s">
        <v>409</v>
      </c>
      <c r="AA4373" t="s">
        <v>409</v>
      </c>
      <c r="AB4373" t="s">
        <v>409</v>
      </c>
      <c r="AC4373" t="s">
        <v>409</v>
      </c>
      <c r="AD4373" t="s">
        <v>261</v>
      </c>
      <c r="AH4373" t="s">
        <v>262</v>
      </c>
      <c r="AI4373" t="s">
        <v>262</v>
      </c>
      <c r="AJ4373" t="s">
        <v>261</v>
      </c>
      <c r="AK4373" t="s">
        <v>261</v>
      </c>
      <c r="AM4373" t="s">
        <v>262</v>
      </c>
      <c r="AN4373" t="s">
        <v>11819</v>
      </c>
    </row>
    <row r="4374" spans="1:40" x14ac:dyDescent="0.35">
      <c r="A4374">
        <v>7015430</v>
      </c>
      <c r="B4374" t="s">
        <v>11820</v>
      </c>
      <c r="C4374" t="str">
        <f>""</f>
        <v/>
      </c>
      <c r="D4374" t="str">
        <f>"9783110706833"</f>
        <v>9783110706833</v>
      </c>
      <c r="E4374" t="s">
        <v>415</v>
      </c>
      <c r="F4374" t="s">
        <v>415</v>
      </c>
      <c r="G4374" s="1">
        <v>44733</v>
      </c>
      <c r="H4374" s="1">
        <v>44739</v>
      </c>
      <c r="I4374" t="s">
        <v>189</v>
      </c>
      <c r="J4374">
        <v>1</v>
      </c>
      <c r="K4374" t="s">
        <v>2717</v>
      </c>
      <c r="L4374" t="s">
        <v>11821</v>
      </c>
      <c r="M4374" t="s">
        <v>239</v>
      </c>
      <c r="O4374" t="s">
        <v>11822</v>
      </c>
      <c r="Q4374" t="s">
        <v>260</v>
      </c>
      <c r="R4374" t="s">
        <v>261</v>
      </c>
      <c r="S4374" t="s">
        <v>261</v>
      </c>
      <c r="T4374" t="s">
        <v>261</v>
      </c>
      <c r="U4374" t="s">
        <v>261</v>
      </c>
      <c r="V4374" t="s">
        <v>262</v>
      </c>
      <c r="W4374" t="s">
        <v>261</v>
      </c>
      <c r="X4374" t="s">
        <v>261</v>
      </c>
      <c r="Y4374" t="s">
        <v>261</v>
      </c>
      <c r="Z4374" t="s">
        <v>409</v>
      </c>
      <c r="AA4374" t="s">
        <v>409</v>
      </c>
      <c r="AB4374" t="s">
        <v>409</v>
      </c>
      <c r="AC4374" t="s">
        <v>409</v>
      </c>
      <c r="AD4374" t="s">
        <v>261</v>
      </c>
      <c r="AH4374" t="s">
        <v>262</v>
      </c>
      <c r="AI4374" t="s">
        <v>262</v>
      </c>
      <c r="AJ4374" t="s">
        <v>261</v>
      </c>
      <c r="AK4374" t="s">
        <v>261</v>
      </c>
      <c r="AM4374" t="s">
        <v>262</v>
      </c>
      <c r="AN4374" t="s">
        <v>11823</v>
      </c>
    </row>
    <row r="4375" spans="1:40" x14ac:dyDescent="0.35">
      <c r="A4375">
        <v>7015431</v>
      </c>
      <c r="B4375" t="s">
        <v>11824</v>
      </c>
      <c r="C4375" t="str">
        <f>""</f>
        <v/>
      </c>
      <c r="D4375" t="str">
        <f>"9783110759891"</f>
        <v>9783110759891</v>
      </c>
      <c r="E4375" t="s">
        <v>415</v>
      </c>
      <c r="F4375" t="s">
        <v>665</v>
      </c>
      <c r="G4375" s="1">
        <v>44522</v>
      </c>
      <c r="H4375" s="1">
        <v>44739</v>
      </c>
      <c r="I4375" t="s">
        <v>189</v>
      </c>
      <c r="J4375">
        <v>1</v>
      </c>
      <c r="K4375" t="s">
        <v>10632</v>
      </c>
      <c r="L4375" t="s">
        <v>11825</v>
      </c>
      <c r="M4375" t="s">
        <v>239</v>
      </c>
      <c r="Q4375" t="s">
        <v>408</v>
      </c>
      <c r="R4375" t="s">
        <v>261</v>
      </c>
      <c r="S4375" t="s">
        <v>261</v>
      </c>
      <c r="T4375" t="s">
        <v>261</v>
      </c>
      <c r="U4375" t="s">
        <v>261</v>
      </c>
      <c r="V4375" t="s">
        <v>262</v>
      </c>
      <c r="W4375" t="s">
        <v>261</v>
      </c>
      <c r="X4375" t="s">
        <v>261</v>
      </c>
      <c r="Y4375" t="s">
        <v>261</v>
      </c>
      <c r="Z4375" t="s">
        <v>409</v>
      </c>
      <c r="AA4375" t="s">
        <v>409</v>
      </c>
      <c r="AB4375" t="s">
        <v>409</v>
      </c>
      <c r="AC4375" t="s">
        <v>409</v>
      </c>
      <c r="AD4375" t="s">
        <v>261</v>
      </c>
      <c r="AH4375" t="s">
        <v>262</v>
      </c>
      <c r="AI4375" t="s">
        <v>262</v>
      </c>
      <c r="AJ4375" t="s">
        <v>261</v>
      </c>
      <c r="AK4375" t="s">
        <v>261</v>
      </c>
      <c r="AM4375" t="s">
        <v>262</v>
      </c>
      <c r="AN4375" t="s">
        <v>11826</v>
      </c>
    </row>
    <row r="4376" spans="1:40" x14ac:dyDescent="0.35">
      <c r="A4376">
        <v>7015432</v>
      </c>
      <c r="B4376" t="s">
        <v>11827</v>
      </c>
      <c r="C4376" t="str">
        <f>""</f>
        <v/>
      </c>
      <c r="D4376" t="str">
        <f>"9783110747171"</f>
        <v>9783110747171</v>
      </c>
      <c r="E4376" t="s">
        <v>415</v>
      </c>
      <c r="F4376" t="s">
        <v>415</v>
      </c>
      <c r="G4376" s="1">
        <v>44704</v>
      </c>
      <c r="H4376" s="1">
        <v>44739</v>
      </c>
      <c r="I4376" t="s">
        <v>189</v>
      </c>
      <c r="J4376">
        <v>1</v>
      </c>
      <c r="L4376" t="s">
        <v>11828</v>
      </c>
      <c r="M4376" t="s">
        <v>219</v>
      </c>
      <c r="Q4376" t="s">
        <v>408</v>
      </c>
      <c r="R4376" t="s">
        <v>261</v>
      </c>
      <c r="S4376" t="s">
        <v>261</v>
      </c>
      <c r="T4376" t="s">
        <v>261</v>
      </c>
      <c r="U4376" t="s">
        <v>261</v>
      </c>
      <c r="V4376" t="s">
        <v>262</v>
      </c>
      <c r="W4376" t="s">
        <v>261</v>
      </c>
      <c r="X4376" t="s">
        <v>261</v>
      </c>
      <c r="Y4376" t="s">
        <v>261</v>
      </c>
      <c r="Z4376" t="s">
        <v>409</v>
      </c>
      <c r="AA4376" t="s">
        <v>409</v>
      </c>
      <c r="AB4376" t="s">
        <v>409</v>
      </c>
      <c r="AC4376" t="s">
        <v>409</v>
      </c>
      <c r="AD4376" t="s">
        <v>261</v>
      </c>
      <c r="AH4376" t="s">
        <v>262</v>
      </c>
      <c r="AI4376" t="s">
        <v>262</v>
      </c>
      <c r="AJ4376" t="s">
        <v>261</v>
      </c>
      <c r="AK4376" t="s">
        <v>261</v>
      </c>
      <c r="AM4376" t="s">
        <v>262</v>
      </c>
      <c r="AN4376" t="s">
        <v>11829</v>
      </c>
    </row>
    <row r="4377" spans="1:40" x14ac:dyDescent="0.35">
      <c r="A4377">
        <v>7015433</v>
      </c>
      <c r="B4377" t="s">
        <v>11830</v>
      </c>
      <c r="C4377" t="str">
        <f>""</f>
        <v/>
      </c>
      <c r="D4377" t="str">
        <f>"9783110732221"</f>
        <v>9783110732221</v>
      </c>
      <c r="E4377" t="s">
        <v>415</v>
      </c>
      <c r="F4377" t="s">
        <v>415</v>
      </c>
      <c r="G4377" s="1">
        <v>44550</v>
      </c>
      <c r="H4377" s="1">
        <v>44739</v>
      </c>
      <c r="I4377" t="s">
        <v>189</v>
      </c>
      <c r="J4377">
        <v>1</v>
      </c>
      <c r="K4377" t="s">
        <v>11831</v>
      </c>
      <c r="L4377" t="s">
        <v>11832</v>
      </c>
    </row>
    <row r="4378" spans="1:40" x14ac:dyDescent="0.35">
      <c r="A4378">
        <v>7015434</v>
      </c>
      <c r="B4378" t="s">
        <v>11833</v>
      </c>
      <c r="C4378" t="str">
        <f>""</f>
        <v/>
      </c>
      <c r="D4378" t="str">
        <f>"9783110751321"</f>
        <v>9783110751321</v>
      </c>
      <c r="E4378" t="s">
        <v>415</v>
      </c>
      <c r="F4378" t="s">
        <v>415</v>
      </c>
      <c r="G4378" s="1">
        <v>44718</v>
      </c>
      <c r="H4378" s="1">
        <v>44739</v>
      </c>
      <c r="I4378" t="s">
        <v>189</v>
      </c>
      <c r="J4378">
        <v>1</v>
      </c>
      <c r="L4378" t="s">
        <v>3873</v>
      </c>
      <c r="M4378" t="s">
        <v>219</v>
      </c>
      <c r="Q4378" t="s">
        <v>408</v>
      </c>
      <c r="R4378" t="s">
        <v>261</v>
      </c>
      <c r="S4378" t="s">
        <v>261</v>
      </c>
      <c r="T4378" t="s">
        <v>261</v>
      </c>
      <c r="U4378" t="s">
        <v>261</v>
      </c>
      <c r="V4378" t="s">
        <v>262</v>
      </c>
      <c r="W4378" t="s">
        <v>261</v>
      </c>
      <c r="X4378" t="s">
        <v>261</v>
      </c>
      <c r="Y4378" t="s">
        <v>261</v>
      </c>
      <c r="Z4378" t="s">
        <v>409</v>
      </c>
      <c r="AA4378" t="s">
        <v>409</v>
      </c>
      <c r="AB4378" t="s">
        <v>409</v>
      </c>
      <c r="AC4378" t="s">
        <v>409</v>
      </c>
      <c r="AD4378" t="s">
        <v>261</v>
      </c>
      <c r="AH4378" t="s">
        <v>262</v>
      </c>
      <c r="AI4378" t="s">
        <v>262</v>
      </c>
      <c r="AJ4378" t="s">
        <v>261</v>
      </c>
      <c r="AK4378" t="s">
        <v>261</v>
      </c>
      <c r="AM4378" t="s">
        <v>262</v>
      </c>
      <c r="AN4378" t="s">
        <v>11834</v>
      </c>
    </row>
    <row r="4379" spans="1:40" x14ac:dyDescent="0.35">
      <c r="A4379">
        <v>7015435</v>
      </c>
      <c r="B4379" t="s">
        <v>11835</v>
      </c>
      <c r="C4379" t="str">
        <f>""</f>
        <v/>
      </c>
      <c r="D4379" t="str">
        <f>"9783110719109"</f>
        <v>9783110719109</v>
      </c>
      <c r="E4379" t="s">
        <v>415</v>
      </c>
      <c r="F4379" t="s">
        <v>415</v>
      </c>
      <c r="G4379" s="1">
        <v>44592</v>
      </c>
      <c r="H4379" s="1">
        <v>44739</v>
      </c>
      <c r="I4379" t="s">
        <v>189</v>
      </c>
      <c r="J4379">
        <v>1</v>
      </c>
      <c r="K4379" t="s">
        <v>11773</v>
      </c>
      <c r="L4379" t="s">
        <v>11774</v>
      </c>
      <c r="M4379" t="s">
        <v>219</v>
      </c>
      <c r="O4379" s="2">
        <v>8308002</v>
      </c>
      <c r="Q4379" t="s">
        <v>408</v>
      </c>
      <c r="R4379" t="s">
        <v>261</v>
      </c>
      <c r="S4379" t="s">
        <v>261</v>
      </c>
      <c r="T4379" t="s">
        <v>261</v>
      </c>
      <c r="U4379" t="s">
        <v>261</v>
      </c>
      <c r="V4379" t="s">
        <v>262</v>
      </c>
      <c r="W4379" t="s">
        <v>261</v>
      </c>
      <c r="X4379" t="s">
        <v>261</v>
      </c>
      <c r="Y4379" t="s">
        <v>261</v>
      </c>
      <c r="Z4379" t="s">
        <v>409</v>
      </c>
      <c r="AA4379" t="s">
        <v>409</v>
      </c>
      <c r="AB4379" t="s">
        <v>409</v>
      </c>
      <c r="AC4379" t="s">
        <v>409</v>
      </c>
      <c r="AD4379" t="s">
        <v>261</v>
      </c>
      <c r="AH4379" t="s">
        <v>262</v>
      </c>
      <c r="AI4379" t="s">
        <v>262</v>
      </c>
      <c r="AJ4379" t="s">
        <v>261</v>
      </c>
      <c r="AK4379" t="s">
        <v>261</v>
      </c>
      <c r="AM4379" t="s">
        <v>262</v>
      </c>
      <c r="AN4379" t="s">
        <v>11836</v>
      </c>
    </row>
    <row r="4380" spans="1:40" x14ac:dyDescent="0.35">
      <c r="A4380">
        <v>7015436</v>
      </c>
      <c r="B4380" t="s">
        <v>11837</v>
      </c>
      <c r="C4380" t="str">
        <f>""</f>
        <v/>
      </c>
      <c r="D4380" t="str">
        <f>"9783110719093"</f>
        <v>9783110719093</v>
      </c>
      <c r="E4380" t="s">
        <v>415</v>
      </c>
      <c r="F4380" t="s">
        <v>415</v>
      </c>
      <c r="G4380" s="1">
        <v>44592</v>
      </c>
      <c r="H4380" s="1">
        <v>44739</v>
      </c>
      <c r="I4380" t="s">
        <v>189</v>
      </c>
      <c r="J4380">
        <v>1</v>
      </c>
      <c r="K4380" t="s">
        <v>11773</v>
      </c>
      <c r="L4380" t="s">
        <v>11774</v>
      </c>
      <c r="M4380" t="s">
        <v>219</v>
      </c>
      <c r="O4380" s="2">
        <v>8308002</v>
      </c>
      <c r="Q4380" t="s">
        <v>408</v>
      </c>
      <c r="R4380" t="s">
        <v>261</v>
      </c>
      <c r="S4380" t="s">
        <v>261</v>
      </c>
      <c r="T4380" t="s">
        <v>261</v>
      </c>
      <c r="U4380" t="s">
        <v>261</v>
      </c>
      <c r="V4380" t="s">
        <v>262</v>
      </c>
      <c r="W4380" t="s">
        <v>261</v>
      </c>
      <c r="X4380" t="s">
        <v>261</v>
      </c>
      <c r="Y4380" t="s">
        <v>261</v>
      </c>
      <c r="Z4380" t="s">
        <v>409</v>
      </c>
      <c r="AA4380" t="s">
        <v>409</v>
      </c>
      <c r="AB4380" t="s">
        <v>409</v>
      </c>
      <c r="AC4380" t="s">
        <v>409</v>
      </c>
      <c r="AD4380" t="s">
        <v>261</v>
      </c>
      <c r="AH4380" t="s">
        <v>262</v>
      </c>
      <c r="AI4380" t="s">
        <v>262</v>
      </c>
      <c r="AJ4380" t="s">
        <v>261</v>
      </c>
      <c r="AK4380" t="s">
        <v>261</v>
      </c>
      <c r="AM4380" t="s">
        <v>262</v>
      </c>
      <c r="AN4380" t="s">
        <v>11838</v>
      </c>
    </row>
    <row r="4381" spans="1:40" x14ac:dyDescent="0.35">
      <c r="A4381">
        <v>7015437</v>
      </c>
      <c r="B4381" t="s">
        <v>11839</v>
      </c>
      <c r="C4381" t="str">
        <f>""</f>
        <v/>
      </c>
      <c r="D4381" t="str">
        <f>"9783110726213"</f>
        <v>9783110726213</v>
      </c>
      <c r="E4381" t="s">
        <v>415</v>
      </c>
      <c r="F4381" t="s">
        <v>416</v>
      </c>
      <c r="G4381" s="1">
        <v>44550</v>
      </c>
      <c r="H4381" s="1">
        <v>44739</v>
      </c>
      <c r="I4381" t="s">
        <v>189</v>
      </c>
      <c r="J4381">
        <v>1</v>
      </c>
      <c r="K4381" t="s">
        <v>529</v>
      </c>
      <c r="L4381" t="s">
        <v>11840</v>
      </c>
    </row>
    <row r="4382" spans="1:40" x14ac:dyDescent="0.35">
      <c r="A4382">
        <v>7015438</v>
      </c>
      <c r="B4382" t="s">
        <v>11841</v>
      </c>
      <c r="C4382" t="str">
        <f>""</f>
        <v/>
      </c>
      <c r="D4382" t="str">
        <f>"9783110770506"</f>
        <v>9783110770506</v>
      </c>
      <c r="E4382" t="s">
        <v>415</v>
      </c>
      <c r="F4382" t="s">
        <v>415</v>
      </c>
      <c r="G4382" s="1">
        <v>44684</v>
      </c>
      <c r="H4382" s="1">
        <v>44739</v>
      </c>
      <c r="I4382" t="s">
        <v>189</v>
      </c>
      <c r="J4382">
        <v>1</v>
      </c>
      <c r="K4382" t="s">
        <v>6821</v>
      </c>
      <c r="L4382" t="s">
        <v>11842</v>
      </c>
      <c r="M4382" t="s">
        <v>389</v>
      </c>
      <c r="Q4382" t="s">
        <v>408</v>
      </c>
      <c r="R4382" t="s">
        <v>261</v>
      </c>
      <c r="S4382" t="s">
        <v>261</v>
      </c>
      <c r="T4382" t="s">
        <v>261</v>
      </c>
      <c r="U4382" t="s">
        <v>261</v>
      </c>
      <c r="V4382" t="s">
        <v>262</v>
      </c>
      <c r="W4382" t="s">
        <v>261</v>
      </c>
      <c r="X4382" t="s">
        <v>261</v>
      </c>
      <c r="Y4382" t="s">
        <v>261</v>
      </c>
      <c r="Z4382" t="s">
        <v>409</v>
      </c>
      <c r="AA4382" t="s">
        <v>409</v>
      </c>
      <c r="AB4382" t="s">
        <v>409</v>
      </c>
      <c r="AC4382" t="s">
        <v>409</v>
      </c>
      <c r="AD4382" t="s">
        <v>261</v>
      </c>
      <c r="AH4382" t="s">
        <v>262</v>
      </c>
      <c r="AI4382" t="s">
        <v>262</v>
      </c>
      <c r="AJ4382" t="s">
        <v>261</v>
      </c>
      <c r="AK4382" t="s">
        <v>261</v>
      </c>
      <c r="AM4382" t="s">
        <v>262</v>
      </c>
      <c r="AN4382" t="s">
        <v>11843</v>
      </c>
    </row>
    <row r="4383" spans="1:40" x14ac:dyDescent="0.35">
      <c r="A4383">
        <v>7015439</v>
      </c>
      <c r="B4383" t="s">
        <v>11844</v>
      </c>
      <c r="C4383" t="str">
        <f>""</f>
        <v/>
      </c>
      <c r="D4383" t="str">
        <f>"9783110751055"</f>
        <v>9783110751055</v>
      </c>
      <c r="E4383" t="s">
        <v>415</v>
      </c>
      <c r="F4383" t="s">
        <v>415</v>
      </c>
      <c r="G4383" s="1">
        <v>44729</v>
      </c>
      <c r="H4383" s="1">
        <v>44739</v>
      </c>
      <c r="I4383" t="s">
        <v>189</v>
      </c>
      <c r="J4383">
        <v>1</v>
      </c>
      <c r="L4383" t="s">
        <v>11845</v>
      </c>
    </row>
    <row r="4384" spans="1:40" x14ac:dyDescent="0.35">
      <c r="A4384">
        <v>7015440</v>
      </c>
      <c r="B4384" t="s">
        <v>11846</v>
      </c>
      <c r="C4384" t="str">
        <f>""</f>
        <v/>
      </c>
      <c r="D4384" t="str">
        <f>"9783110776492"</f>
        <v>9783110776492</v>
      </c>
      <c r="E4384" t="s">
        <v>415</v>
      </c>
      <c r="F4384" t="s">
        <v>415</v>
      </c>
      <c r="G4384" s="1">
        <v>44655</v>
      </c>
      <c r="H4384" s="1">
        <v>44739</v>
      </c>
      <c r="I4384" t="s">
        <v>189</v>
      </c>
      <c r="J4384">
        <v>1</v>
      </c>
      <c r="K4384" t="s">
        <v>2442</v>
      </c>
      <c r="L4384" t="s">
        <v>11847</v>
      </c>
    </row>
    <row r="4385" spans="1:40" x14ac:dyDescent="0.35">
      <c r="A4385">
        <v>7015441</v>
      </c>
      <c r="B4385" t="s">
        <v>11848</v>
      </c>
      <c r="C4385" t="str">
        <f>""</f>
        <v/>
      </c>
      <c r="D4385" t="str">
        <f>"9783110719130"</f>
        <v>9783110719130</v>
      </c>
      <c r="E4385" t="s">
        <v>415</v>
      </c>
      <c r="F4385" t="s">
        <v>415</v>
      </c>
      <c r="G4385" s="1">
        <v>44592</v>
      </c>
      <c r="H4385" s="1">
        <v>44739</v>
      </c>
      <c r="I4385" t="s">
        <v>189</v>
      </c>
      <c r="J4385">
        <v>1</v>
      </c>
      <c r="K4385" t="s">
        <v>11773</v>
      </c>
      <c r="L4385" t="s">
        <v>11774</v>
      </c>
      <c r="M4385" t="s">
        <v>219</v>
      </c>
      <c r="O4385" s="2">
        <v>8308002</v>
      </c>
      <c r="Q4385" t="s">
        <v>408</v>
      </c>
      <c r="R4385" t="s">
        <v>261</v>
      </c>
      <c r="S4385" t="s">
        <v>261</v>
      </c>
      <c r="T4385" t="s">
        <v>261</v>
      </c>
      <c r="U4385" t="s">
        <v>261</v>
      </c>
      <c r="V4385" t="s">
        <v>262</v>
      </c>
      <c r="W4385" t="s">
        <v>261</v>
      </c>
      <c r="X4385" t="s">
        <v>261</v>
      </c>
      <c r="Y4385" t="s">
        <v>261</v>
      </c>
      <c r="Z4385" t="s">
        <v>409</v>
      </c>
      <c r="AA4385" t="s">
        <v>409</v>
      </c>
      <c r="AB4385" t="s">
        <v>409</v>
      </c>
      <c r="AC4385" t="s">
        <v>409</v>
      </c>
      <c r="AD4385" t="s">
        <v>261</v>
      </c>
      <c r="AH4385" t="s">
        <v>262</v>
      </c>
      <c r="AI4385" t="s">
        <v>262</v>
      </c>
      <c r="AJ4385" t="s">
        <v>261</v>
      </c>
      <c r="AK4385" t="s">
        <v>261</v>
      </c>
      <c r="AM4385" t="s">
        <v>262</v>
      </c>
      <c r="AN4385" t="s">
        <v>11849</v>
      </c>
    </row>
    <row r="4386" spans="1:40" x14ac:dyDescent="0.35">
      <c r="A4386">
        <v>7015442</v>
      </c>
      <c r="B4386" t="s">
        <v>11850</v>
      </c>
      <c r="C4386" t="str">
        <f>""</f>
        <v/>
      </c>
      <c r="D4386" t="str">
        <f>"9783110771008"</f>
        <v>9783110771008</v>
      </c>
      <c r="E4386" t="s">
        <v>415</v>
      </c>
      <c r="F4386" t="s">
        <v>415</v>
      </c>
      <c r="G4386" s="1">
        <v>44718</v>
      </c>
      <c r="H4386" s="1">
        <v>44739</v>
      </c>
      <c r="I4386" t="s">
        <v>189</v>
      </c>
      <c r="J4386">
        <v>1</v>
      </c>
      <c r="K4386" t="s">
        <v>3866</v>
      </c>
      <c r="L4386" t="s">
        <v>11851</v>
      </c>
      <c r="M4386" t="s">
        <v>219</v>
      </c>
    </row>
    <row r="4387" spans="1:40" x14ac:dyDescent="0.35">
      <c r="A4387">
        <v>7015443</v>
      </c>
      <c r="B4387" t="s">
        <v>11852</v>
      </c>
      <c r="C4387" t="str">
        <f>""</f>
        <v/>
      </c>
      <c r="D4387" t="str">
        <f>"9783110719147"</f>
        <v>9783110719147</v>
      </c>
      <c r="E4387" t="s">
        <v>415</v>
      </c>
      <c r="F4387" t="s">
        <v>415</v>
      </c>
      <c r="G4387" s="1">
        <v>44592</v>
      </c>
      <c r="H4387" s="1">
        <v>44739</v>
      </c>
      <c r="I4387" t="s">
        <v>189</v>
      </c>
      <c r="J4387">
        <v>1</v>
      </c>
      <c r="K4387" t="s">
        <v>11773</v>
      </c>
      <c r="L4387" t="s">
        <v>11774</v>
      </c>
      <c r="M4387" t="s">
        <v>219</v>
      </c>
      <c r="O4387" s="2">
        <v>8308002</v>
      </c>
      <c r="Q4387" t="s">
        <v>408</v>
      </c>
      <c r="R4387" t="s">
        <v>261</v>
      </c>
      <c r="S4387" t="s">
        <v>261</v>
      </c>
      <c r="T4387" t="s">
        <v>261</v>
      </c>
      <c r="U4387" t="s">
        <v>261</v>
      </c>
      <c r="V4387" t="s">
        <v>262</v>
      </c>
      <c r="W4387" t="s">
        <v>261</v>
      </c>
      <c r="X4387" t="s">
        <v>261</v>
      </c>
      <c r="Y4387" t="s">
        <v>261</v>
      </c>
      <c r="Z4387" t="s">
        <v>409</v>
      </c>
      <c r="AA4387" t="s">
        <v>409</v>
      </c>
      <c r="AB4387" t="s">
        <v>409</v>
      </c>
      <c r="AC4387" t="s">
        <v>409</v>
      </c>
      <c r="AD4387" t="s">
        <v>261</v>
      </c>
      <c r="AH4387" t="s">
        <v>262</v>
      </c>
      <c r="AI4387" t="s">
        <v>262</v>
      </c>
      <c r="AJ4387" t="s">
        <v>261</v>
      </c>
      <c r="AK4387" t="s">
        <v>261</v>
      </c>
      <c r="AM4387" t="s">
        <v>262</v>
      </c>
      <c r="AN4387" t="s">
        <v>11853</v>
      </c>
    </row>
    <row r="4388" spans="1:40" x14ac:dyDescent="0.35">
      <c r="A4388">
        <v>7015444</v>
      </c>
      <c r="B4388" t="s">
        <v>11854</v>
      </c>
      <c r="C4388" t="str">
        <f>""</f>
        <v/>
      </c>
      <c r="D4388" t="str">
        <f>"9783422986480"</f>
        <v>9783422986480</v>
      </c>
      <c r="E4388" t="s">
        <v>6557</v>
      </c>
      <c r="F4388" t="s">
        <v>6557</v>
      </c>
      <c r="G4388" s="1">
        <v>44592</v>
      </c>
      <c r="H4388" s="1">
        <v>44739</v>
      </c>
      <c r="I4388" t="s">
        <v>189</v>
      </c>
      <c r="J4388">
        <v>1</v>
      </c>
      <c r="L4388" t="s">
        <v>10955</v>
      </c>
    </row>
    <row r="4389" spans="1:40" x14ac:dyDescent="0.35">
      <c r="A4389">
        <v>7015445</v>
      </c>
      <c r="B4389" t="s">
        <v>11855</v>
      </c>
      <c r="C4389" t="str">
        <f>""</f>
        <v/>
      </c>
      <c r="D4389" t="str">
        <f>"9783110711349"</f>
        <v>9783110711349</v>
      </c>
      <c r="E4389" t="s">
        <v>415</v>
      </c>
      <c r="F4389" t="s">
        <v>415</v>
      </c>
      <c r="G4389" s="1">
        <v>44592</v>
      </c>
      <c r="H4389" s="1">
        <v>44739</v>
      </c>
      <c r="I4389" t="s">
        <v>189</v>
      </c>
      <c r="J4389">
        <v>1</v>
      </c>
      <c r="K4389" t="s">
        <v>11856</v>
      </c>
      <c r="L4389" t="s">
        <v>11857</v>
      </c>
    </row>
    <row r="4390" spans="1:40" x14ac:dyDescent="0.35">
      <c r="A4390">
        <v>7015447</v>
      </c>
      <c r="B4390" t="s">
        <v>11858</v>
      </c>
      <c r="C4390" t="str">
        <f>""</f>
        <v/>
      </c>
      <c r="D4390" t="str">
        <f>"9783110552621"</f>
        <v>9783110552621</v>
      </c>
      <c r="E4390" t="s">
        <v>415</v>
      </c>
      <c r="F4390" t="s">
        <v>415</v>
      </c>
      <c r="G4390" s="1">
        <v>44592</v>
      </c>
      <c r="H4390" s="1">
        <v>44739</v>
      </c>
      <c r="I4390" t="s">
        <v>189</v>
      </c>
      <c r="J4390">
        <v>1</v>
      </c>
      <c r="K4390" t="s">
        <v>11859</v>
      </c>
      <c r="L4390" t="s">
        <v>11860</v>
      </c>
      <c r="M4390" t="s">
        <v>219</v>
      </c>
      <c r="O4390" s="2">
        <v>83093820215</v>
      </c>
      <c r="Q4390" t="s">
        <v>408</v>
      </c>
      <c r="R4390" t="s">
        <v>261</v>
      </c>
      <c r="S4390" t="s">
        <v>261</v>
      </c>
      <c r="T4390" t="s">
        <v>261</v>
      </c>
      <c r="U4390" t="s">
        <v>261</v>
      </c>
      <c r="V4390" t="s">
        <v>262</v>
      </c>
      <c r="W4390" t="s">
        <v>261</v>
      </c>
      <c r="X4390" t="s">
        <v>261</v>
      </c>
      <c r="Y4390" t="s">
        <v>261</v>
      </c>
      <c r="Z4390" t="s">
        <v>409</v>
      </c>
      <c r="AA4390" t="s">
        <v>409</v>
      </c>
      <c r="AB4390" t="s">
        <v>409</v>
      </c>
      <c r="AC4390" t="s">
        <v>409</v>
      </c>
      <c r="AD4390" t="s">
        <v>261</v>
      </c>
      <c r="AH4390" t="s">
        <v>262</v>
      </c>
      <c r="AI4390" t="s">
        <v>262</v>
      </c>
      <c r="AJ4390" t="s">
        <v>261</v>
      </c>
      <c r="AK4390" t="s">
        <v>261</v>
      </c>
      <c r="AM4390" t="s">
        <v>262</v>
      </c>
      <c r="AN4390" t="s">
        <v>11861</v>
      </c>
    </row>
    <row r="4391" spans="1:40" x14ac:dyDescent="0.35">
      <c r="A4391">
        <v>7015448</v>
      </c>
      <c r="B4391" t="s">
        <v>11862</v>
      </c>
      <c r="C4391" t="str">
        <f>""</f>
        <v/>
      </c>
      <c r="D4391" t="str">
        <f>"9783110655315"</f>
        <v>9783110655315</v>
      </c>
      <c r="E4391" t="s">
        <v>415</v>
      </c>
      <c r="F4391" t="s">
        <v>665</v>
      </c>
      <c r="G4391" s="1">
        <v>44550</v>
      </c>
      <c r="H4391" s="1">
        <v>44739</v>
      </c>
      <c r="I4391" t="s">
        <v>189</v>
      </c>
      <c r="J4391">
        <v>1</v>
      </c>
      <c r="L4391" t="s">
        <v>11863</v>
      </c>
    </row>
    <row r="4392" spans="1:40" x14ac:dyDescent="0.35">
      <c r="A4392">
        <v>7015449</v>
      </c>
      <c r="B4392" t="s">
        <v>11864</v>
      </c>
      <c r="C4392" t="str">
        <f>""</f>
        <v/>
      </c>
      <c r="D4392" t="str">
        <f>"9783110688696"</f>
        <v>9783110688696</v>
      </c>
      <c r="E4392" t="s">
        <v>415</v>
      </c>
      <c r="F4392" t="s">
        <v>415</v>
      </c>
      <c r="G4392" s="1">
        <v>44561</v>
      </c>
      <c r="H4392" s="1">
        <v>44739</v>
      </c>
      <c r="I4392" t="s">
        <v>189</v>
      </c>
      <c r="J4392">
        <v>1</v>
      </c>
      <c r="K4392" t="s">
        <v>10597</v>
      </c>
      <c r="L4392" t="s">
        <v>11865</v>
      </c>
    </row>
    <row r="4393" spans="1:40" x14ac:dyDescent="0.35">
      <c r="A4393">
        <v>7015450</v>
      </c>
      <c r="B4393" t="s">
        <v>11866</v>
      </c>
      <c r="C4393" t="str">
        <f>""</f>
        <v/>
      </c>
      <c r="D4393" t="str">
        <f>"9783110719079"</f>
        <v>9783110719079</v>
      </c>
      <c r="E4393" t="s">
        <v>415</v>
      </c>
      <c r="F4393" t="s">
        <v>415</v>
      </c>
      <c r="G4393" s="1">
        <v>44592</v>
      </c>
      <c r="H4393" s="1">
        <v>44739</v>
      </c>
      <c r="I4393" t="s">
        <v>189</v>
      </c>
      <c r="J4393">
        <v>1</v>
      </c>
      <c r="K4393" t="s">
        <v>11773</v>
      </c>
      <c r="L4393" t="s">
        <v>11774</v>
      </c>
      <c r="M4393" t="s">
        <v>219</v>
      </c>
      <c r="O4393" s="2">
        <v>8308002</v>
      </c>
      <c r="Q4393" t="s">
        <v>408</v>
      </c>
      <c r="R4393" t="s">
        <v>261</v>
      </c>
      <c r="S4393" t="s">
        <v>261</v>
      </c>
      <c r="T4393" t="s">
        <v>261</v>
      </c>
      <c r="U4393" t="s">
        <v>261</v>
      </c>
      <c r="V4393" t="s">
        <v>262</v>
      </c>
      <c r="W4393" t="s">
        <v>261</v>
      </c>
      <c r="X4393" t="s">
        <v>261</v>
      </c>
      <c r="Y4393" t="s">
        <v>261</v>
      </c>
      <c r="Z4393" t="s">
        <v>409</v>
      </c>
      <c r="AA4393" t="s">
        <v>409</v>
      </c>
      <c r="AB4393" t="s">
        <v>409</v>
      </c>
      <c r="AC4393" t="s">
        <v>409</v>
      </c>
      <c r="AD4393" t="s">
        <v>261</v>
      </c>
      <c r="AH4393" t="s">
        <v>262</v>
      </c>
      <c r="AI4393" t="s">
        <v>262</v>
      </c>
      <c r="AJ4393" t="s">
        <v>261</v>
      </c>
      <c r="AK4393" t="s">
        <v>261</v>
      </c>
      <c r="AM4393" t="s">
        <v>262</v>
      </c>
      <c r="AN4393" t="s">
        <v>11867</v>
      </c>
    </row>
    <row r="4394" spans="1:40" x14ac:dyDescent="0.35">
      <c r="A4394">
        <v>7015451</v>
      </c>
      <c r="B4394" t="s">
        <v>11868</v>
      </c>
      <c r="C4394" t="str">
        <f>""</f>
        <v/>
      </c>
      <c r="D4394" t="str">
        <f>"9783110741117"</f>
        <v>9783110741117</v>
      </c>
      <c r="E4394" t="s">
        <v>415</v>
      </c>
      <c r="F4394" t="s">
        <v>415</v>
      </c>
      <c r="G4394" s="1">
        <v>44561</v>
      </c>
      <c r="H4394" s="1">
        <v>44739</v>
      </c>
      <c r="I4394" t="s">
        <v>189</v>
      </c>
      <c r="J4394">
        <v>1</v>
      </c>
      <c r="L4394" t="s">
        <v>11869</v>
      </c>
      <c r="M4394" t="s">
        <v>239</v>
      </c>
    </row>
    <row r="4395" spans="1:40" x14ac:dyDescent="0.35">
      <c r="A4395">
        <v>7015453</v>
      </c>
      <c r="B4395" t="s">
        <v>11870</v>
      </c>
      <c r="C4395" t="str">
        <f>""</f>
        <v/>
      </c>
      <c r="D4395" t="str">
        <f>"9783110730210"</f>
        <v>9783110730210</v>
      </c>
      <c r="E4395" t="s">
        <v>415</v>
      </c>
      <c r="F4395" t="s">
        <v>665</v>
      </c>
      <c r="G4395" s="1">
        <v>44641</v>
      </c>
      <c r="H4395" s="1">
        <v>44739</v>
      </c>
      <c r="I4395" t="s">
        <v>189</v>
      </c>
      <c r="J4395">
        <v>1</v>
      </c>
      <c r="K4395" t="s">
        <v>11583</v>
      </c>
      <c r="L4395" t="s">
        <v>11871</v>
      </c>
      <c r="M4395" t="s">
        <v>239</v>
      </c>
      <c r="O4395" t="s">
        <v>11872</v>
      </c>
      <c r="Q4395" t="s">
        <v>408</v>
      </c>
      <c r="R4395" t="s">
        <v>261</v>
      </c>
      <c r="S4395" t="s">
        <v>261</v>
      </c>
      <c r="T4395" t="s">
        <v>261</v>
      </c>
      <c r="U4395" t="s">
        <v>261</v>
      </c>
      <c r="V4395" t="s">
        <v>262</v>
      </c>
      <c r="W4395" t="s">
        <v>261</v>
      </c>
      <c r="X4395" t="s">
        <v>261</v>
      </c>
      <c r="Y4395" t="s">
        <v>261</v>
      </c>
      <c r="Z4395" t="s">
        <v>409</v>
      </c>
      <c r="AA4395" t="s">
        <v>409</v>
      </c>
      <c r="AB4395" t="s">
        <v>409</v>
      </c>
      <c r="AC4395" t="s">
        <v>409</v>
      </c>
      <c r="AD4395" t="s">
        <v>261</v>
      </c>
      <c r="AH4395" t="s">
        <v>262</v>
      </c>
      <c r="AI4395" t="s">
        <v>262</v>
      </c>
      <c r="AJ4395" t="s">
        <v>261</v>
      </c>
      <c r="AK4395" t="s">
        <v>261</v>
      </c>
      <c r="AM4395" t="s">
        <v>262</v>
      </c>
      <c r="AN4395" t="s">
        <v>11873</v>
      </c>
    </row>
    <row r="4396" spans="1:40" x14ac:dyDescent="0.35">
      <c r="A4396">
        <v>7015454</v>
      </c>
      <c r="B4396" t="s">
        <v>11874</v>
      </c>
      <c r="C4396" t="str">
        <f>""</f>
        <v/>
      </c>
      <c r="D4396" t="str">
        <f>"9783110770957"</f>
        <v>9783110770957</v>
      </c>
      <c r="E4396" t="s">
        <v>415</v>
      </c>
      <c r="F4396" t="s">
        <v>415</v>
      </c>
      <c r="G4396" s="1">
        <v>44669</v>
      </c>
      <c r="H4396" s="1">
        <v>44739</v>
      </c>
      <c r="I4396" t="s">
        <v>189</v>
      </c>
      <c r="J4396">
        <v>1</v>
      </c>
      <c r="L4396" t="s">
        <v>11875</v>
      </c>
      <c r="M4396" t="s">
        <v>199</v>
      </c>
      <c r="O4396">
        <v>110</v>
      </c>
      <c r="Q4396" t="s">
        <v>260</v>
      </c>
      <c r="R4396" t="s">
        <v>261</v>
      </c>
      <c r="S4396" t="s">
        <v>261</v>
      </c>
      <c r="T4396" t="s">
        <v>261</v>
      </c>
      <c r="U4396" t="s">
        <v>261</v>
      </c>
      <c r="V4396" t="s">
        <v>262</v>
      </c>
      <c r="W4396" t="s">
        <v>261</v>
      </c>
      <c r="X4396" t="s">
        <v>261</v>
      </c>
      <c r="Y4396" t="s">
        <v>261</v>
      </c>
      <c r="Z4396" t="s">
        <v>409</v>
      </c>
      <c r="AA4396" t="s">
        <v>409</v>
      </c>
      <c r="AB4396" t="s">
        <v>409</v>
      </c>
      <c r="AC4396" t="s">
        <v>409</v>
      </c>
      <c r="AD4396" t="s">
        <v>261</v>
      </c>
      <c r="AH4396" t="s">
        <v>262</v>
      </c>
      <c r="AI4396" t="s">
        <v>262</v>
      </c>
      <c r="AJ4396" t="s">
        <v>261</v>
      </c>
      <c r="AK4396" t="s">
        <v>261</v>
      </c>
      <c r="AM4396" t="s">
        <v>262</v>
      </c>
      <c r="AN4396" t="s">
        <v>11876</v>
      </c>
    </row>
    <row r="4397" spans="1:40" x14ac:dyDescent="0.35">
      <c r="A4397">
        <v>7015456</v>
      </c>
      <c r="B4397" t="s">
        <v>11877</v>
      </c>
      <c r="C4397" t="str">
        <f>""</f>
        <v/>
      </c>
      <c r="D4397" t="str">
        <f>"9783035624052"</f>
        <v>9783035624052</v>
      </c>
      <c r="E4397" t="s">
        <v>415</v>
      </c>
      <c r="F4397" t="s">
        <v>1107</v>
      </c>
      <c r="G4397" s="1">
        <v>44651</v>
      </c>
      <c r="H4397" s="1">
        <v>44739</v>
      </c>
      <c r="I4397" t="s">
        <v>189</v>
      </c>
      <c r="J4397">
        <v>1</v>
      </c>
      <c r="K4397" t="s">
        <v>6740</v>
      </c>
      <c r="L4397" t="s">
        <v>11878</v>
      </c>
    </row>
    <row r="4398" spans="1:40" x14ac:dyDescent="0.35">
      <c r="A4398">
        <v>7015457</v>
      </c>
      <c r="B4398" t="s">
        <v>11879</v>
      </c>
      <c r="C4398" t="str">
        <f>""</f>
        <v/>
      </c>
      <c r="D4398" t="str">
        <f>"9783110769029"</f>
        <v>9783110769029</v>
      </c>
      <c r="E4398" t="s">
        <v>415</v>
      </c>
      <c r="F4398" t="s">
        <v>415</v>
      </c>
      <c r="G4398" s="1">
        <v>44613</v>
      </c>
      <c r="H4398" s="1">
        <v>44739</v>
      </c>
      <c r="I4398" t="s">
        <v>189</v>
      </c>
      <c r="J4398">
        <v>1</v>
      </c>
      <c r="K4398" t="s">
        <v>3906</v>
      </c>
      <c r="L4398" t="s">
        <v>11880</v>
      </c>
      <c r="M4398" t="s">
        <v>676</v>
      </c>
    </row>
    <row r="4399" spans="1:40" x14ac:dyDescent="0.35">
      <c r="A4399">
        <v>7015458</v>
      </c>
      <c r="B4399" t="s">
        <v>11881</v>
      </c>
      <c r="C4399" t="str">
        <f>""</f>
        <v/>
      </c>
      <c r="D4399" t="str">
        <f>"9783110733501"</f>
        <v>9783110733501</v>
      </c>
      <c r="E4399" t="s">
        <v>415</v>
      </c>
      <c r="F4399" t="s">
        <v>415</v>
      </c>
      <c r="G4399" s="1">
        <v>44718</v>
      </c>
      <c r="H4399" s="1">
        <v>44739</v>
      </c>
      <c r="I4399" t="s">
        <v>189</v>
      </c>
      <c r="J4399">
        <v>1</v>
      </c>
      <c r="K4399" t="s">
        <v>3890</v>
      </c>
      <c r="L4399" t="s">
        <v>11882</v>
      </c>
    </row>
    <row r="4400" spans="1:40" x14ac:dyDescent="0.35">
      <c r="A4400">
        <v>7015459</v>
      </c>
      <c r="B4400" t="s">
        <v>11883</v>
      </c>
      <c r="C4400" t="str">
        <f>"9783598218446"</f>
        <v>9783598218446</v>
      </c>
      <c r="D4400" t="str">
        <f>"9783598440168"</f>
        <v>9783598440168</v>
      </c>
      <c r="E4400" t="s">
        <v>346</v>
      </c>
      <c r="F4400" t="s">
        <v>346</v>
      </c>
      <c r="G4400" s="1">
        <v>38565</v>
      </c>
      <c r="H4400" s="1">
        <v>44739</v>
      </c>
      <c r="I4400" t="s">
        <v>189</v>
      </c>
      <c r="J4400">
        <v>1</v>
      </c>
      <c r="K4400" t="s">
        <v>347</v>
      </c>
      <c r="L4400" t="s">
        <v>11884</v>
      </c>
    </row>
    <row r="4401" spans="1:40" x14ac:dyDescent="0.35">
      <c r="A4401">
        <v>7015460</v>
      </c>
      <c r="B4401" t="s">
        <v>11885</v>
      </c>
      <c r="C4401" t="str">
        <f>""</f>
        <v/>
      </c>
      <c r="D4401" t="str">
        <f>"9783110775730"</f>
        <v>9783110775730</v>
      </c>
      <c r="E4401" t="s">
        <v>415</v>
      </c>
      <c r="F4401" t="s">
        <v>415</v>
      </c>
      <c r="G4401" s="1">
        <v>44655</v>
      </c>
      <c r="H4401" s="1">
        <v>44739</v>
      </c>
      <c r="I4401" t="s">
        <v>189</v>
      </c>
      <c r="J4401">
        <v>1</v>
      </c>
      <c r="K4401" t="s">
        <v>1159</v>
      </c>
      <c r="L4401" t="s">
        <v>11886</v>
      </c>
      <c r="M4401" t="s">
        <v>1578</v>
      </c>
    </row>
    <row r="4402" spans="1:40" x14ac:dyDescent="0.35">
      <c r="A4402">
        <v>7015461</v>
      </c>
      <c r="B4402" t="s">
        <v>11887</v>
      </c>
      <c r="C4402" t="str">
        <f>""</f>
        <v/>
      </c>
      <c r="D4402" t="str">
        <f>"9783110761108"</f>
        <v>9783110761108</v>
      </c>
      <c r="E4402" t="s">
        <v>415</v>
      </c>
      <c r="F4402" t="s">
        <v>415</v>
      </c>
      <c r="G4402" s="1">
        <v>44561</v>
      </c>
      <c r="H4402" s="1">
        <v>44739</v>
      </c>
      <c r="I4402" t="s">
        <v>189</v>
      </c>
      <c r="J4402">
        <v>1</v>
      </c>
      <c r="L4402" t="s">
        <v>11888</v>
      </c>
      <c r="M4402" t="s">
        <v>316</v>
      </c>
      <c r="Q4402" t="s">
        <v>260</v>
      </c>
      <c r="R4402" t="s">
        <v>261</v>
      </c>
      <c r="S4402" t="s">
        <v>261</v>
      </c>
      <c r="T4402" t="s">
        <v>261</v>
      </c>
      <c r="U4402" t="s">
        <v>261</v>
      </c>
      <c r="V4402" t="s">
        <v>262</v>
      </c>
      <c r="W4402" t="s">
        <v>261</v>
      </c>
      <c r="X4402" t="s">
        <v>261</v>
      </c>
      <c r="Y4402" t="s">
        <v>261</v>
      </c>
      <c r="Z4402" t="s">
        <v>409</v>
      </c>
      <c r="AA4402" t="s">
        <v>409</v>
      </c>
      <c r="AB4402" t="s">
        <v>409</v>
      </c>
      <c r="AC4402" t="s">
        <v>409</v>
      </c>
      <c r="AD4402" t="s">
        <v>261</v>
      </c>
      <c r="AH4402" t="s">
        <v>262</v>
      </c>
      <c r="AI4402" t="s">
        <v>262</v>
      </c>
      <c r="AJ4402" t="s">
        <v>261</v>
      </c>
      <c r="AK4402" t="s">
        <v>261</v>
      </c>
      <c r="AM4402" t="s">
        <v>262</v>
      </c>
      <c r="AN4402" t="s">
        <v>11889</v>
      </c>
    </row>
    <row r="4403" spans="1:40" x14ac:dyDescent="0.35">
      <c r="A4403">
        <v>7015462</v>
      </c>
      <c r="B4403" t="s">
        <v>11890</v>
      </c>
      <c r="C4403" t="str">
        <f>""</f>
        <v/>
      </c>
      <c r="D4403" t="str">
        <f>"9783486741803"</f>
        <v>9783486741803</v>
      </c>
      <c r="E4403" t="s">
        <v>415</v>
      </c>
      <c r="F4403" t="s">
        <v>665</v>
      </c>
      <c r="G4403" s="1">
        <v>4750</v>
      </c>
      <c r="H4403" s="1">
        <v>44739</v>
      </c>
      <c r="I4403" t="s">
        <v>189</v>
      </c>
      <c r="J4403">
        <v>1</v>
      </c>
      <c r="K4403" t="s">
        <v>11891</v>
      </c>
      <c r="L4403" t="s">
        <v>11892</v>
      </c>
      <c r="M4403" t="s">
        <v>3574</v>
      </c>
      <c r="Q4403" t="s">
        <v>408</v>
      </c>
      <c r="R4403" t="s">
        <v>261</v>
      </c>
      <c r="S4403" t="s">
        <v>261</v>
      </c>
      <c r="T4403" t="s">
        <v>261</v>
      </c>
      <c r="U4403" t="s">
        <v>261</v>
      </c>
      <c r="V4403" t="s">
        <v>262</v>
      </c>
      <c r="W4403" t="s">
        <v>261</v>
      </c>
      <c r="X4403" t="s">
        <v>261</v>
      </c>
      <c r="Y4403" t="s">
        <v>261</v>
      </c>
      <c r="Z4403" t="s">
        <v>409</v>
      </c>
      <c r="AA4403" t="s">
        <v>409</v>
      </c>
      <c r="AB4403" t="s">
        <v>409</v>
      </c>
      <c r="AC4403" t="s">
        <v>409</v>
      </c>
      <c r="AD4403" t="s">
        <v>261</v>
      </c>
      <c r="AH4403" t="s">
        <v>262</v>
      </c>
      <c r="AI4403" t="s">
        <v>262</v>
      </c>
      <c r="AJ4403" t="s">
        <v>261</v>
      </c>
      <c r="AK4403" t="s">
        <v>261</v>
      </c>
      <c r="AM4403" t="s">
        <v>262</v>
      </c>
      <c r="AN4403" t="s">
        <v>11893</v>
      </c>
    </row>
    <row r="4404" spans="1:40" x14ac:dyDescent="0.35">
      <c r="A4404">
        <v>7015463</v>
      </c>
      <c r="B4404" t="s">
        <v>11894</v>
      </c>
      <c r="C4404" t="str">
        <f>""</f>
        <v/>
      </c>
      <c r="D4404" t="str">
        <f>"9783110714739"</f>
        <v>9783110714739</v>
      </c>
      <c r="E4404" t="s">
        <v>415</v>
      </c>
      <c r="F4404" t="s">
        <v>415</v>
      </c>
      <c r="G4404" s="1">
        <v>44620</v>
      </c>
      <c r="H4404" s="1">
        <v>44739</v>
      </c>
      <c r="I4404" t="s">
        <v>189</v>
      </c>
      <c r="J4404">
        <v>1</v>
      </c>
      <c r="L4404" t="s">
        <v>11895</v>
      </c>
      <c r="M4404" t="s">
        <v>1578</v>
      </c>
    </row>
    <row r="4405" spans="1:40" x14ac:dyDescent="0.35">
      <c r="A4405">
        <v>7015464</v>
      </c>
      <c r="B4405" t="s">
        <v>11896</v>
      </c>
      <c r="C4405" t="str">
        <f>""</f>
        <v/>
      </c>
      <c r="D4405" t="str">
        <f>"9783110762341"</f>
        <v>9783110762341</v>
      </c>
      <c r="E4405" t="s">
        <v>415</v>
      </c>
      <c r="F4405" t="s">
        <v>415</v>
      </c>
      <c r="G4405" s="1">
        <v>44613</v>
      </c>
      <c r="H4405" s="1">
        <v>44739</v>
      </c>
      <c r="I4405" t="s">
        <v>189</v>
      </c>
      <c r="J4405">
        <v>1</v>
      </c>
      <c r="K4405" t="s">
        <v>3906</v>
      </c>
      <c r="L4405" t="s">
        <v>11897</v>
      </c>
      <c r="M4405" t="s">
        <v>676</v>
      </c>
      <c r="Q4405" t="s">
        <v>408</v>
      </c>
      <c r="R4405" t="s">
        <v>261</v>
      </c>
      <c r="S4405" t="s">
        <v>261</v>
      </c>
      <c r="T4405" t="s">
        <v>261</v>
      </c>
      <c r="U4405" t="s">
        <v>261</v>
      </c>
      <c r="V4405" t="s">
        <v>262</v>
      </c>
      <c r="W4405" t="s">
        <v>261</v>
      </c>
      <c r="X4405" t="s">
        <v>261</v>
      </c>
      <c r="Y4405" t="s">
        <v>261</v>
      </c>
      <c r="Z4405" t="s">
        <v>409</v>
      </c>
      <c r="AA4405" t="s">
        <v>409</v>
      </c>
      <c r="AB4405" t="s">
        <v>409</v>
      </c>
      <c r="AC4405" t="s">
        <v>409</v>
      </c>
      <c r="AD4405" t="s">
        <v>261</v>
      </c>
      <c r="AH4405" t="s">
        <v>262</v>
      </c>
      <c r="AI4405" t="s">
        <v>262</v>
      </c>
      <c r="AJ4405" t="s">
        <v>261</v>
      </c>
      <c r="AK4405" t="s">
        <v>261</v>
      </c>
      <c r="AM4405" t="s">
        <v>262</v>
      </c>
      <c r="AN4405" t="s">
        <v>11898</v>
      </c>
    </row>
    <row r="4406" spans="1:40" x14ac:dyDescent="0.35">
      <c r="A4406">
        <v>7015465</v>
      </c>
      <c r="B4406" t="s">
        <v>11899</v>
      </c>
      <c r="C4406" t="str">
        <f>""</f>
        <v/>
      </c>
      <c r="D4406" t="str">
        <f>"9783110667004"</f>
        <v>9783110667004</v>
      </c>
      <c r="E4406" t="s">
        <v>415</v>
      </c>
      <c r="F4406" t="s">
        <v>415</v>
      </c>
      <c r="G4406" s="1">
        <v>44550</v>
      </c>
      <c r="H4406" s="1">
        <v>44739</v>
      </c>
      <c r="I4406" t="s">
        <v>189</v>
      </c>
      <c r="J4406">
        <v>1</v>
      </c>
      <c r="L4406" t="s">
        <v>11900</v>
      </c>
    </row>
    <row r="4407" spans="1:40" x14ac:dyDescent="0.35">
      <c r="A4407">
        <v>7015466</v>
      </c>
      <c r="B4407" t="s">
        <v>11901</v>
      </c>
      <c r="C4407" t="str">
        <f>""</f>
        <v/>
      </c>
      <c r="D4407" t="str">
        <f>"9783110752397"</f>
        <v>9783110752397</v>
      </c>
      <c r="E4407" t="s">
        <v>415</v>
      </c>
      <c r="F4407" t="s">
        <v>415</v>
      </c>
      <c r="G4407" s="1">
        <v>44592</v>
      </c>
      <c r="H4407" s="1">
        <v>44739</v>
      </c>
      <c r="I4407" t="s">
        <v>189</v>
      </c>
      <c r="J4407">
        <v>1</v>
      </c>
      <c r="K4407" t="s">
        <v>10944</v>
      </c>
      <c r="L4407" t="s">
        <v>11902</v>
      </c>
      <c r="M4407" t="s">
        <v>199</v>
      </c>
      <c r="O4407">
        <v>115</v>
      </c>
      <c r="Q4407" t="s">
        <v>260</v>
      </c>
      <c r="R4407" t="s">
        <v>261</v>
      </c>
      <c r="S4407" t="s">
        <v>261</v>
      </c>
      <c r="T4407" t="s">
        <v>261</v>
      </c>
      <c r="U4407" t="s">
        <v>261</v>
      </c>
      <c r="V4407" t="s">
        <v>262</v>
      </c>
      <c r="W4407" t="s">
        <v>261</v>
      </c>
      <c r="X4407" t="s">
        <v>261</v>
      </c>
      <c r="Y4407" t="s">
        <v>261</v>
      </c>
      <c r="Z4407" t="s">
        <v>409</v>
      </c>
      <c r="AA4407" t="s">
        <v>409</v>
      </c>
      <c r="AB4407" t="s">
        <v>409</v>
      </c>
      <c r="AC4407" t="s">
        <v>409</v>
      </c>
      <c r="AD4407" t="s">
        <v>261</v>
      </c>
      <c r="AH4407" t="s">
        <v>262</v>
      </c>
      <c r="AI4407" t="s">
        <v>262</v>
      </c>
      <c r="AJ4407" t="s">
        <v>261</v>
      </c>
      <c r="AK4407" t="s">
        <v>261</v>
      </c>
      <c r="AM4407" t="s">
        <v>262</v>
      </c>
      <c r="AN4407" t="s">
        <v>11903</v>
      </c>
    </row>
    <row r="4408" spans="1:40" x14ac:dyDescent="0.35">
      <c r="A4408">
        <v>7015467</v>
      </c>
      <c r="B4408" t="s">
        <v>11904</v>
      </c>
      <c r="C4408" t="str">
        <f>""</f>
        <v/>
      </c>
      <c r="D4408" t="str">
        <f>"9783110719062"</f>
        <v>9783110719062</v>
      </c>
      <c r="E4408" t="s">
        <v>415</v>
      </c>
      <c r="F4408" t="s">
        <v>415</v>
      </c>
      <c r="G4408" s="1">
        <v>44592</v>
      </c>
      <c r="H4408" s="1">
        <v>44739</v>
      </c>
      <c r="I4408" t="s">
        <v>189</v>
      </c>
      <c r="J4408">
        <v>1</v>
      </c>
      <c r="K4408" t="s">
        <v>11773</v>
      </c>
      <c r="L4408" t="s">
        <v>11774</v>
      </c>
      <c r="M4408" t="s">
        <v>219</v>
      </c>
      <c r="O4408" s="2">
        <v>8308002</v>
      </c>
      <c r="Q4408" t="s">
        <v>408</v>
      </c>
      <c r="R4408" t="s">
        <v>261</v>
      </c>
      <c r="S4408" t="s">
        <v>261</v>
      </c>
      <c r="T4408" t="s">
        <v>261</v>
      </c>
      <c r="U4408" t="s">
        <v>261</v>
      </c>
      <c r="V4408" t="s">
        <v>262</v>
      </c>
      <c r="W4408" t="s">
        <v>261</v>
      </c>
      <c r="X4408" t="s">
        <v>261</v>
      </c>
      <c r="Y4408" t="s">
        <v>261</v>
      </c>
      <c r="Z4408" t="s">
        <v>409</v>
      </c>
      <c r="AA4408" t="s">
        <v>409</v>
      </c>
      <c r="AB4408" t="s">
        <v>409</v>
      </c>
      <c r="AC4408" t="s">
        <v>409</v>
      </c>
      <c r="AD4408" t="s">
        <v>261</v>
      </c>
      <c r="AH4408" t="s">
        <v>262</v>
      </c>
      <c r="AI4408" t="s">
        <v>262</v>
      </c>
      <c r="AJ4408" t="s">
        <v>261</v>
      </c>
      <c r="AK4408" t="s">
        <v>261</v>
      </c>
      <c r="AM4408" t="s">
        <v>262</v>
      </c>
      <c r="AN4408" t="s">
        <v>11905</v>
      </c>
    </row>
    <row r="4409" spans="1:40" x14ac:dyDescent="0.35">
      <c r="A4409">
        <v>7015468</v>
      </c>
      <c r="B4409" t="s">
        <v>11906</v>
      </c>
      <c r="C4409" t="str">
        <f>""</f>
        <v/>
      </c>
      <c r="D4409" t="str">
        <f>"9783110736076"</f>
        <v>9783110736076</v>
      </c>
      <c r="E4409" t="s">
        <v>415</v>
      </c>
      <c r="F4409" t="s">
        <v>415</v>
      </c>
      <c r="G4409" s="1">
        <v>44718</v>
      </c>
      <c r="H4409" s="1">
        <v>44739</v>
      </c>
      <c r="I4409" t="s">
        <v>189</v>
      </c>
      <c r="J4409">
        <v>1</v>
      </c>
      <c r="L4409" t="s">
        <v>11907</v>
      </c>
    </row>
    <row r="4410" spans="1:40" x14ac:dyDescent="0.35">
      <c r="A4410">
        <v>7015469</v>
      </c>
      <c r="B4410" t="s">
        <v>11908</v>
      </c>
      <c r="C4410" t="str">
        <f>""</f>
        <v/>
      </c>
      <c r="D4410" t="str">
        <f>"9783110707847"</f>
        <v>9783110707847</v>
      </c>
      <c r="E4410" t="s">
        <v>415</v>
      </c>
      <c r="F4410" t="s">
        <v>415</v>
      </c>
      <c r="G4410" s="1">
        <v>44561</v>
      </c>
      <c r="H4410" s="1">
        <v>44739</v>
      </c>
      <c r="I4410" t="s">
        <v>189</v>
      </c>
      <c r="J4410">
        <v>1</v>
      </c>
      <c r="K4410" t="s">
        <v>3866</v>
      </c>
      <c r="L4410" t="s">
        <v>11909</v>
      </c>
      <c r="M4410" t="s">
        <v>219</v>
      </c>
      <c r="Q4410" t="s">
        <v>408</v>
      </c>
      <c r="R4410" t="s">
        <v>261</v>
      </c>
      <c r="S4410" t="s">
        <v>261</v>
      </c>
      <c r="T4410" t="s">
        <v>261</v>
      </c>
      <c r="U4410" t="s">
        <v>261</v>
      </c>
      <c r="V4410" t="s">
        <v>262</v>
      </c>
      <c r="W4410" t="s">
        <v>261</v>
      </c>
      <c r="X4410" t="s">
        <v>261</v>
      </c>
      <c r="Y4410" t="s">
        <v>261</v>
      </c>
      <c r="Z4410" t="s">
        <v>409</v>
      </c>
      <c r="AA4410" t="s">
        <v>409</v>
      </c>
      <c r="AB4410" t="s">
        <v>409</v>
      </c>
      <c r="AC4410" t="s">
        <v>409</v>
      </c>
      <c r="AD4410" t="s">
        <v>261</v>
      </c>
      <c r="AH4410" t="s">
        <v>262</v>
      </c>
      <c r="AI4410" t="s">
        <v>262</v>
      </c>
      <c r="AJ4410" t="s">
        <v>261</v>
      </c>
      <c r="AK4410" t="s">
        <v>261</v>
      </c>
      <c r="AM4410" t="s">
        <v>262</v>
      </c>
      <c r="AN4410" t="s">
        <v>11910</v>
      </c>
    </row>
    <row r="4411" spans="1:40" x14ac:dyDescent="0.35">
      <c r="A4411">
        <v>7015471</v>
      </c>
      <c r="B4411" t="s">
        <v>11911</v>
      </c>
      <c r="C4411" t="str">
        <f>""</f>
        <v/>
      </c>
      <c r="D4411" t="str">
        <f>"9783110747614"</f>
        <v>9783110747614</v>
      </c>
      <c r="E4411" t="s">
        <v>415</v>
      </c>
      <c r="F4411" t="s">
        <v>415</v>
      </c>
      <c r="G4411" s="1">
        <v>44620</v>
      </c>
      <c r="H4411" s="1">
        <v>44739</v>
      </c>
      <c r="I4411" t="s">
        <v>189</v>
      </c>
      <c r="J4411">
        <v>1</v>
      </c>
      <c r="L4411" t="s">
        <v>11912</v>
      </c>
      <c r="M4411" t="s">
        <v>578</v>
      </c>
    </row>
    <row r="4412" spans="1:40" x14ac:dyDescent="0.35">
      <c r="A4412">
        <v>7015472</v>
      </c>
      <c r="B4412" t="s">
        <v>11913</v>
      </c>
      <c r="C4412" t="str">
        <f>""</f>
        <v/>
      </c>
      <c r="D4412" t="str">
        <f>"9783110752908"</f>
        <v>9783110752908</v>
      </c>
      <c r="E4412" t="s">
        <v>415</v>
      </c>
      <c r="F4412" t="s">
        <v>415</v>
      </c>
      <c r="G4412" s="1">
        <v>44704</v>
      </c>
      <c r="H4412" s="1">
        <v>44739</v>
      </c>
      <c r="I4412" t="s">
        <v>189</v>
      </c>
      <c r="J4412">
        <v>1</v>
      </c>
      <c r="K4412" t="s">
        <v>11693</v>
      </c>
      <c r="L4412" t="s">
        <v>11914</v>
      </c>
    </row>
    <row r="4413" spans="1:40" x14ac:dyDescent="0.35">
      <c r="A4413">
        <v>7015473</v>
      </c>
      <c r="B4413" t="s">
        <v>11915</v>
      </c>
      <c r="C4413" t="str">
        <f>""</f>
        <v/>
      </c>
      <c r="D4413" t="str">
        <f>"9783110763119"</f>
        <v>9783110763119</v>
      </c>
      <c r="E4413" t="s">
        <v>415</v>
      </c>
      <c r="F4413" t="s">
        <v>415</v>
      </c>
      <c r="G4413" s="1">
        <v>44550</v>
      </c>
      <c r="H4413" s="1">
        <v>44739</v>
      </c>
      <c r="I4413" t="s">
        <v>189</v>
      </c>
      <c r="J4413">
        <v>1</v>
      </c>
      <c r="K4413" t="s">
        <v>11740</v>
      </c>
      <c r="L4413" t="s">
        <v>11916</v>
      </c>
      <c r="M4413" t="s">
        <v>219</v>
      </c>
    </row>
    <row r="4414" spans="1:40" x14ac:dyDescent="0.35">
      <c r="A4414">
        <v>7015474</v>
      </c>
      <c r="B4414" t="s">
        <v>11917</v>
      </c>
      <c r="C4414" t="str">
        <f>""</f>
        <v/>
      </c>
      <c r="D4414" t="str">
        <f>"9783110719123"</f>
        <v>9783110719123</v>
      </c>
      <c r="E4414" t="s">
        <v>415</v>
      </c>
      <c r="F4414" t="s">
        <v>415</v>
      </c>
      <c r="G4414" s="1">
        <v>44592</v>
      </c>
      <c r="H4414" s="1">
        <v>44739</v>
      </c>
      <c r="I4414" t="s">
        <v>189</v>
      </c>
      <c r="J4414">
        <v>1</v>
      </c>
      <c r="K4414" t="s">
        <v>11773</v>
      </c>
      <c r="L4414" t="s">
        <v>11774</v>
      </c>
      <c r="M4414" t="s">
        <v>219</v>
      </c>
      <c r="O4414" s="2">
        <v>8308002</v>
      </c>
      <c r="Q4414" t="s">
        <v>408</v>
      </c>
      <c r="R4414" t="s">
        <v>261</v>
      </c>
      <c r="S4414" t="s">
        <v>261</v>
      </c>
      <c r="T4414" t="s">
        <v>261</v>
      </c>
      <c r="U4414" t="s">
        <v>261</v>
      </c>
      <c r="V4414" t="s">
        <v>262</v>
      </c>
      <c r="W4414" t="s">
        <v>261</v>
      </c>
      <c r="X4414" t="s">
        <v>261</v>
      </c>
      <c r="Y4414" t="s">
        <v>261</v>
      </c>
      <c r="Z4414" t="s">
        <v>409</v>
      </c>
      <c r="AA4414" t="s">
        <v>409</v>
      </c>
      <c r="AB4414" t="s">
        <v>409</v>
      </c>
      <c r="AC4414" t="s">
        <v>409</v>
      </c>
      <c r="AD4414" t="s">
        <v>261</v>
      </c>
      <c r="AH4414" t="s">
        <v>262</v>
      </c>
      <c r="AI4414" t="s">
        <v>262</v>
      </c>
      <c r="AJ4414" t="s">
        <v>261</v>
      </c>
      <c r="AK4414" t="s">
        <v>261</v>
      </c>
      <c r="AM4414" t="s">
        <v>262</v>
      </c>
      <c r="AN4414" t="s">
        <v>11918</v>
      </c>
    </row>
    <row r="4415" spans="1:40" x14ac:dyDescent="0.35">
      <c r="A4415">
        <v>7015475</v>
      </c>
      <c r="B4415" t="s">
        <v>11919</v>
      </c>
      <c r="C4415" t="str">
        <f>""</f>
        <v/>
      </c>
      <c r="D4415" t="str">
        <f>"9783110719017"</f>
        <v>9783110719017</v>
      </c>
      <c r="E4415" t="s">
        <v>415</v>
      </c>
      <c r="F4415" t="s">
        <v>415</v>
      </c>
      <c r="G4415" s="1">
        <v>44592</v>
      </c>
      <c r="H4415" s="1">
        <v>44739</v>
      </c>
      <c r="I4415" t="s">
        <v>189</v>
      </c>
      <c r="J4415">
        <v>1</v>
      </c>
      <c r="K4415" t="s">
        <v>11773</v>
      </c>
      <c r="L4415" t="s">
        <v>11774</v>
      </c>
      <c r="M4415" t="s">
        <v>219</v>
      </c>
      <c r="O4415" s="2">
        <v>8308002</v>
      </c>
      <c r="Q4415" t="s">
        <v>408</v>
      </c>
      <c r="R4415" t="s">
        <v>261</v>
      </c>
      <c r="S4415" t="s">
        <v>261</v>
      </c>
      <c r="T4415" t="s">
        <v>261</v>
      </c>
      <c r="U4415" t="s">
        <v>261</v>
      </c>
      <c r="V4415" t="s">
        <v>262</v>
      </c>
      <c r="W4415" t="s">
        <v>261</v>
      </c>
      <c r="X4415" t="s">
        <v>261</v>
      </c>
      <c r="Y4415" t="s">
        <v>261</v>
      </c>
      <c r="Z4415" t="s">
        <v>409</v>
      </c>
      <c r="AA4415" t="s">
        <v>409</v>
      </c>
      <c r="AB4415" t="s">
        <v>409</v>
      </c>
      <c r="AC4415" t="s">
        <v>409</v>
      </c>
      <c r="AD4415" t="s">
        <v>261</v>
      </c>
      <c r="AH4415" t="s">
        <v>262</v>
      </c>
      <c r="AI4415" t="s">
        <v>262</v>
      </c>
      <c r="AJ4415" t="s">
        <v>261</v>
      </c>
      <c r="AK4415" t="s">
        <v>261</v>
      </c>
      <c r="AM4415" t="s">
        <v>262</v>
      </c>
      <c r="AN4415" t="s">
        <v>11920</v>
      </c>
    </row>
    <row r="4416" spans="1:40" x14ac:dyDescent="0.35">
      <c r="A4416">
        <v>7015476</v>
      </c>
      <c r="B4416" t="s">
        <v>11921</v>
      </c>
      <c r="C4416" t="str">
        <f>""</f>
        <v/>
      </c>
      <c r="D4416" t="str">
        <f>"9783110607642"</f>
        <v>9783110607642</v>
      </c>
      <c r="E4416" t="s">
        <v>415</v>
      </c>
      <c r="F4416" t="s">
        <v>665</v>
      </c>
      <c r="G4416" s="1">
        <v>44550</v>
      </c>
      <c r="H4416" s="1">
        <v>44739</v>
      </c>
      <c r="I4416" t="s">
        <v>189</v>
      </c>
      <c r="J4416">
        <v>1</v>
      </c>
      <c r="L4416" t="s">
        <v>11922</v>
      </c>
    </row>
    <row r="4417" spans="1:40" x14ac:dyDescent="0.35">
      <c r="A4417">
        <v>7015477</v>
      </c>
      <c r="B4417" t="s">
        <v>11923</v>
      </c>
      <c r="C4417" t="str">
        <f>""</f>
        <v/>
      </c>
      <c r="D4417" t="str">
        <f>"9783110701869"</f>
        <v>9783110701869</v>
      </c>
      <c r="E4417" t="s">
        <v>415</v>
      </c>
      <c r="F4417" t="s">
        <v>415</v>
      </c>
      <c r="G4417" s="1">
        <v>44718</v>
      </c>
      <c r="H4417" s="1">
        <v>44739</v>
      </c>
      <c r="I4417" t="s">
        <v>189</v>
      </c>
      <c r="J4417">
        <v>1</v>
      </c>
      <c r="K4417" t="s">
        <v>3931</v>
      </c>
      <c r="L4417" t="s">
        <v>10698</v>
      </c>
      <c r="M4417" t="s">
        <v>676</v>
      </c>
    </row>
    <row r="4418" spans="1:40" x14ac:dyDescent="0.35">
      <c r="A4418">
        <v>7015478</v>
      </c>
      <c r="B4418" t="s">
        <v>11924</v>
      </c>
      <c r="C4418" t="str">
        <f>""</f>
        <v/>
      </c>
      <c r="D4418" t="str">
        <f>"9783110751963"</f>
        <v>9783110751963</v>
      </c>
      <c r="E4418" t="s">
        <v>415</v>
      </c>
      <c r="F4418" t="s">
        <v>415</v>
      </c>
      <c r="G4418" s="1">
        <v>44718</v>
      </c>
      <c r="H4418" s="1">
        <v>44739</v>
      </c>
      <c r="I4418" t="s">
        <v>189</v>
      </c>
      <c r="J4418">
        <v>1</v>
      </c>
      <c r="K4418" t="s">
        <v>11591</v>
      </c>
      <c r="L4418" t="s">
        <v>11701</v>
      </c>
    </row>
    <row r="4419" spans="1:40" x14ac:dyDescent="0.35">
      <c r="A4419">
        <v>7015479</v>
      </c>
      <c r="B4419" t="s">
        <v>11925</v>
      </c>
      <c r="C4419" t="str">
        <f>""</f>
        <v/>
      </c>
      <c r="D4419" t="str">
        <f>"9783110764062"</f>
        <v>9783110764062</v>
      </c>
      <c r="E4419" t="s">
        <v>415</v>
      </c>
      <c r="F4419" t="s">
        <v>415</v>
      </c>
      <c r="G4419" s="1">
        <v>44592</v>
      </c>
      <c r="H4419" s="1">
        <v>44739</v>
      </c>
      <c r="I4419" t="s">
        <v>189</v>
      </c>
      <c r="J4419">
        <v>1</v>
      </c>
      <c r="K4419" t="s">
        <v>354</v>
      </c>
      <c r="L4419" t="s">
        <v>550</v>
      </c>
    </row>
    <row r="4420" spans="1:40" x14ac:dyDescent="0.35">
      <c r="A4420">
        <v>7015482</v>
      </c>
      <c r="B4420" t="s">
        <v>11926</v>
      </c>
      <c r="C4420" t="str">
        <f>""</f>
        <v/>
      </c>
      <c r="D4420" t="str">
        <f>"9783110732887"</f>
        <v>9783110732887</v>
      </c>
      <c r="E4420" t="s">
        <v>415</v>
      </c>
      <c r="F4420" t="s">
        <v>415</v>
      </c>
      <c r="G4420" s="1">
        <v>44704</v>
      </c>
      <c r="H4420" s="1">
        <v>44739</v>
      </c>
      <c r="I4420" t="s">
        <v>189</v>
      </c>
      <c r="J4420">
        <v>1</v>
      </c>
      <c r="K4420" t="s">
        <v>11271</v>
      </c>
      <c r="L4420" t="s">
        <v>11927</v>
      </c>
      <c r="M4420" t="s">
        <v>1578</v>
      </c>
    </row>
    <row r="4421" spans="1:40" x14ac:dyDescent="0.35">
      <c r="A4421">
        <v>7015483</v>
      </c>
      <c r="B4421" t="s">
        <v>11928</v>
      </c>
      <c r="C4421" t="str">
        <f>""</f>
        <v/>
      </c>
      <c r="D4421" t="str">
        <f>"9783110719086"</f>
        <v>9783110719086</v>
      </c>
      <c r="E4421" t="s">
        <v>415</v>
      </c>
      <c r="F4421" t="s">
        <v>415</v>
      </c>
      <c r="G4421" s="1">
        <v>44592</v>
      </c>
      <c r="H4421" s="1">
        <v>44739</v>
      </c>
      <c r="I4421" t="s">
        <v>189</v>
      </c>
      <c r="J4421">
        <v>1</v>
      </c>
      <c r="K4421" t="s">
        <v>11773</v>
      </c>
      <c r="L4421" t="s">
        <v>11774</v>
      </c>
      <c r="M4421" t="s">
        <v>219</v>
      </c>
      <c r="O4421" s="2">
        <v>8308002</v>
      </c>
      <c r="Q4421" t="s">
        <v>408</v>
      </c>
      <c r="R4421" t="s">
        <v>261</v>
      </c>
      <c r="S4421" t="s">
        <v>261</v>
      </c>
      <c r="T4421" t="s">
        <v>261</v>
      </c>
      <c r="U4421" t="s">
        <v>261</v>
      </c>
      <c r="V4421" t="s">
        <v>262</v>
      </c>
      <c r="W4421" t="s">
        <v>261</v>
      </c>
      <c r="X4421" t="s">
        <v>261</v>
      </c>
      <c r="Y4421" t="s">
        <v>261</v>
      </c>
      <c r="Z4421" t="s">
        <v>409</v>
      </c>
      <c r="AA4421" t="s">
        <v>409</v>
      </c>
      <c r="AB4421" t="s">
        <v>409</v>
      </c>
      <c r="AC4421" t="s">
        <v>409</v>
      </c>
      <c r="AD4421" t="s">
        <v>261</v>
      </c>
      <c r="AH4421" t="s">
        <v>262</v>
      </c>
      <c r="AI4421" t="s">
        <v>262</v>
      </c>
      <c r="AJ4421" t="s">
        <v>261</v>
      </c>
      <c r="AK4421" t="s">
        <v>261</v>
      </c>
      <c r="AM4421" t="s">
        <v>262</v>
      </c>
      <c r="AN4421" t="s">
        <v>11929</v>
      </c>
    </row>
    <row r="4422" spans="1:40" x14ac:dyDescent="0.35">
      <c r="A4422">
        <v>7015484</v>
      </c>
      <c r="B4422" t="s">
        <v>11930</v>
      </c>
      <c r="C4422" t="str">
        <f>""</f>
        <v/>
      </c>
      <c r="D4422" t="str">
        <f>"9783110726435"</f>
        <v>9783110726435</v>
      </c>
      <c r="E4422" t="s">
        <v>415</v>
      </c>
      <c r="F4422" t="s">
        <v>665</v>
      </c>
      <c r="G4422" s="1">
        <v>44592</v>
      </c>
      <c r="H4422" s="1">
        <v>44739</v>
      </c>
      <c r="I4422" t="s">
        <v>189</v>
      </c>
      <c r="J4422">
        <v>1</v>
      </c>
      <c r="K4422" t="s">
        <v>666</v>
      </c>
      <c r="L4422" t="s">
        <v>11931</v>
      </c>
      <c r="M4422" t="s">
        <v>210</v>
      </c>
      <c r="O4422" s="2">
        <v>32054095694</v>
      </c>
      <c r="Q4422" t="s">
        <v>260</v>
      </c>
      <c r="R4422" t="s">
        <v>261</v>
      </c>
      <c r="S4422" t="s">
        <v>261</v>
      </c>
      <c r="T4422" t="s">
        <v>261</v>
      </c>
      <c r="U4422" t="s">
        <v>261</v>
      </c>
      <c r="V4422" t="s">
        <v>262</v>
      </c>
      <c r="W4422" t="s">
        <v>261</v>
      </c>
      <c r="X4422" t="s">
        <v>261</v>
      </c>
      <c r="Y4422" t="s">
        <v>261</v>
      </c>
      <c r="Z4422" t="s">
        <v>409</v>
      </c>
      <c r="AA4422" t="s">
        <v>409</v>
      </c>
      <c r="AB4422" t="s">
        <v>409</v>
      </c>
      <c r="AC4422" t="s">
        <v>409</v>
      </c>
      <c r="AD4422" t="s">
        <v>261</v>
      </c>
      <c r="AH4422" t="s">
        <v>262</v>
      </c>
      <c r="AI4422" t="s">
        <v>262</v>
      </c>
      <c r="AJ4422" t="s">
        <v>261</v>
      </c>
      <c r="AK4422" t="s">
        <v>261</v>
      </c>
      <c r="AM4422" t="s">
        <v>262</v>
      </c>
      <c r="AN4422" t="s">
        <v>11932</v>
      </c>
    </row>
    <row r="4423" spans="1:40" x14ac:dyDescent="0.35">
      <c r="A4423">
        <v>7015485</v>
      </c>
      <c r="B4423" t="s">
        <v>11933</v>
      </c>
      <c r="C4423" t="str">
        <f>""</f>
        <v/>
      </c>
      <c r="D4423" t="str">
        <f>"9781501516016"</f>
        <v>9781501516016</v>
      </c>
      <c r="E4423" t="s">
        <v>11934</v>
      </c>
      <c r="F4423" t="s">
        <v>11934</v>
      </c>
      <c r="G4423" s="1">
        <v>44718</v>
      </c>
      <c r="H4423" s="1">
        <v>44739</v>
      </c>
      <c r="I4423" t="s">
        <v>189</v>
      </c>
      <c r="J4423">
        <v>1</v>
      </c>
      <c r="K4423" t="s">
        <v>11935</v>
      </c>
      <c r="L4423" t="s">
        <v>11936</v>
      </c>
    </row>
    <row r="4424" spans="1:40" x14ac:dyDescent="0.35">
      <c r="A4424">
        <v>7015486</v>
      </c>
      <c r="B4424" t="s">
        <v>11937</v>
      </c>
      <c r="C4424" t="str">
        <f>""</f>
        <v/>
      </c>
      <c r="D4424" t="str">
        <f>"9783110771800"</f>
        <v>9783110771800</v>
      </c>
      <c r="E4424" t="s">
        <v>415</v>
      </c>
      <c r="F4424" t="s">
        <v>665</v>
      </c>
      <c r="G4424" s="1">
        <v>44704</v>
      </c>
      <c r="H4424" s="1">
        <v>44739</v>
      </c>
      <c r="I4424" t="s">
        <v>189</v>
      </c>
      <c r="J4424">
        <v>1</v>
      </c>
      <c r="L4424" t="s">
        <v>11938</v>
      </c>
    </row>
    <row r="4425" spans="1:40" x14ac:dyDescent="0.35">
      <c r="A4425">
        <v>7015487</v>
      </c>
      <c r="B4425" t="s">
        <v>11939</v>
      </c>
      <c r="C4425" t="str">
        <f>""</f>
        <v/>
      </c>
      <c r="D4425" t="str">
        <f>"9783110760361"</f>
        <v>9783110760361</v>
      </c>
      <c r="E4425" t="s">
        <v>415</v>
      </c>
      <c r="F4425" t="s">
        <v>6576</v>
      </c>
      <c r="G4425" s="1">
        <v>44641</v>
      </c>
      <c r="H4425" s="1">
        <v>44739</v>
      </c>
      <c r="I4425" t="s">
        <v>189</v>
      </c>
      <c r="J4425">
        <v>1</v>
      </c>
      <c r="L4425" t="s">
        <v>11940</v>
      </c>
    </row>
    <row r="4426" spans="1:40" x14ac:dyDescent="0.35">
      <c r="A4426">
        <v>7015488</v>
      </c>
      <c r="B4426" t="s">
        <v>11941</v>
      </c>
      <c r="C4426" t="str">
        <f>""</f>
        <v/>
      </c>
      <c r="D4426" t="str">
        <f>"9783110761061"</f>
        <v>9783110761061</v>
      </c>
      <c r="E4426" t="s">
        <v>415</v>
      </c>
      <c r="F4426" t="s">
        <v>415</v>
      </c>
      <c r="G4426" s="1">
        <v>44742</v>
      </c>
      <c r="H4426" s="1">
        <v>44739</v>
      </c>
      <c r="I4426" t="s">
        <v>189</v>
      </c>
      <c r="J4426">
        <v>1</v>
      </c>
      <c r="L4426" t="s">
        <v>11942</v>
      </c>
      <c r="M4426" t="s">
        <v>578</v>
      </c>
      <c r="Q4426" t="s">
        <v>408</v>
      </c>
      <c r="R4426" t="s">
        <v>261</v>
      </c>
      <c r="S4426" t="s">
        <v>261</v>
      </c>
      <c r="T4426" t="s">
        <v>261</v>
      </c>
      <c r="U4426" t="s">
        <v>261</v>
      </c>
      <c r="V4426" t="s">
        <v>262</v>
      </c>
      <c r="W4426" t="s">
        <v>261</v>
      </c>
      <c r="X4426" t="s">
        <v>261</v>
      </c>
      <c r="Y4426" t="s">
        <v>261</v>
      </c>
      <c r="Z4426" t="s">
        <v>409</v>
      </c>
      <c r="AA4426" t="s">
        <v>409</v>
      </c>
      <c r="AB4426" t="s">
        <v>409</v>
      </c>
      <c r="AC4426" t="s">
        <v>409</v>
      </c>
      <c r="AD4426" t="s">
        <v>261</v>
      </c>
      <c r="AH4426" t="s">
        <v>262</v>
      </c>
      <c r="AI4426" t="s">
        <v>262</v>
      </c>
      <c r="AJ4426" t="s">
        <v>261</v>
      </c>
      <c r="AK4426" t="s">
        <v>261</v>
      </c>
      <c r="AM4426" t="s">
        <v>262</v>
      </c>
      <c r="AN4426" t="s">
        <v>11943</v>
      </c>
    </row>
    <row r="4427" spans="1:40" x14ac:dyDescent="0.35">
      <c r="A4427">
        <v>7015489</v>
      </c>
      <c r="B4427" t="s">
        <v>11944</v>
      </c>
      <c r="C4427" t="str">
        <f>""</f>
        <v/>
      </c>
      <c r="D4427" t="str">
        <f>"9783110752410"</f>
        <v>9783110752410</v>
      </c>
      <c r="E4427" t="s">
        <v>415</v>
      </c>
      <c r="F4427" t="s">
        <v>415</v>
      </c>
      <c r="G4427" s="1">
        <v>44592</v>
      </c>
      <c r="H4427" s="1">
        <v>44739</v>
      </c>
      <c r="I4427" t="s">
        <v>189</v>
      </c>
      <c r="J4427">
        <v>1</v>
      </c>
      <c r="L4427" t="s">
        <v>132</v>
      </c>
      <c r="M4427" t="s">
        <v>389</v>
      </c>
      <c r="O4427" t="s">
        <v>11945</v>
      </c>
      <c r="Q4427" t="s">
        <v>260</v>
      </c>
      <c r="R4427" t="s">
        <v>261</v>
      </c>
      <c r="S4427" t="s">
        <v>261</v>
      </c>
      <c r="T4427" t="s">
        <v>261</v>
      </c>
      <c r="U4427" t="s">
        <v>261</v>
      </c>
      <c r="V4427" t="s">
        <v>262</v>
      </c>
      <c r="W4427" t="s">
        <v>261</v>
      </c>
      <c r="X4427" t="s">
        <v>261</v>
      </c>
      <c r="Y4427" t="s">
        <v>261</v>
      </c>
      <c r="Z4427" t="s">
        <v>409</v>
      </c>
      <c r="AA4427" t="s">
        <v>409</v>
      </c>
      <c r="AB4427" t="s">
        <v>409</v>
      </c>
      <c r="AC4427" t="s">
        <v>409</v>
      </c>
      <c r="AD4427" t="s">
        <v>261</v>
      </c>
      <c r="AH4427" t="s">
        <v>262</v>
      </c>
      <c r="AI4427" t="s">
        <v>262</v>
      </c>
      <c r="AJ4427" t="s">
        <v>261</v>
      </c>
      <c r="AK4427" t="s">
        <v>261</v>
      </c>
      <c r="AM4427" t="s">
        <v>262</v>
      </c>
      <c r="AN4427" t="s">
        <v>11946</v>
      </c>
    </row>
    <row r="4428" spans="1:40" x14ac:dyDescent="0.35">
      <c r="A4428">
        <v>7015490</v>
      </c>
      <c r="B4428" t="s">
        <v>11947</v>
      </c>
      <c r="C4428" t="str">
        <f>""</f>
        <v/>
      </c>
      <c r="D4428" t="str">
        <f>"9783110721447"</f>
        <v>9783110721447</v>
      </c>
      <c r="E4428" t="s">
        <v>415</v>
      </c>
      <c r="F4428" t="s">
        <v>415</v>
      </c>
      <c r="G4428" s="1">
        <v>44718</v>
      </c>
      <c r="H4428" s="1">
        <v>44739</v>
      </c>
      <c r="I4428" t="s">
        <v>189</v>
      </c>
      <c r="J4428">
        <v>1</v>
      </c>
      <c r="K4428" t="s">
        <v>11948</v>
      </c>
      <c r="L4428" t="s">
        <v>11949</v>
      </c>
      <c r="M4428" t="s">
        <v>676</v>
      </c>
      <c r="Q4428" t="s">
        <v>408</v>
      </c>
      <c r="R4428" t="s">
        <v>261</v>
      </c>
      <c r="S4428" t="s">
        <v>261</v>
      </c>
      <c r="T4428" t="s">
        <v>261</v>
      </c>
      <c r="U4428" t="s">
        <v>261</v>
      </c>
      <c r="V4428" t="s">
        <v>262</v>
      </c>
      <c r="W4428" t="s">
        <v>261</v>
      </c>
      <c r="X4428" t="s">
        <v>261</v>
      </c>
      <c r="Y4428" t="s">
        <v>261</v>
      </c>
      <c r="Z4428" t="s">
        <v>409</v>
      </c>
      <c r="AA4428" t="s">
        <v>409</v>
      </c>
      <c r="AB4428" t="s">
        <v>409</v>
      </c>
      <c r="AC4428" t="s">
        <v>409</v>
      </c>
      <c r="AD4428" t="s">
        <v>261</v>
      </c>
      <c r="AH4428" t="s">
        <v>262</v>
      </c>
      <c r="AI4428" t="s">
        <v>262</v>
      </c>
      <c r="AJ4428" t="s">
        <v>261</v>
      </c>
      <c r="AK4428" t="s">
        <v>261</v>
      </c>
      <c r="AM4428" t="s">
        <v>262</v>
      </c>
      <c r="AN4428" t="s">
        <v>11950</v>
      </c>
    </row>
    <row r="4429" spans="1:40" x14ac:dyDescent="0.35">
      <c r="A4429">
        <v>7015491</v>
      </c>
      <c r="B4429" t="s">
        <v>11951</v>
      </c>
      <c r="C4429" t="str">
        <f>""</f>
        <v/>
      </c>
      <c r="D4429" t="str">
        <f>"9783110752205"</f>
        <v>9783110752205</v>
      </c>
      <c r="E4429" t="s">
        <v>415</v>
      </c>
      <c r="F4429" t="s">
        <v>415</v>
      </c>
      <c r="G4429" s="1">
        <v>44641</v>
      </c>
      <c r="H4429" s="1">
        <v>44739</v>
      </c>
      <c r="I4429" t="s">
        <v>189</v>
      </c>
      <c r="J4429">
        <v>1</v>
      </c>
      <c r="L4429" t="s">
        <v>11952</v>
      </c>
    </row>
    <row r="4430" spans="1:40" x14ac:dyDescent="0.35">
      <c r="A4430">
        <v>7015492</v>
      </c>
      <c r="B4430" t="s">
        <v>11953</v>
      </c>
      <c r="C4430" t="str">
        <f>""</f>
        <v/>
      </c>
      <c r="D4430" t="str">
        <f>"9783110680942"</f>
        <v>9783110680942</v>
      </c>
      <c r="E4430" t="s">
        <v>415</v>
      </c>
      <c r="F4430" t="s">
        <v>415</v>
      </c>
      <c r="G4430" s="1">
        <v>44561</v>
      </c>
      <c r="H4430" s="1">
        <v>44739</v>
      </c>
      <c r="I4430" t="s">
        <v>189</v>
      </c>
      <c r="J4430">
        <v>1</v>
      </c>
      <c r="K4430" t="s">
        <v>11954</v>
      </c>
      <c r="L4430" t="s">
        <v>11955</v>
      </c>
      <c r="M4430" t="s">
        <v>578</v>
      </c>
    </row>
    <row r="4431" spans="1:40" x14ac:dyDescent="0.35">
      <c r="A4431">
        <v>7015493</v>
      </c>
      <c r="B4431" t="s">
        <v>11956</v>
      </c>
      <c r="C4431" t="str">
        <f>""</f>
        <v/>
      </c>
      <c r="D4431" t="str">
        <f>"9783110767711"</f>
        <v>9783110767711</v>
      </c>
      <c r="E4431" t="s">
        <v>415</v>
      </c>
      <c r="F4431" t="s">
        <v>415</v>
      </c>
      <c r="G4431" s="1">
        <v>44561</v>
      </c>
      <c r="H4431" s="1">
        <v>44739</v>
      </c>
      <c r="I4431" t="s">
        <v>189</v>
      </c>
      <c r="J4431">
        <v>1</v>
      </c>
      <c r="K4431" t="s">
        <v>11957</v>
      </c>
      <c r="L4431" t="s">
        <v>11958</v>
      </c>
      <c r="M4431" t="s">
        <v>239</v>
      </c>
    </row>
    <row r="4432" spans="1:40" x14ac:dyDescent="0.35">
      <c r="A4432">
        <v>7015494</v>
      </c>
      <c r="B4432" t="s">
        <v>11959</v>
      </c>
      <c r="C4432" t="str">
        <f>""</f>
        <v/>
      </c>
      <c r="D4432" t="str">
        <f>"9783110765113"</f>
        <v>9783110765113</v>
      </c>
      <c r="E4432" t="s">
        <v>415</v>
      </c>
      <c r="F4432" t="s">
        <v>415</v>
      </c>
      <c r="G4432" s="1">
        <v>44592</v>
      </c>
      <c r="H4432" s="1">
        <v>44739</v>
      </c>
      <c r="I4432" t="s">
        <v>189</v>
      </c>
      <c r="J4432">
        <v>1</v>
      </c>
      <c r="K4432" t="s">
        <v>1272</v>
      </c>
      <c r="L4432" t="s">
        <v>11960</v>
      </c>
      <c r="M4432" t="s">
        <v>676</v>
      </c>
      <c r="O4432" t="s">
        <v>11961</v>
      </c>
      <c r="Q4432" t="s">
        <v>408</v>
      </c>
      <c r="R4432" t="s">
        <v>261</v>
      </c>
      <c r="S4432" t="s">
        <v>261</v>
      </c>
      <c r="T4432" t="s">
        <v>261</v>
      </c>
      <c r="U4432" t="s">
        <v>261</v>
      </c>
      <c r="V4432" t="s">
        <v>262</v>
      </c>
      <c r="W4432" t="s">
        <v>261</v>
      </c>
      <c r="X4432" t="s">
        <v>261</v>
      </c>
      <c r="Y4432" t="s">
        <v>261</v>
      </c>
      <c r="Z4432" t="s">
        <v>409</v>
      </c>
      <c r="AA4432" t="s">
        <v>409</v>
      </c>
      <c r="AB4432" t="s">
        <v>409</v>
      </c>
      <c r="AC4432" t="s">
        <v>409</v>
      </c>
      <c r="AD4432" t="s">
        <v>261</v>
      </c>
      <c r="AH4432" t="s">
        <v>262</v>
      </c>
      <c r="AI4432" t="s">
        <v>262</v>
      </c>
      <c r="AJ4432" t="s">
        <v>261</v>
      </c>
      <c r="AK4432" t="s">
        <v>261</v>
      </c>
      <c r="AM4432" t="s">
        <v>262</v>
      </c>
      <c r="AN4432" t="s">
        <v>11962</v>
      </c>
    </row>
    <row r="4433" spans="1:40" x14ac:dyDescent="0.35">
      <c r="A4433">
        <v>7015495</v>
      </c>
      <c r="B4433" t="s">
        <v>11963</v>
      </c>
      <c r="C4433" t="str">
        <f>""</f>
        <v/>
      </c>
      <c r="D4433" t="str">
        <f>"9783486769265"</f>
        <v>9783486769265</v>
      </c>
      <c r="E4433" t="s">
        <v>415</v>
      </c>
      <c r="F4433" t="s">
        <v>665</v>
      </c>
      <c r="G4433" s="1">
        <v>13971</v>
      </c>
      <c r="H4433" s="1">
        <v>44739</v>
      </c>
      <c r="I4433" t="s">
        <v>189</v>
      </c>
      <c r="J4433">
        <v>1</v>
      </c>
      <c r="L4433" t="s">
        <v>10878</v>
      </c>
      <c r="M4433" t="s">
        <v>199</v>
      </c>
      <c r="Q4433" t="s">
        <v>408</v>
      </c>
      <c r="R4433" t="s">
        <v>261</v>
      </c>
      <c r="S4433" t="s">
        <v>261</v>
      </c>
      <c r="T4433" t="s">
        <v>261</v>
      </c>
      <c r="U4433" t="s">
        <v>261</v>
      </c>
      <c r="V4433" t="s">
        <v>262</v>
      </c>
      <c r="W4433" t="s">
        <v>261</v>
      </c>
      <c r="X4433" t="s">
        <v>261</v>
      </c>
      <c r="Y4433" t="s">
        <v>261</v>
      </c>
      <c r="Z4433" t="s">
        <v>409</v>
      </c>
      <c r="AA4433" t="s">
        <v>409</v>
      </c>
      <c r="AB4433" t="s">
        <v>409</v>
      </c>
      <c r="AC4433" t="s">
        <v>409</v>
      </c>
      <c r="AD4433" t="s">
        <v>261</v>
      </c>
      <c r="AH4433" t="s">
        <v>262</v>
      </c>
      <c r="AI4433" t="s">
        <v>262</v>
      </c>
      <c r="AJ4433" t="s">
        <v>261</v>
      </c>
      <c r="AK4433" t="s">
        <v>261</v>
      </c>
      <c r="AM4433" t="s">
        <v>262</v>
      </c>
      <c r="AN4433" t="s">
        <v>11964</v>
      </c>
    </row>
    <row r="4434" spans="1:40" x14ac:dyDescent="0.35">
      <c r="A4434">
        <v>7015496</v>
      </c>
      <c r="B4434" t="s">
        <v>11965</v>
      </c>
      <c r="C4434" t="str">
        <f>"9783110203066"</f>
        <v>9783110203066</v>
      </c>
      <c r="D4434" t="str">
        <f>"9783110972948"</f>
        <v>9783110972948</v>
      </c>
      <c r="E4434" t="s">
        <v>415</v>
      </c>
      <c r="F4434" t="s">
        <v>415</v>
      </c>
      <c r="G4434" s="1">
        <v>39644</v>
      </c>
      <c r="H4434" s="1">
        <v>44739</v>
      </c>
      <c r="I4434" t="s">
        <v>189</v>
      </c>
      <c r="J4434">
        <v>1</v>
      </c>
      <c r="L4434" t="s">
        <v>11697</v>
      </c>
    </row>
    <row r="4435" spans="1:40" x14ac:dyDescent="0.35">
      <c r="A4435">
        <v>7015497</v>
      </c>
      <c r="B4435" t="s">
        <v>11966</v>
      </c>
      <c r="C4435" t="str">
        <f>""</f>
        <v/>
      </c>
      <c r="D4435" t="str">
        <f>"9783110663792"</f>
        <v>9783110663792</v>
      </c>
      <c r="E4435" t="s">
        <v>415</v>
      </c>
      <c r="F4435" t="s">
        <v>6576</v>
      </c>
      <c r="G4435" s="1">
        <v>44032</v>
      </c>
      <c r="H4435" s="1">
        <v>44739</v>
      </c>
      <c r="I4435" t="s">
        <v>189</v>
      </c>
      <c r="J4435">
        <v>1</v>
      </c>
      <c r="K4435" t="s">
        <v>10678</v>
      </c>
      <c r="L4435" t="s">
        <v>11967</v>
      </c>
      <c r="M4435" t="s">
        <v>1687</v>
      </c>
      <c r="O4435" t="s">
        <v>11968</v>
      </c>
      <c r="Q4435" t="s">
        <v>260</v>
      </c>
      <c r="R4435" t="s">
        <v>261</v>
      </c>
      <c r="S4435" t="s">
        <v>261</v>
      </c>
      <c r="T4435" t="s">
        <v>261</v>
      </c>
      <c r="U4435" t="s">
        <v>261</v>
      </c>
      <c r="V4435" t="s">
        <v>262</v>
      </c>
      <c r="W4435" t="s">
        <v>261</v>
      </c>
      <c r="X4435" t="s">
        <v>261</v>
      </c>
      <c r="Y4435" t="s">
        <v>261</v>
      </c>
      <c r="Z4435" t="s">
        <v>409</v>
      </c>
      <c r="AA4435" t="s">
        <v>409</v>
      </c>
      <c r="AB4435" t="s">
        <v>409</v>
      </c>
      <c r="AC4435" t="s">
        <v>409</v>
      </c>
      <c r="AD4435" t="s">
        <v>261</v>
      </c>
      <c r="AH4435" t="s">
        <v>262</v>
      </c>
      <c r="AI4435" t="s">
        <v>262</v>
      </c>
      <c r="AJ4435" t="s">
        <v>261</v>
      </c>
      <c r="AK4435" t="s">
        <v>261</v>
      </c>
      <c r="AM4435" t="s">
        <v>262</v>
      </c>
      <c r="AN4435" t="s">
        <v>11969</v>
      </c>
    </row>
    <row r="4436" spans="1:40" x14ac:dyDescent="0.35">
      <c r="A4436">
        <v>7015501</v>
      </c>
      <c r="B4436" t="s">
        <v>11970</v>
      </c>
      <c r="C4436" t="str">
        <f>"9781802070491"</f>
        <v>9781802070491</v>
      </c>
      <c r="D4436" t="str">
        <f>"9781802070927"</f>
        <v>9781802070927</v>
      </c>
      <c r="E4436" t="s">
        <v>3696</v>
      </c>
      <c r="F4436" t="s">
        <v>3696</v>
      </c>
      <c r="G4436" s="1">
        <v>44774</v>
      </c>
      <c r="H4436" s="1">
        <v>44739</v>
      </c>
      <c r="I4436" t="s">
        <v>189</v>
      </c>
      <c r="J4436">
        <v>1</v>
      </c>
      <c r="K4436" t="s">
        <v>9142</v>
      </c>
      <c r="L4436" t="s">
        <v>11971</v>
      </c>
      <c r="M4436" t="s">
        <v>329</v>
      </c>
      <c r="O4436" s="2">
        <v>306483</v>
      </c>
      <c r="Q4436" t="s">
        <v>260</v>
      </c>
      <c r="R4436" t="s">
        <v>261</v>
      </c>
      <c r="S4436" t="s">
        <v>261</v>
      </c>
      <c r="T4436" t="s">
        <v>261</v>
      </c>
      <c r="U4436" t="s">
        <v>261</v>
      </c>
      <c r="V4436" t="s">
        <v>262</v>
      </c>
      <c r="W4436" t="s">
        <v>261</v>
      </c>
      <c r="X4436" t="s">
        <v>261</v>
      </c>
      <c r="Y4436" t="s">
        <v>261</v>
      </c>
      <c r="Z4436" t="s">
        <v>409</v>
      </c>
      <c r="AA4436" t="s">
        <v>409</v>
      </c>
      <c r="AB4436" t="s">
        <v>409</v>
      </c>
      <c r="AC4436" t="s">
        <v>409</v>
      </c>
      <c r="AD4436" t="s">
        <v>261</v>
      </c>
      <c r="AH4436" t="s">
        <v>262</v>
      </c>
      <c r="AI4436" t="s">
        <v>262</v>
      </c>
      <c r="AJ4436" t="s">
        <v>261</v>
      </c>
      <c r="AK4436" t="s">
        <v>261</v>
      </c>
      <c r="AM4436" t="s">
        <v>262</v>
      </c>
      <c r="AN4436" t="s">
        <v>11972</v>
      </c>
    </row>
    <row r="4437" spans="1:40" x14ac:dyDescent="0.35">
      <c r="A4437">
        <v>7015822</v>
      </c>
      <c r="B4437" t="s">
        <v>11973</v>
      </c>
      <c r="C4437" t="str">
        <f>"9783031081682"</f>
        <v>9783031081682</v>
      </c>
      <c r="D4437" t="str">
        <f>"9783031081699"</f>
        <v>9783031081699</v>
      </c>
      <c r="E4437" t="s">
        <v>2289</v>
      </c>
      <c r="F4437" t="s">
        <v>2290</v>
      </c>
      <c r="G4437" s="1">
        <v>44761</v>
      </c>
      <c r="H4437" s="1">
        <v>44739</v>
      </c>
      <c r="I4437" t="s">
        <v>189</v>
      </c>
      <c r="K4437" t="s">
        <v>4306</v>
      </c>
      <c r="L4437" t="s">
        <v>4307</v>
      </c>
    </row>
    <row r="4438" spans="1:40" x14ac:dyDescent="0.35">
      <c r="A4438">
        <v>7016579</v>
      </c>
      <c r="B4438" t="s">
        <v>11974</v>
      </c>
      <c r="C4438" t="str">
        <f>"9783031048838"</f>
        <v>9783031048838</v>
      </c>
      <c r="D4438" t="str">
        <f>"9783031048845"</f>
        <v>9783031048845</v>
      </c>
      <c r="E4438" t="s">
        <v>2289</v>
      </c>
      <c r="F4438" t="s">
        <v>2663</v>
      </c>
      <c r="G4438" s="1">
        <v>44727</v>
      </c>
      <c r="H4438" s="1">
        <v>44739</v>
      </c>
      <c r="I4438" t="s">
        <v>189</v>
      </c>
      <c r="L4438" t="s">
        <v>7021</v>
      </c>
    </row>
    <row r="4439" spans="1:40" x14ac:dyDescent="0.35">
      <c r="A4439">
        <v>7017512</v>
      </c>
      <c r="B4439" t="s">
        <v>11975</v>
      </c>
      <c r="C4439" t="str">
        <f>"9783030983505"</f>
        <v>9783030983505</v>
      </c>
      <c r="D4439" t="str">
        <f>"9783030983512"</f>
        <v>9783030983512</v>
      </c>
      <c r="E4439" t="s">
        <v>2289</v>
      </c>
      <c r="F4439" t="s">
        <v>2290</v>
      </c>
      <c r="G4439" s="1">
        <v>44752</v>
      </c>
      <c r="H4439" s="1">
        <v>44739</v>
      </c>
      <c r="I4439" t="s">
        <v>189</v>
      </c>
      <c r="L4439" t="s">
        <v>11976</v>
      </c>
    </row>
    <row r="4440" spans="1:40" x14ac:dyDescent="0.35">
      <c r="A4440">
        <v>7018096</v>
      </c>
      <c r="B4440" t="s">
        <v>11977</v>
      </c>
      <c r="C4440" t="str">
        <f>"9783030980795"</f>
        <v>9783030980795</v>
      </c>
      <c r="D4440" t="str">
        <f>"9783030980801"</f>
        <v>9783030980801</v>
      </c>
      <c r="E4440" t="s">
        <v>2289</v>
      </c>
      <c r="F4440" t="s">
        <v>2663</v>
      </c>
      <c r="G4440" s="1">
        <v>44728</v>
      </c>
      <c r="H4440" s="1">
        <v>44739</v>
      </c>
      <c r="I4440" t="s">
        <v>189</v>
      </c>
      <c r="L4440" t="s">
        <v>11978</v>
      </c>
    </row>
    <row r="4441" spans="1:40" x14ac:dyDescent="0.35">
      <c r="A4441">
        <v>7018107</v>
      </c>
      <c r="B4441" t="s">
        <v>11979</v>
      </c>
      <c r="C4441" t="str">
        <f>"9783030970116"</f>
        <v>9783030970116</v>
      </c>
      <c r="D4441" t="str">
        <f>"9783030970123"</f>
        <v>9783030970123</v>
      </c>
      <c r="E4441" t="s">
        <v>2289</v>
      </c>
      <c r="F4441" t="s">
        <v>2290</v>
      </c>
      <c r="G4441" s="1">
        <v>44774</v>
      </c>
      <c r="H4441" s="1">
        <v>44739</v>
      </c>
      <c r="I4441" t="s">
        <v>189</v>
      </c>
      <c r="K4441" t="s">
        <v>11980</v>
      </c>
      <c r="L4441" t="s">
        <v>11981</v>
      </c>
    </row>
    <row r="4442" spans="1:40" x14ac:dyDescent="0.35">
      <c r="A4442">
        <v>7018111</v>
      </c>
      <c r="B4442" t="s">
        <v>11982</v>
      </c>
      <c r="C4442" t="str">
        <f>"9783030956820"</f>
        <v>9783030956820</v>
      </c>
      <c r="D4442" t="str">
        <f>"9783030956837"</f>
        <v>9783030956837</v>
      </c>
      <c r="E4442" t="s">
        <v>2289</v>
      </c>
      <c r="F4442" t="s">
        <v>2290</v>
      </c>
      <c r="G4442" s="1">
        <v>44766</v>
      </c>
      <c r="H4442" s="1">
        <v>44739</v>
      </c>
      <c r="I4442" t="s">
        <v>189</v>
      </c>
      <c r="L4442" t="s">
        <v>11983</v>
      </c>
      <c r="M4442" t="s">
        <v>1318</v>
      </c>
      <c r="N4442" t="s">
        <v>11984</v>
      </c>
      <c r="Q4442" t="s">
        <v>260</v>
      </c>
      <c r="R4442" t="s">
        <v>261</v>
      </c>
      <c r="S4442" t="s">
        <v>261</v>
      </c>
      <c r="T4442" t="s">
        <v>261</v>
      </c>
      <c r="U4442" t="s">
        <v>261</v>
      </c>
      <c r="V4442" t="s">
        <v>262</v>
      </c>
      <c r="W4442" t="s">
        <v>261</v>
      </c>
      <c r="X4442" t="s">
        <v>261</v>
      </c>
      <c r="Y4442" t="s">
        <v>261</v>
      </c>
      <c r="Z4442" t="s">
        <v>409</v>
      </c>
      <c r="AA4442" t="s">
        <v>409</v>
      </c>
      <c r="AB4442" t="s">
        <v>409</v>
      </c>
      <c r="AC4442" t="s">
        <v>409</v>
      </c>
      <c r="AD4442" t="s">
        <v>261</v>
      </c>
      <c r="AH4442" t="s">
        <v>262</v>
      </c>
      <c r="AI4442" t="s">
        <v>262</v>
      </c>
      <c r="AJ4442" t="s">
        <v>261</v>
      </c>
      <c r="AK4442" t="s">
        <v>261</v>
      </c>
      <c r="AM4442" t="s">
        <v>262</v>
      </c>
      <c r="AN4442" t="s">
        <v>11985</v>
      </c>
    </row>
    <row r="4443" spans="1:40" x14ac:dyDescent="0.35">
      <c r="A4443">
        <v>7018191</v>
      </c>
      <c r="B4443" t="s">
        <v>11986</v>
      </c>
      <c r="C4443" t="str">
        <f>"9780472075447"</f>
        <v>9780472075447</v>
      </c>
      <c r="D4443" t="str">
        <f>"9780472902873"</f>
        <v>9780472902873</v>
      </c>
      <c r="E4443" t="s">
        <v>2090</v>
      </c>
      <c r="F4443" t="s">
        <v>2090</v>
      </c>
      <c r="G4443" s="1">
        <v>44781</v>
      </c>
      <c r="H4443" s="1">
        <v>44739</v>
      </c>
      <c r="I4443" t="s">
        <v>189</v>
      </c>
      <c r="L4443" t="s">
        <v>11987</v>
      </c>
      <c r="M4443" t="s">
        <v>210</v>
      </c>
      <c r="Q4443" t="s">
        <v>260</v>
      </c>
      <c r="R4443" t="s">
        <v>261</v>
      </c>
      <c r="S4443" t="s">
        <v>261</v>
      </c>
      <c r="T4443" t="s">
        <v>261</v>
      </c>
      <c r="U4443" t="s">
        <v>261</v>
      </c>
      <c r="V4443" t="s">
        <v>262</v>
      </c>
      <c r="W4443" t="s">
        <v>261</v>
      </c>
      <c r="X4443" t="s">
        <v>261</v>
      </c>
      <c r="Y4443" t="s">
        <v>261</v>
      </c>
      <c r="AA4443" t="s">
        <v>409</v>
      </c>
      <c r="AB4443" t="s">
        <v>409</v>
      </c>
      <c r="AC4443" t="s">
        <v>409</v>
      </c>
      <c r="AD4443" t="s">
        <v>261</v>
      </c>
      <c r="AH4443" t="s">
        <v>262</v>
      </c>
      <c r="AI4443" t="s">
        <v>262</v>
      </c>
      <c r="AJ4443" t="s">
        <v>261</v>
      </c>
      <c r="AK4443" t="s">
        <v>261</v>
      </c>
      <c r="AM4443" t="s">
        <v>262</v>
      </c>
      <c r="AN4443" t="s">
        <v>11988</v>
      </c>
    </row>
    <row r="4444" spans="1:40" x14ac:dyDescent="0.35">
      <c r="A4444">
        <v>7018666</v>
      </c>
      <c r="B4444" t="s">
        <v>11989</v>
      </c>
      <c r="C4444" t="str">
        <f>"9783031052750"</f>
        <v>9783031052750</v>
      </c>
      <c r="D4444" t="str">
        <f>"9783031052767"</f>
        <v>9783031052767</v>
      </c>
      <c r="E4444" t="s">
        <v>2289</v>
      </c>
      <c r="F4444" t="s">
        <v>2290</v>
      </c>
      <c r="G4444" s="1">
        <v>44729</v>
      </c>
      <c r="H4444" s="1">
        <v>44739</v>
      </c>
      <c r="I4444" t="s">
        <v>189</v>
      </c>
      <c r="L4444" t="s">
        <v>11990</v>
      </c>
    </row>
    <row r="4445" spans="1:40" x14ac:dyDescent="0.35">
      <c r="A4445">
        <v>7018786</v>
      </c>
      <c r="B4445" t="s">
        <v>11991</v>
      </c>
      <c r="C4445" t="str">
        <f>"9783030939854"</f>
        <v>9783030939854</v>
      </c>
      <c r="D4445" t="str">
        <f>"9783030939861"</f>
        <v>9783030939861</v>
      </c>
      <c r="E4445" t="s">
        <v>2289</v>
      </c>
      <c r="F4445" t="s">
        <v>2290</v>
      </c>
      <c r="G4445" s="1">
        <v>44729</v>
      </c>
      <c r="H4445" s="1">
        <v>44739</v>
      </c>
      <c r="I4445" t="s">
        <v>189</v>
      </c>
      <c r="K4445" t="s">
        <v>11992</v>
      </c>
      <c r="L4445" t="s">
        <v>3990</v>
      </c>
      <c r="M4445" t="s">
        <v>210</v>
      </c>
      <c r="N4445" t="s">
        <v>5836</v>
      </c>
      <c r="Q4445" t="s">
        <v>260</v>
      </c>
      <c r="R4445" t="s">
        <v>261</v>
      </c>
      <c r="S4445" t="s">
        <v>261</v>
      </c>
      <c r="T4445" t="s">
        <v>261</v>
      </c>
      <c r="U4445" t="s">
        <v>261</v>
      </c>
      <c r="V4445" t="s">
        <v>262</v>
      </c>
      <c r="W4445" t="s">
        <v>261</v>
      </c>
      <c r="X4445" t="s">
        <v>261</v>
      </c>
      <c r="Y4445" t="s">
        <v>261</v>
      </c>
      <c r="AA4445" t="s">
        <v>409</v>
      </c>
      <c r="AB4445" t="s">
        <v>409</v>
      </c>
      <c r="AD4445" t="s">
        <v>261</v>
      </c>
      <c r="AH4445" t="s">
        <v>262</v>
      </c>
      <c r="AI4445" t="s">
        <v>262</v>
      </c>
      <c r="AJ4445" t="s">
        <v>261</v>
      </c>
      <c r="AK4445" t="s">
        <v>261</v>
      </c>
      <c r="AM4445" t="s">
        <v>262</v>
      </c>
      <c r="AN4445" t="s">
        <v>11993</v>
      </c>
    </row>
    <row r="4446" spans="1:40" x14ac:dyDescent="0.35">
      <c r="A4446">
        <v>7018938</v>
      </c>
      <c r="B4446" t="s">
        <v>11994</v>
      </c>
      <c r="C4446" t="str">
        <f>"9783031012327"</f>
        <v>9783031012327</v>
      </c>
      <c r="D4446" t="str">
        <f>"9783031012334"</f>
        <v>9783031012334</v>
      </c>
      <c r="E4446" t="s">
        <v>2289</v>
      </c>
      <c r="F4446" t="s">
        <v>2290</v>
      </c>
      <c r="G4446" s="1">
        <v>44775</v>
      </c>
      <c r="H4446" s="1">
        <v>44739</v>
      </c>
      <c r="I4446" t="s">
        <v>189</v>
      </c>
      <c r="L4446" t="s">
        <v>11995</v>
      </c>
    </row>
    <row r="4447" spans="1:40" x14ac:dyDescent="0.35">
      <c r="A4447">
        <v>7018967</v>
      </c>
      <c r="B4447" t="s">
        <v>11996</v>
      </c>
      <c r="C4447" t="str">
        <f>"9783031054655"</f>
        <v>9783031054655</v>
      </c>
      <c r="D4447" t="str">
        <f>"9783031054662"</f>
        <v>9783031054662</v>
      </c>
      <c r="E4447" t="s">
        <v>2289</v>
      </c>
      <c r="F4447" t="s">
        <v>2290</v>
      </c>
      <c r="G4447" s="1">
        <v>44794</v>
      </c>
      <c r="H4447" s="1">
        <v>44739</v>
      </c>
      <c r="I4447" t="s">
        <v>189</v>
      </c>
      <c r="K4447" t="s">
        <v>4447</v>
      </c>
      <c r="L4447" t="s">
        <v>11997</v>
      </c>
    </row>
    <row r="4448" spans="1:40" x14ac:dyDescent="0.35">
      <c r="A4448">
        <v>7019590</v>
      </c>
      <c r="B4448" t="s">
        <v>11998</v>
      </c>
      <c r="C4448" t="str">
        <f>""</f>
        <v/>
      </c>
      <c r="D4448" t="str">
        <f>"9783110765533"</f>
        <v>9783110765533</v>
      </c>
      <c r="E4448" t="s">
        <v>415</v>
      </c>
      <c r="F4448" t="s">
        <v>415</v>
      </c>
      <c r="G4448" s="1">
        <v>44718</v>
      </c>
      <c r="H4448" s="1">
        <v>44739</v>
      </c>
      <c r="I4448" t="s">
        <v>189</v>
      </c>
      <c r="J4448">
        <v>1</v>
      </c>
      <c r="K4448" t="s">
        <v>3910</v>
      </c>
      <c r="L4448" t="s">
        <v>11999</v>
      </c>
    </row>
    <row r="4449" spans="1:40" x14ac:dyDescent="0.35">
      <c r="A4449">
        <v>7020108</v>
      </c>
      <c r="B4449" t="s">
        <v>12000</v>
      </c>
      <c r="C4449" t="str">
        <f>"9783030989880"</f>
        <v>9783030989880</v>
      </c>
      <c r="D4449" t="str">
        <f>"9783030989897"</f>
        <v>9783030989897</v>
      </c>
      <c r="E4449" t="s">
        <v>2289</v>
      </c>
      <c r="F4449" t="s">
        <v>2290</v>
      </c>
      <c r="G4449" s="1">
        <v>44773</v>
      </c>
      <c r="H4449" s="1">
        <v>44739</v>
      </c>
      <c r="I4449" t="s">
        <v>189</v>
      </c>
      <c r="L4449" t="s">
        <v>12001</v>
      </c>
      <c r="M4449" t="s">
        <v>1995</v>
      </c>
    </row>
    <row r="4450" spans="1:40" x14ac:dyDescent="0.35">
      <c r="A4450">
        <v>7020126</v>
      </c>
      <c r="B4450" t="s">
        <v>12002</v>
      </c>
      <c r="C4450" t="str">
        <f>"9783030986391"</f>
        <v>9783030986391</v>
      </c>
      <c r="D4450" t="str">
        <f>"9783030986407"</f>
        <v>9783030986407</v>
      </c>
      <c r="E4450" t="s">
        <v>2289</v>
      </c>
      <c r="F4450" t="s">
        <v>2290</v>
      </c>
      <c r="G4450" s="1">
        <v>44763</v>
      </c>
      <c r="H4450" s="1">
        <v>44739</v>
      </c>
      <c r="I4450" t="s">
        <v>189</v>
      </c>
      <c r="K4450" t="s">
        <v>5785</v>
      </c>
      <c r="L4450" t="s">
        <v>12003</v>
      </c>
    </row>
    <row r="4451" spans="1:40" x14ac:dyDescent="0.35">
      <c r="A4451">
        <v>7020131</v>
      </c>
      <c r="B4451" t="s">
        <v>12004</v>
      </c>
      <c r="C4451" t="str">
        <f>"9783030960520"</f>
        <v>9783030960520</v>
      </c>
      <c r="D4451" t="str">
        <f>"9783030960537"</f>
        <v>9783030960537</v>
      </c>
      <c r="E4451" t="s">
        <v>2289</v>
      </c>
      <c r="F4451" t="s">
        <v>2290</v>
      </c>
      <c r="G4451" s="1">
        <v>44752</v>
      </c>
      <c r="H4451" s="1">
        <v>44739</v>
      </c>
      <c r="I4451" t="s">
        <v>189</v>
      </c>
      <c r="K4451" t="s">
        <v>8685</v>
      </c>
      <c r="L4451" t="s">
        <v>12005</v>
      </c>
      <c r="M4451" t="s">
        <v>339</v>
      </c>
      <c r="N4451" t="s">
        <v>9621</v>
      </c>
      <c r="Q4451" t="s">
        <v>260</v>
      </c>
      <c r="R4451" t="s">
        <v>261</v>
      </c>
      <c r="S4451" t="s">
        <v>261</v>
      </c>
      <c r="T4451" t="s">
        <v>261</v>
      </c>
      <c r="U4451" t="s">
        <v>261</v>
      </c>
      <c r="V4451" t="s">
        <v>262</v>
      </c>
      <c r="W4451" t="s">
        <v>261</v>
      </c>
      <c r="X4451" t="s">
        <v>261</v>
      </c>
      <c r="Y4451" t="s">
        <v>261</v>
      </c>
      <c r="Z4451" t="s">
        <v>409</v>
      </c>
      <c r="AA4451" t="s">
        <v>409</v>
      </c>
      <c r="AB4451" t="s">
        <v>409</v>
      </c>
      <c r="AC4451" t="s">
        <v>409</v>
      </c>
      <c r="AD4451" t="s">
        <v>261</v>
      </c>
      <c r="AH4451" t="s">
        <v>262</v>
      </c>
      <c r="AI4451" t="s">
        <v>262</v>
      </c>
      <c r="AJ4451" t="s">
        <v>261</v>
      </c>
      <c r="AK4451" t="s">
        <v>261</v>
      </c>
      <c r="AM4451" t="s">
        <v>262</v>
      </c>
      <c r="AN4451" t="s">
        <v>12006</v>
      </c>
    </row>
    <row r="4452" spans="1:40" x14ac:dyDescent="0.35">
      <c r="A4452">
        <v>7020803</v>
      </c>
      <c r="B4452" t="s">
        <v>12007</v>
      </c>
      <c r="C4452" t="str">
        <f>"9783031095924"</f>
        <v>9783031095924</v>
      </c>
      <c r="D4452" t="str">
        <f>"9783031095931"</f>
        <v>9783031095931</v>
      </c>
      <c r="E4452" t="s">
        <v>2289</v>
      </c>
      <c r="F4452" t="s">
        <v>2290</v>
      </c>
      <c r="G4452" s="1">
        <v>44734</v>
      </c>
      <c r="H4452" s="1">
        <v>44739</v>
      </c>
      <c r="I4452" t="s">
        <v>189</v>
      </c>
      <c r="K4452" t="s">
        <v>4008</v>
      </c>
      <c r="L4452" t="s">
        <v>12008</v>
      </c>
    </row>
    <row r="4453" spans="1:40" x14ac:dyDescent="0.35">
      <c r="A4453">
        <v>7020823</v>
      </c>
      <c r="B4453" t="s">
        <v>12009</v>
      </c>
      <c r="C4453" t="str">
        <f>"9783030977214"</f>
        <v>9783030977214</v>
      </c>
      <c r="D4453" t="str">
        <f>"9783030977221"</f>
        <v>9783030977221</v>
      </c>
      <c r="E4453" t="s">
        <v>2289</v>
      </c>
      <c r="F4453" t="s">
        <v>2290</v>
      </c>
      <c r="G4453" s="1">
        <v>44765</v>
      </c>
      <c r="H4453" s="1">
        <v>44739</v>
      </c>
      <c r="I4453" t="s">
        <v>189</v>
      </c>
      <c r="L4453" t="s">
        <v>5396</v>
      </c>
    </row>
    <row r="4454" spans="1:40" x14ac:dyDescent="0.35">
      <c r="A4454">
        <v>7021194</v>
      </c>
      <c r="B4454" t="s">
        <v>12010</v>
      </c>
      <c r="C4454" t="str">
        <f>"9783030982898"</f>
        <v>9783030982898</v>
      </c>
      <c r="D4454" t="str">
        <f>"9783030982904"</f>
        <v>9783030982904</v>
      </c>
      <c r="E4454" t="s">
        <v>2289</v>
      </c>
      <c r="F4454" t="s">
        <v>2290</v>
      </c>
      <c r="G4454" s="1">
        <v>44735</v>
      </c>
      <c r="H4454" s="1">
        <v>44739</v>
      </c>
      <c r="I4454" t="s">
        <v>189</v>
      </c>
      <c r="K4454" t="s">
        <v>7237</v>
      </c>
      <c r="L4454" t="s">
        <v>12011</v>
      </c>
    </row>
    <row r="4455" spans="1:40" x14ac:dyDescent="0.35">
      <c r="A4455">
        <v>7021221</v>
      </c>
      <c r="B4455" t="s">
        <v>12012</v>
      </c>
      <c r="C4455" t="str">
        <f>"9783031080197"</f>
        <v>9783031080197</v>
      </c>
      <c r="D4455" t="str">
        <f>"9783031080203"</f>
        <v>9783031080203</v>
      </c>
      <c r="E4455" t="s">
        <v>2289</v>
      </c>
      <c r="F4455" t="s">
        <v>2290</v>
      </c>
      <c r="G4455" s="1">
        <v>44735</v>
      </c>
      <c r="H4455" s="1">
        <v>44739</v>
      </c>
      <c r="I4455" t="s">
        <v>189</v>
      </c>
      <c r="K4455" t="s">
        <v>12013</v>
      </c>
      <c r="L4455" t="s">
        <v>12014</v>
      </c>
    </row>
    <row r="4456" spans="1:40" x14ac:dyDescent="0.35">
      <c r="A4456">
        <v>7021566</v>
      </c>
      <c r="B4456" t="s">
        <v>12015</v>
      </c>
      <c r="C4456" t="str">
        <f>"9783031039553"</f>
        <v>9783031039553</v>
      </c>
      <c r="D4456" t="str">
        <f>"9783031039560"</f>
        <v>9783031039560</v>
      </c>
      <c r="E4456" t="s">
        <v>2289</v>
      </c>
      <c r="F4456" t="s">
        <v>2290</v>
      </c>
      <c r="G4456" s="1">
        <v>44777</v>
      </c>
      <c r="H4456" s="1">
        <v>44739</v>
      </c>
      <c r="I4456" t="s">
        <v>189</v>
      </c>
      <c r="K4456" t="s">
        <v>12016</v>
      </c>
      <c r="L4456" t="s">
        <v>12017</v>
      </c>
    </row>
    <row r="4457" spans="1:40" x14ac:dyDescent="0.35">
      <c r="A4457">
        <v>7021573</v>
      </c>
      <c r="B4457" t="s">
        <v>12018</v>
      </c>
      <c r="C4457" t="str">
        <f>"9789811919497"</f>
        <v>9789811919497</v>
      </c>
      <c r="D4457" t="str">
        <f>"9789811919503"</f>
        <v>9789811919503</v>
      </c>
      <c r="E4457" t="s">
        <v>2662</v>
      </c>
      <c r="F4457" t="s">
        <v>2663</v>
      </c>
      <c r="G4457" s="1">
        <v>44764</v>
      </c>
      <c r="H4457" s="1">
        <v>44739</v>
      </c>
      <c r="I4457" t="s">
        <v>189</v>
      </c>
      <c r="L4457" t="s">
        <v>12019</v>
      </c>
      <c r="M4457" t="s">
        <v>3181</v>
      </c>
    </row>
    <row r="4458" spans="1:40" x14ac:dyDescent="0.35">
      <c r="A4458">
        <v>7021723</v>
      </c>
      <c r="B4458" t="s">
        <v>12020</v>
      </c>
      <c r="C4458" t="str">
        <f>"9783110620542"</f>
        <v>9783110620542</v>
      </c>
      <c r="D4458" t="str">
        <f>"9783110620580"</f>
        <v>9783110620580</v>
      </c>
      <c r="E4458" t="s">
        <v>415</v>
      </c>
      <c r="F4458" t="s">
        <v>659</v>
      </c>
      <c r="G4458" s="1">
        <v>43354</v>
      </c>
      <c r="H4458" s="1">
        <v>44739</v>
      </c>
      <c r="I4458" t="s">
        <v>189</v>
      </c>
      <c r="J4458">
        <v>1</v>
      </c>
      <c r="L4458" t="s">
        <v>12021</v>
      </c>
      <c r="M4458" t="s">
        <v>389</v>
      </c>
      <c r="Q4458" t="s">
        <v>260</v>
      </c>
      <c r="R4458" t="s">
        <v>261</v>
      </c>
      <c r="S4458" t="s">
        <v>261</v>
      </c>
      <c r="T4458" t="s">
        <v>261</v>
      </c>
      <c r="U4458" t="s">
        <v>261</v>
      </c>
      <c r="V4458" t="s">
        <v>262</v>
      </c>
      <c r="W4458" t="s">
        <v>261</v>
      </c>
      <c r="X4458" t="s">
        <v>261</v>
      </c>
      <c r="Y4458" t="s">
        <v>261</v>
      </c>
      <c r="Z4458" t="s">
        <v>409</v>
      </c>
      <c r="AA4458" t="s">
        <v>409</v>
      </c>
      <c r="AB4458" t="s">
        <v>409</v>
      </c>
      <c r="AC4458" t="s">
        <v>409</v>
      </c>
      <c r="AD4458" t="s">
        <v>261</v>
      </c>
      <c r="AH4458" t="s">
        <v>262</v>
      </c>
      <c r="AI4458" t="s">
        <v>262</v>
      </c>
      <c r="AJ4458" t="s">
        <v>261</v>
      </c>
      <c r="AK4458" t="s">
        <v>261</v>
      </c>
      <c r="AM4458" t="s">
        <v>262</v>
      </c>
      <c r="AN4458" t="s">
        <v>12022</v>
      </c>
    </row>
    <row r="4459" spans="1:40" x14ac:dyDescent="0.35">
      <c r="A4459">
        <v>7021980</v>
      </c>
      <c r="B4459" t="s">
        <v>12023</v>
      </c>
      <c r="C4459" t="str">
        <f>""</f>
        <v/>
      </c>
      <c r="D4459" t="str">
        <f>"9783035624168"</f>
        <v>9783035624168</v>
      </c>
      <c r="E4459" t="s">
        <v>415</v>
      </c>
      <c r="F4459" t="s">
        <v>1107</v>
      </c>
      <c r="G4459" s="1">
        <v>44773</v>
      </c>
      <c r="H4459" s="1">
        <v>44749</v>
      </c>
      <c r="I4459" t="s">
        <v>189</v>
      </c>
      <c r="J4459">
        <v>1</v>
      </c>
      <c r="K4459" t="s">
        <v>12024</v>
      </c>
      <c r="L4459" t="s">
        <v>12025</v>
      </c>
      <c r="M4459" t="s">
        <v>1578</v>
      </c>
      <c r="O4459" t="s">
        <v>12026</v>
      </c>
      <c r="Q4459" t="s">
        <v>260</v>
      </c>
      <c r="R4459" t="s">
        <v>261</v>
      </c>
      <c r="S4459" t="s">
        <v>261</v>
      </c>
      <c r="T4459" t="s">
        <v>261</v>
      </c>
      <c r="U4459" t="s">
        <v>261</v>
      </c>
      <c r="V4459" t="s">
        <v>262</v>
      </c>
      <c r="W4459" t="s">
        <v>261</v>
      </c>
      <c r="X4459" t="s">
        <v>261</v>
      </c>
      <c r="Y4459" t="s">
        <v>261</v>
      </c>
      <c r="Z4459" t="s">
        <v>409</v>
      </c>
      <c r="AA4459" t="s">
        <v>409</v>
      </c>
      <c r="AB4459" t="s">
        <v>409</v>
      </c>
      <c r="AC4459" t="s">
        <v>409</v>
      </c>
      <c r="AD4459" t="s">
        <v>261</v>
      </c>
      <c r="AH4459" t="s">
        <v>262</v>
      </c>
      <c r="AI4459" t="s">
        <v>262</v>
      </c>
      <c r="AJ4459" t="s">
        <v>261</v>
      </c>
      <c r="AK4459" t="s">
        <v>261</v>
      </c>
      <c r="AM4459" t="s">
        <v>262</v>
      </c>
      <c r="AN4459" t="s">
        <v>12027</v>
      </c>
    </row>
    <row r="4460" spans="1:40" x14ac:dyDescent="0.35">
      <c r="A4460">
        <v>7021983</v>
      </c>
      <c r="B4460" t="s">
        <v>12028</v>
      </c>
      <c r="C4460" t="str">
        <f>""</f>
        <v/>
      </c>
      <c r="D4460" t="str">
        <f>"9783110757835"</f>
        <v>9783110757835</v>
      </c>
      <c r="E4460" t="s">
        <v>346</v>
      </c>
      <c r="F4460" t="s">
        <v>2637</v>
      </c>
      <c r="G4460" s="1">
        <v>44747</v>
      </c>
      <c r="H4460" s="1">
        <v>44741</v>
      </c>
      <c r="I4460" t="s">
        <v>189</v>
      </c>
      <c r="J4460">
        <v>1</v>
      </c>
      <c r="K4460" t="s">
        <v>10547</v>
      </c>
      <c r="L4460" t="s">
        <v>12029</v>
      </c>
    </row>
    <row r="4461" spans="1:40" x14ac:dyDescent="0.35">
      <c r="A4461">
        <v>7021989</v>
      </c>
      <c r="B4461" t="s">
        <v>12030</v>
      </c>
      <c r="C4461" t="str">
        <f>""</f>
        <v/>
      </c>
      <c r="D4461" t="str">
        <f>"9783110692754"</f>
        <v>9783110692754</v>
      </c>
      <c r="E4461" t="s">
        <v>415</v>
      </c>
      <c r="F4461" t="s">
        <v>415</v>
      </c>
      <c r="G4461" s="1">
        <v>44760</v>
      </c>
      <c r="H4461" s="1">
        <v>44749</v>
      </c>
      <c r="I4461" t="s">
        <v>189</v>
      </c>
      <c r="J4461">
        <v>1</v>
      </c>
      <c r="K4461" t="s">
        <v>10944</v>
      </c>
      <c r="L4461" t="s">
        <v>12031</v>
      </c>
      <c r="M4461" t="s">
        <v>239</v>
      </c>
    </row>
    <row r="4462" spans="1:40" x14ac:dyDescent="0.35">
      <c r="A4462">
        <v>7021993</v>
      </c>
      <c r="B4462" t="s">
        <v>12032</v>
      </c>
      <c r="C4462" t="str">
        <f>""</f>
        <v/>
      </c>
      <c r="D4462" t="str">
        <f>"9783110786279"</f>
        <v>9783110786279</v>
      </c>
      <c r="E4462" t="s">
        <v>415</v>
      </c>
      <c r="F4462" t="s">
        <v>415</v>
      </c>
      <c r="G4462" s="1">
        <v>44749</v>
      </c>
      <c r="H4462" s="1">
        <v>44749</v>
      </c>
      <c r="I4462" t="s">
        <v>189</v>
      </c>
      <c r="J4462">
        <v>1</v>
      </c>
      <c r="L4462" t="s">
        <v>12033</v>
      </c>
    </row>
    <row r="4463" spans="1:40" x14ac:dyDescent="0.35">
      <c r="A4463">
        <v>7021995</v>
      </c>
      <c r="B4463" t="s">
        <v>12034</v>
      </c>
      <c r="C4463" t="str">
        <f>""</f>
        <v/>
      </c>
      <c r="D4463" t="str">
        <f>"9783035624243"</f>
        <v>9783035624243</v>
      </c>
      <c r="E4463" t="s">
        <v>415</v>
      </c>
      <c r="F4463" t="s">
        <v>1107</v>
      </c>
      <c r="G4463" s="1">
        <v>44773</v>
      </c>
      <c r="H4463" s="1">
        <v>44749</v>
      </c>
      <c r="I4463" t="s">
        <v>189</v>
      </c>
      <c r="J4463">
        <v>1</v>
      </c>
      <c r="K4463" t="s">
        <v>12024</v>
      </c>
      <c r="L4463" t="s">
        <v>12025</v>
      </c>
    </row>
    <row r="4464" spans="1:40" x14ac:dyDescent="0.35">
      <c r="A4464">
        <v>7022018</v>
      </c>
      <c r="B4464" t="s">
        <v>12035</v>
      </c>
      <c r="C4464" t="str">
        <f>""</f>
        <v/>
      </c>
      <c r="D4464" t="str">
        <f>"9783035625882"</f>
        <v>9783035625882</v>
      </c>
      <c r="E4464" t="s">
        <v>415</v>
      </c>
      <c r="F4464" t="s">
        <v>1107</v>
      </c>
      <c r="G4464" s="1">
        <v>44804</v>
      </c>
      <c r="H4464" s="1">
        <v>44749</v>
      </c>
      <c r="I4464" t="s">
        <v>189</v>
      </c>
      <c r="J4464">
        <v>1</v>
      </c>
      <c r="K4464" t="s">
        <v>6849</v>
      </c>
      <c r="L4464" t="s">
        <v>12036</v>
      </c>
    </row>
    <row r="4465" spans="1:40" x14ac:dyDescent="0.35">
      <c r="A4465">
        <v>7022530</v>
      </c>
      <c r="B4465" t="s">
        <v>12037</v>
      </c>
      <c r="C4465" t="str">
        <f>"9783031088476"</f>
        <v>9783031088476</v>
      </c>
      <c r="D4465" t="str">
        <f>"9783031088483"</f>
        <v>9783031088483</v>
      </c>
      <c r="E4465" t="s">
        <v>2289</v>
      </c>
      <c r="F4465" t="s">
        <v>2290</v>
      </c>
      <c r="G4465" s="1">
        <v>44729</v>
      </c>
      <c r="H4465" s="1">
        <v>44749</v>
      </c>
      <c r="I4465" t="s">
        <v>189</v>
      </c>
      <c r="K4465" t="s">
        <v>4306</v>
      </c>
      <c r="L4465" t="s">
        <v>12038</v>
      </c>
    </row>
    <row r="4466" spans="1:40" x14ac:dyDescent="0.35">
      <c r="A4466">
        <v>7023507</v>
      </c>
      <c r="B4466" t="s">
        <v>12039</v>
      </c>
      <c r="C4466" t="str">
        <f>"9783031021077"</f>
        <v>9783031021077</v>
      </c>
      <c r="D4466" t="str">
        <f>"9783031021084"</f>
        <v>9783031021084</v>
      </c>
      <c r="E4466" t="s">
        <v>2289</v>
      </c>
      <c r="F4466" t="s">
        <v>2290</v>
      </c>
      <c r="G4466" s="1">
        <v>44781</v>
      </c>
      <c r="H4466" s="1">
        <v>44749</v>
      </c>
      <c r="I4466" t="s">
        <v>189</v>
      </c>
      <c r="K4466" t="s">
        <v>12040</v>
      </c>
      <c r="L4466" t="s">
        <v>7078</v>
      </c>
      <c r="M4466" t="s">
        <v>210</v>
      </c>
      <c r="N4466" t="s">
        <v>7149</v>
      </c>
      <c r="Q4466" t="s">
        <v>260</v>
      </c>
      <c r="R4466" t="s">
        <v>261</v>
      </c>
      <c r="S4466" t="s">
        <v>261</v>
      </c>
      <c r="T4466" t="s">
        <v>261</v>
      </c>
      <c r="U4466" t="s">
        <v>261</v>
      </c>
      <c r="V4466" t="s">
        <v>262</v>
      </c>
      <c r="W4466" t="s">
        <v>261</v>
      </c>
      <c r="X4466" t="s">
        <v>261</v>
      </c>
      <c r="Y4466" t="s">
        <v>261</v>
      </c>
      <c r="Z4466" t="s">
        <v>409</v>
      </c>
      <c r="AA4466" t="s">
        <v>409</v>
      </c>
      <c r="AB4466" t="s">
        <v>409</v>
      </c>
      <c r="AC4466" t="s">
        <v>409</v>
      </c>
      <c r="AD4466" t="s">
        <v>261</v>
      </c>
      <c r="AH4466" t="s">
        <v>262</v>
      </c>
      <c r="AI4466" t="s">
        <v>262</v>
      </c>
      <c r="AJ4466" t="s">
        <v>261</v>
      </c>
      <c r="AK4466" t="s">
        <v>261</v>
      </c>
      <c r="AM4466" t="s">
        <v>262</v>
      </c>
      <c r="AN4466" t="s">
        <v>12041</v>
      </c>
    </row>
    <row r="4467" spans="1:40" x14ac:dyDescent="0.35">
      <c r="A4467">
        <v>7024359</v>
      </c>
      <c r="B4467" t="s">
        <v>12042</v>
      </c>
      <c r="C4467" t="str">
        <f>"9783031055652"</f>
        <v>9783031055652</v>
      </c>
      <c r="D4467" t="str">
        <f>"9783031055669"</f>
        <v>9783031055669</v>
      </c>
      <c r="E4467" t="s">
        <v>2289</v>
      </c>
      <c r="F4467" t="s">
        <v>2290</v>
      </c>
      <c r="G4467" s="1">
        <v>44741</v>
      </c>
      <c r="H4467" s="1">
        <v>44749</v>
      </c>
      <c r="I4467" t="s">
        <v>189</v>
      </c>
      <c r="K4467" t="s">
        <v>1208</v>
      </c>
      <c r="L4467" t="s">
        <v>12043</v>
      </c>
    </row>
    <row r="4468" spans="1:40" x14ac:dyDescent="0.35">
      <c r="A4468">
        <v>7024384</v>
      </c>
      <c r="B4468" t="s">
        <v>12044</v>
      </c>
      <c r="C4468" t="str">
        <f>"9783030915964"</f>
        <v>9783030915964</v>
      </c>
      <c r="D4468" t="str">
        <f>"9783030915971"</f>
        <v>9783030915971</v>
      </c>
      <c r="E4468" t="s">
        <v>2289</v>
      </c>
      <c r="F4468" t="s">
        <v>2290</v>
      </c>
      <c r="G4468" s="1">
        <v>44741</v>
      </c>
      <c r="H4468" s="1">
        <v>44749</v>
      </c>
      <c r="I4468" t="s">
        <v>189</v>
      </c>
      <c r="K4468" t="s">
        <v>9687</v>
      </c>
      <c r="L4468" t="s">
        <v>12045</v>
      </c>
      <c r="M4468" t="s">
        <v>535</v>
      </c>
      <c r="N4468" t="s">
        <v>12046</v>
      </c>
      <c r="Q4468" t="s">
        <v>260</v>
      </c>
      <c r="R4468" t="s">
        <v>261</v>
      </c>
      <c r="S4468" t="s">
        <v>261</v>
      </c>
      <c r="T4468" t="s">
        <v>261</v>
      </c>
      <c r="U4468" t="s">
        <v>261</v>
      </c>
      <c r="V4468" t="s">
        <v>262</v>
      </c>
      <c r="W4468" t="s">
        <v>261</v>
      </c>
      <c r="X4468" t="s">
        <v>261</v>
      </c>
      <c r="Y4468" t="s">
        <v>261</v>
      </c>
      <c r="Z4468" t="s">
        <v>409</v>
      </c>
      <c r="AA4468" t="s">
        <v>409</v>
      </c>
      <c r="AB4468" t="s">
        <v>409</v>
      </c>
      <c r="AC4468" t="s">
        <v>409</v>
      </c>
      <c r="AD4468" t="s">
        <v>261</v>
      </c>
      <c r="AH4468" t="s">
        <v>262</v>
      </c>
      <c r="AI4468" t="s">
        <v>262</v>
      </c>
      <c r="AJ4468" t="s">
        <v>261</v>
      </c>
      <c r="AK4468" t="s">
        <v>261</v>
      </c>
      <c r="AM4468" t="s">
        <v>262</v>
      </c>
      <c r="AN4468" t="s">
        <v>12047</v>
      </c>
    </row>
    <row r="4469" spans="1:40" x14ac:dyDescent="0.35">
      <c r="A4469">
        <v>7024388</v>
      </c>
      <c r="B4469" t="s">
        <v>12048</v>
      </c>
      <c r="C4469" t="str">
        <f>"9783031039379"</f>
        <v>9783031039379</v>
      </c>
      <c r="D4469" t="str">
        <f>"9783031039386"</f>
        <v>9783031039386</v>
      </c>
      <c r="E4469" t="s">
        <v>2289</v>
      </c>
      <c r="F4469" t="s">
        <v>2663</v>
      </c>
      <c r="G4469" s="1">
        <v>44741</v>
      </c>
      <c r="H4469" s="1">
        <v>44749</v>
      </c>
      <c r="I4469" t="s">
        <v>189</v>
      </c>
      <c r="K4469" t="s">
        <v>8685</v>
      </c>
      <c r="L4469" t="s">
        <v>12049</v>
      </c>
    </row>
    <row r="4470" spans="1:40" x14ac:dyDescent="0.35">
      <c r="A4470">
        <v>7024403</v>
      </c>
      <c r="B4470" t="s">
        <v>12050</v>
      </c>
      <c r="C4470" t="str">
        <f>"9789027211170"</f>
        <v>9789027211170</v>
      </c>
      <c r="D4470" t="str">
        <f>"9789027257697"</f>
        <v>9789027257697</v>
      </c>
      <c r="E4470" t="s">
        <v>1372</v>
      </c>
      <c r="F4470" t="s">
        <v>1372</v>
      </c>
      <c r="G4470" s="1">
        <v>44777</v>
      </c>
      <c r="H4470" s="1">
        <v>44742</v>
      </c>
      <c r="I4470" t="s">
        <v>189</v>
      </c>
      <c r="J4470">
        <v>1</v>
      </c>
      <c r="K4470" t="s">
        <v>12051</v>
      </c>
      <c r="L4470" t="s">
        <v>12052</v>
      </c>
    </row>
    <row r="4471" spans="1:40" x14ac:dyDescent="0.35">
      <c r="A4471">
        <v>7024715</v>
      </c>
      <c r="B4471" t="s">
        <v>12053</v>
      </c>
      <c r="C4471" t="str">
        <f>"9783837631197"</f>
        <v>9783837631197</v>
      </c>
      <c r="D4471" t="str">
        <f>"9783839431191"</f>
        <v>9783839431191</v>
      </c>
      <c r="E4471" t="s">
        <v>7532</v>
      </c>
      <c r="F4471" t="s">
        <v>7533</v>
      </c>
      <c r="G4471" s="1">
        <v>44682</v>
      </c>
      <c r="H4471" s="1">
        <v>44743</v>
      </c>
      <c r="I4471" t="s">
        <v>189</v>
      </c>
      <c r="J4471">
        <v>1</v>
      </c>
      <c r="K4471" t="s">
        <v>7587</v>
      </c>
      <c r="L4471" t="s">
        <v>12054</v>
      </c>
      <c r="M4471" t="s">
        <v>329</v>
      </c>
      <c r="Q4471" t="s">
        <v>408</v>
      </c>
      <c r="R4471" t="s">
        <v>261</v>
      </c>
      <c r="S4471" t="s">
        <v>261</v>
      </c>
      <c r="T4471" t="s">
        <v>261</v>
      </c>
      <c r="U4471" t="s">
        <v>262</v>
      </c>
      <c r="V4471" t="s">
        <v>262</v>
      </c>
      <c r="W4471" t="s">
        <v>261</v>
      </c>
      <c r="X4471" t="s">
        <v>262</v>
      </c>
      <c r="Y4471" t="s">
        <v>261</v>
      </c>
      <c r="Z4471" t="s">
        <v>409</v>
      </c>
      <c r="AB4471" t="s">
        <v>409</v>
      </c>
      <c r="AC4471" t="s">
        <v>409</v>
      </c>
      <c r="AD4471" t="s">
        <v>261</v>
      </c>
      <c r="AH4471" t="s">
        <v>262</v>
      </c>
      <c r="AI4471" t="s">
        <v>262</v>
      </c>
      <c r="AJ4471" t="s">
        <v>261</v>
      </c>
      <c r="AK4471" t="s">
        <v>261</v>
      </c>
      <c r="AM4471" t="s">
        <v>262</v>
      </c>
      <c r="AN4471" t="s">
        <v>12055</v>
      </c>
    </row>
    <row r="4472" spans="1:40" x14ac:dyDescent="0.35">
      <c r="A4472">
        <v>7024717</v>
      </c>
      <c r="B4472" t="s">
        <v>12056</v>
      </c>
      <c r="C4472" t="str">
        <f>"9783837650600"</f>
        <v>9783837650600</v>
      </c>
      <c r="D4472" t="str">
        <f>"9783839450604"</f>
        <v>9783839450604</v>
      </c>
      <c r="E4472" t="s">
        <v>7532</v>
      </c>
      <c r="F4472" t="s">
        <v>7533</v>
      </c>
      <c r="G4472" s="1">
        <v>44713</v>
      </c>
      <c r="H4472" s="1">
        <v>44743</v>
      </c>
      <c r="I4472" t="s">
        <v>189</v>
      </c>
      <c r="J4472">
        <v>1</v>
      </c>
      <c r="K4472" t="s">
        <v>7901</v>
      </c>
      <c r="L4472" t="s">
        <v>12057</v>
      </c>
      <c r="M4472" t="s">
        <v>329</v>
      </c>
      <c r="Q4472" t="s">
        <v>260</v>
      </c>
      <c r="R4472" t="s">
        <v>261</v>
      </c>
      <c r="S4472" t="s">
        <v>261</v>
      </c>
      <c r="T4472" t="s">
        <v>261</v>
      </c>
      <c r="U4472" t="s">
        <v>262</v>
      </c>
      <c r="V4472" t="s">
        <v>262</v>
      </c>
      <c r="W4472" t="s">
        <v>261</v>
      </c>
      <c r="X4472" t="s">
        <v>262</v>
      </c>
      <c r="Y4472" t="s">
        <v>261</v>
      </c>
      <c r="Z4472" t="s">
        <v>409</v>
      </c>
      <c r="AB4472" t="s">
        <v>409</v>
      </c>
      <c r="AC4472" t="s">
        <v>409</v>
      </c>
      <c r="AD4472" t="s">
        <v>261</v>
      </c>
      <c r="AH4472" t="s">
        <v>262</v>
      </c>
      <c r="AI4472" t="s">
        <v>262</v>
      </c>
      <c r="AJ4472" t="s">
        <v>261</v>
      </c>
      <c r="AK4472" t="s">
        <v>261</v>
      </c>
      <c r="AM4472" t="s">
        <v>262</v>
      </c>
      <c r="AN4472" t="s">
        <v>12058</v>
      </c>
    </row>
    <row r="4473" spans="1:40" x14ac:dyDescent="0.35">
      <c r="A4473">
        <v>7024721</v>
      </c>
      <c r="B4473" t="s">
        <v>12059</v>
      </c>
      <c r="C4473" t="str">
        <f>"9783837653359"</f>
        <v>9783837653359</v>
      </c>
      <c r="D4473" t="str">
        <f>"9783839453353"</f>
        <v>9783839453353</v>
      </c>
      <c r="E4473" t="s">
        <v>7532</v>
      </c>
      <c r="F4473" t="s">
        <v>7533</v>
      </c>
      <c r="G4473" s="1">
        <v>44713</v>
      </c>
      <c r="H4473" s="1">
        <v>44743</v>
      </c>
      <c r="I4473" t="s">
        <v>189</v>
      </c>
      <c r="J4473">
        <v>1</v>
      </c>
      <c r="K4473" t="s">
        <v>7622</v>
      </c>
      <c r="L4473" t="s">
        <v>12060</v>
      </c>
      <c r="M4473" t="s">
        <v>578</v>
      </c>
      <c r="Q4473" t="s">
        <v>408</v>
      </c>
      <c r="R4473" t="s">
        <v>261</v>
      </c>
      <c r="S4473" t="s">
        <v>261</v>
      </c>
      <c r="T4473" t="s">
        <v>261</v>
      </c>
      <c r="U4473" t="s">
        <v>262</v>
      </c>
      <c r="V4473" t="s">
        <v>262</v>
      </c>
      <c r="W4473" t="s">
        <v>261</v>
      </c>
      <c r="X4473" t="s">
        <v>262</v>
      </c>
      <c r="Y4473" t="s">
        <v>261</v>
      </c>
      <c r="Z4473" t="s">
        <v>409</v>
      </c>
      <c r="AB4473" t="s">
        <v>409</v>
      </c>
      <c r="AC4473" t="s">
        <v>409</v>
      </c>
      <c r="AD4473" t="s">
        <v>261</v>
      </c>
      <c r="AH4473" t="s">
        <v>262</v>
      </c>
      <c r="AI4473" t="s">
        <v>262</v>
      </c>
      <c r="AJ4473" t="s">
        <v>261</v>
      </c>
      <c r="AK4473" t="s">
        <v>261</v>
      </c>
      <c r="AM4473" t="s">
        <v>262</v>
      </c>
      <c r="AN4473" t="s">
        <v>12061</v>
      </c>
    </row>
    <row r="4474" spans="1:40" x14ac:dyDescent="0.35">
      <c r="A4474">
        <v>7024724</v>
      </c>
      <c r="B4474" t="s">
        <v>12062</v>
      </c>
      <c r="C4474" t="str">
        <f>"9783837654998"</f>
        <v>9783837654998</v>
      </c>
      <c r="D4474" t="str">
        <f>"9783839454992"</f>
        <v>9783839454992</v>
      </c>
      <c r="E4474" t="s">
        <v>7532</v>
      </c>
      <c r="F4474" t="s">
        <v>7533</v>
      </c>
      <c r="G4474" s="1">
        <v>44652</v>
      </c>
      <c r="H4474" s="1">
        <v>44743</v>
      </c>
      <c r="I4474" t="s">
        <v>189</v>
      </c>
      <c r="J4474">
        <v>1</v>
      </c>
      <c r="K4474" t="s">
        <v>7625</v>
      </c>
      <c r="L4474" t="s">
        <v>12063</v>
      </c>
    </row>
    <row r="4475" spans="1:40" x14ac:dyDescent="0.35">
      <c r="A4475">
        <v>7024727</v>
      </c>
      <c r="B4475" t="s">
        <v>12064</v>
      </c>
      <c r="C4475" t="str">
        <f>"9783837655575"</f>
        <v>9783837655575</v>
      </c>
      <c r="D4475" t="str">
        <f>"9783839455579"</f>
        <v>9783839455579</v>
      </c>
      <c r="E4475" t="s">
        <v>7532</v>
      </c>
      <c r="F4475" t="s">
        <v>7533</v>
      </c>
      <c r="G4475" s="1">
        <v>44621</v>
      </c>
      <c r="H4475" s="1">
        <v>44743</v>
      </c>
      <c r="I4475" t="s">
        <v>189</v>
      </c>
      <c r="J4475">
        <v>1</v>
      </c>
      <c r="K4475" t="s">
        <v>12065</v>
      </c>
      <c r="L4475" t="s">
        <v>12066</v>
      </c>
      <c r="M4475" t="s">
        <v>329</v>
      </c>
      <c r="Q4475" t="s">
        <v>408</v>
      </c>
      <c r="R4475" t="s">
        <v>261</v>
      </c>
      <c r="S4475" t="s">
        <v>261</v>
      </c>
      <c r="T4475" t="s">
        <v>261</v>
      </c>
      <c r="U4475" t="s">
        <v>262</v>
      </c>
      <c r="V4475" t="s">
        <v>262</v>
      </c>
      <c r="W4475" t="s">
        <v>261</v>
      </c>
      <c r="X4475" t="s">
        <v>262</v>
      </c>
      <c r="Y4475" t="s">
        <v>261</v>
      </c>
      <c r="Z4475" t="s">
        <v>409</v>
      </c>
      <c r="AB4475" t="s">
        <v>409</v>
      </c>
      <c r="AC4475" t="s">
        <v>409</v>
      </c>
      <c r="AD4475" t="s">
        <v>261</v>
      </c>
      <c r="AH4475" t="s">
        <v>262</v>
      </c>
      <c r="AI4475" t="s">
        <v>262</v>
      </c>
      <c r="AJ4475" t="s">
        <v>261</v>
      </c>
      <c r="AK4475" t="s">
        <v>261</v>
      </c>
      <c r="AM4475" t="s">
        <v>262</v>
      </c>
      <c r="AN4475" t="s">
        <v>12067</v>
      </c>
    </row>
    <row r="4476" spans="1:40" x14ac:dyDescent="0.35">
      <c r="A4476">
        <v>7024728</v>
      </c>
      <c r="B4476" t="s">
        <v>12068</v>
      </c>
      <c r="C4476" t="str">
        <f>"9783743555846"</f>
        <v>9783743555846</v>
      </c>
      <c r="D4476" t="str">
        <f>"9783839455845"</f>
        <v>9783839455845</v>
      </c>
      <c r="E4476" t="s">
        <v>7532</v>
      </c>
      <c r="F4476" t="s">
        <v>12069</v>
      </c>
      <c r="G4476" s="1">
        <v>44652</v>
      </c>
      <c r="H4476" s="1">
        <v>44743</v>
      </c>
      <c r="I4476" t="s">
        <v>189</v>
      </c>
      <c r="J4476">
        <v>1</v>
      </c>
      <c r="K4476" t="s">
        <v>12070</v>
      </c>
      <c r="L4476" t="s">
        <v>12071</v>
      </c>
      <c r="M4476" t="s">
        <v>329</v>
      </c>
      <c r="Q4476" t="s">
        <v>260</v>
      </c>
      <c r="R4476" t="s">
        <v>261</v>
      </c>
      <c r="S4476" t="s">
        <v>261</v>
      </c>
      <c r="T4476" t="s">
        <v>261</v>
      </c>
      <c r="U4476" t="s">
        <v>262</v>
      </c>
      <c r="V4476" t="s">
        <v>262</v>
      </c>
      <c r="W4476" t="s">
        <v>261</v>
      </c>
      <c r="X4476" t="s">
        <v>262</v>
      </c>
      <c r="Y4476" t="s">
        <v>261</v>
      </c>
      <c r="Z4476" t="s">
        <v>409</v>
      </c>
      <c r="AB4476" t="s">
        <v>409</v>
      </c>
      <c r="AC4476" t="s">
        <v>409</v>
      </c>
      <c r="AD4476" t="s">
        <v>261</v>
      </c>
      <c r="AH4476" t="s">
        <v>262</v>
      </c>
      <c r="AI4476" t="s">
        <v>262</v>
      </c>
      <c r="AJ4476" t="s">
        <v>261</v>
      </c>
      <c r="AK4476" t="s">
        <v>261</v>
      </c>
      <c r="AM4476" t="s">
        <v>262</v>
      </c>
      <c r="AN4476" t="s">
        <v>12072</v>
      </c>
    </row>
    <row r="4477" spans="1:40" x14ac:dyDescent="0.35">
      <c r="A4477">
        <v>7024729</v>
      </c>
      <c r="B4477" t="s">
        <v>12073</v>
      </c>
      <c r="C4477" t="str">
        <f>"9783837656008"</f>
        <v>9783837656008</v>
      </c>
      <c r="D4477" t="str">
        <f>"9783839456002"</f>
        <v>9783839456002</v>
      </c>
      <c r="E4477" t="s">
        <v>7532</v>
      </c>
      <c r="F4477" t="s">
        <v>7533</v>
      </c>
      <c r="G4477" s="1">
        <v>44621</v>
      </c>
      <c r="H4477" s="1">
        <v>44743</v>
      </c>
      <c r="I4477" t="s">
        <v>189</v>
      </c>
      <c r="J4477">
        <v>1</v>
      </c>
      <c r="K4477" t="s">
        <v>12074</v>
      </c>
      <c r="L4477" t="s">
        <v>12075</v>
      </c>
      <c r="M4477" t="s">
        <v>329</v>
      </c>
      <c r="Q4477" t="s">
        <v>408</v>
      </c>
      <c r="R4477" t="s">
        <v>261</v>
      </c>
      <c r="S4477" t="s">
        <v>261</v>
      </c>
      <c r="T4477" t="s">
        <v>261</v>
      </c>
      <c r="U4477" t="s">
        <v>262</v>
      </c>
      <c r="V4477" t="s">
        <v>262</v>
      </c>
      <c r="W4477" t="s">
        <v>261</v>
      </c>
      <c r="X4477" t="s">
        <v>262</v>
      </c>
      <c r="Y4477" t="s">
        <v>261</v>
      </c>
      <c r="Z4477" t="s">
        <v>409</v>
      </c>
      <c r="AB4477" t="s">
        <v>409</v>
      </c>
      <c r="AC4477" t="s">
        <v>409</v>
      </c>
      <c r="AD4477" t="s">
        <v>261</v>
      </c>
      <c r="AH4477" t="s">
        <v>262</v>
      </c>
      <c r="AI4477" t="s">
        <v>262</v>
      </c>
      <c r="AJ4477" t="s">
        <v>261</v>
      </c>
      <c r="AK4477" t="s">
        <v>261</v>
      </c>
      <c r="AM4477" t="s">
        <v>262</v>
      </c>
      <c r="AN4477" t="s">
        <v>12076</v>
      </c>
    </row>
    <row r="4478" spans="1:40" x14ac:dyDescent="0.35">
      <c r="A4478">
        <v>7024730</v>
      </c>
      <c r="B4478" t="s">
        <v>12077</v>
      </c>
      <c r="C4478" t="str">
        <f>"9783837656015"</f>
        <v>9783837656015</v>
      </c>
      <c r="D4478" t="str">
        <f>"9783839456019"</f>
        <v>9783839456019</v>
      </c>
      <c r="E4478" t="s">
        <v>7532</v>
      </c>
      <c r="F4478" t="s">
        <v>7533</v>
      </c>
      <c r="G4478" s="1">
        <v>44621</v>
      </c>
      <c r="H4478" s="1">
        <v>44743</v>
      </c>
      <c r="I4478" t="s">
        <v>189</v>
      </c>
      <c r="J4478">
        <v>1</v>
      </c>
      <c r="K4478" t="s">
        <v>12074</v>
      </c>
      <c r="L4478" t="s">
        <v>12075</v>
      </c>
      <c r="M4478" t="s">
        <v>329</v>
      </c>
      <c r="Q4478" t="s">
        <v>260</v>
      </c>
      <c r="R4478" t="s">
        <v>261</v>
      </c>
      <c r="S4478" t="s">
        <v>261</v>
      </c>
      <c r="T4478" t="s">
        <v>261</v>
      </c>
      <c r="U4478" t="s">
        <v>262</v>
      </c>
      <c r="V4478" t="s">
        <v>262</v>
      </c>
      <c r="W4478" t="s">
        <v>261</v>
      </c>
      <c r="X4478" t="s">
        <v>262</v>
      </c>
      <c r="Y4478" t="s">
        <v>261</v>
      </c>
      <c r="Z4478" t="s">
        <v>409</v>
      </c>
      <c r="AB4478" t="s">
        <v>409</v>
      </c>
      <c r="AC4478" t="s">
        <v>409</v>
      </c>
      <c r="AD4478" t="s">
        <v>261</v>
      </c>
      <c r="AH4478" t="s">
        <v>262</v>
      </c>
      <c r="AI4478" t="s">
        <v>262</v>
      </c>
      <c r="AJ4478" t="s">
        <v>261</v>
      </c>
      <c r="AK4478" t="s">
        <v>261</v>
      </c>
      <c r="AM4478" t="s">
        <v>262</v>
      </c>
      <c r="AN4478" t="s">
        <v>12078</v>
      </c>
    </row>
    <row r="4479" spans="1:40" x14ac:dyDescent="0.35">
      <c r="A4479">
        <v>7024732</v>
      </c>
      <c r="B4479" t="s">
        <v>12079</v>
      </c>
      <c r="C4479" t="str">
        <f>"9783732856640"</f>
        <v>9783732856640</v>
      </c>
      <c r="D4479" t="str">
        <f>"9783839456644"</f>
        <v>9783839456644</v>
      </c>
      <c r="E4479" t="s">
        <v>7532</v>
      </c>
      <c r="F4479" t="s">
        <v>7533</v>
      </c>
      <c r="G4479" s="1">
        <v>44652</v>
      </c>
      <c r="H4479" s="1">
        <v>44743</v>
      </c>
      <c r="I4479" t="s">
        <v>189</v>
      </c>
      <c r="J4479">
        <v>1</v>
      </c>
      <c r="K4479" t="s">
        <v>7652</v>
      </c>
      <c r="L4479" t="s">
        <v>12080</v>
      </c>
    </row>
    <row r="4480" spans="1:40" x14ac:dyDescent="0.35">
      <c r="A4480">
        <v>7024735</v>
      </c>
      <c r="B4480" t="s">
        <v>12081</v>
      </c>
      <c r="C4480" t="str">
        <f>"9783837656848"</f>
        <v>9783837656848</v>
      </c>
      <c r="D4480" t="str">
        <f>"9783839456842"</f>
        <v>9783839456842</v>
      </c>
      <c r="E4480" t="s">
        <v>7532</v>
      </c>
      <c r="F4480" t="s">
        <v>7533</v>
      </c>
      <c r="G4480" s="1">
        <v>44652</v>
      </c>
      <c r="H4480" s="1">
        <v>44743</v>
      </c>
      <c r="I4480" t="s">
        <v>189</v>
      </c>
      <c r="J4480">
        <v>1</v>
      </c>
      <c r="K4480" t="s">
        <v>7704</v>
      </c>
      <c r="L4480" t="s">
        <v>12082</v>
      </c>
    </row>
    <row r="4481" spans="1:40" x14ac:dyDescent="0.35">
      <c r="A4481">
        <v>7024736</v>
      </c>
      <c r="B4481" t="s">
        <v>12083</v>
      </c>
      <c r="C4481" t="str">
        <f>"9783837657012"</f>
        <v>9783837657012</v>
      </c>
      <c r="D4481" t="str">
        <f>"9783839457016"</f>
        <v>9783839457016</v>
      </c>
      <c r="E4481" t="s">
        <v>7532</v>
      </c>
      <c r="F4481" t="s">
        <v>7533</v>
      </c>
      <c r="G4481" s="1">
        <v>44713</v>
      </c>
      <c r="H4481" s="1">
        <v>44743</v>
      </c>
      <c r="I4481" t="s">
        <v>189</v>
      </c>
      <c r="J4481">
        <v>1</v>
      </c>
      <c r="K4481" t="s">
        <v>12084</v>
      </c>
      <c r="L4481" t="s">
        <v>12085</v>
      </c>
      <c r="M4481" t="s">
        <v>329</v>
      </c>
      <c r="Q4481" t="s">
        <v>408</v>
      </c>
      <c r="R4481" t="s">
        <v>261</v>
      </c>
      <c r="S4481" t="s">
        <v>261</v>
      </c>
      <c r="T4481" t="s">
        <v>261</v>
      </c>
      <c r="U4481" t="s">
        <v>262</v>
      </c>
      <c r="V4481" t="s">
        <v>262</v>
      </c>
      <c r="W4481" t="s">
        <v>261</v>
      </c>
      <c r="X4481" t="s">
        <v>262</v>
      </c>
      <c r="Y4481" t="s">
        <v>261</v>
      </c>
      <c r="Z4481" t="s">
        <v>409</v>
      </c>
      <c r="AB4481" t="s">
        <v>409</v>
      </c>
      <c r="AC4481" t="s">
        <v>409</v>
      </c>
      <c r="AD4481" t="s">
        <v>261</v>
      </c>
      <c r="AH4481" t="s">
        <v>262</v>
      </c>
      <c r="AI4481" t="s">
        <v>262</v>
      </c>
      <c r="AJ4481" t="s">
        <v>261</v>
      </c>
      <c r="AK4481" t="s">
        <v>261</v>
      </c>
      <c r="AM4481" t="s">
        <v>262</v>
      </c>
      <c r="AN4481" t="s">
        <v>12086</v>
      </c>
    </row>
    <row r="4482" spans="1:40" x14ac:dyDescent="0.35">
      <c r="A4482">
        <v>7024737</v>
      </c>
      <c r="B4482" t="s">
        <v>12087</v>
      </c>
      <c r="C4482" t="str">
        <f>"9783837657050"</f>
        <v>9783837657050</v>
      </c>
      <c r="D4482" t="str">
        <f>"9783839457054"</f>
        <v>9783839457054</v>
      </c>
      <c r="E4482" t="s">
        <v>7532</v>
      </c>
      <c r="F4482" t="s">
        <v>7533</v>
      </c>
      <c r="G4482" s="1">
        <v>44652</v>
      </c>
      <c r="H4482" s="1">
        <v>44743</v>
      </c>
      <c r="I4482" t="s">
        <v>189</v>
      </c>
      <c r="J4482">
        <v>1</v>
      </c>
      <c r="K4482" t="s">
        <v>7916</v>
      </c>
      <c r="L4482" t="s">
        <v>12088</v>
      </c>
    </row>
    <row r="4483" spans="1:40" x14ac:dyDescent="0.35">
      <c r="A4483">
        <v>7024738</v>
      </c>
      <c r="B4483" t="s">
        <v>12089</v>
      </c>
      <c r="C4483" t="str">
        <f>"9783837657074"</f>
        <v>9783837657074</v>
      </c>
      <c r="D4483" t="str">
        <f>"9783839457078"</f>
        <v>9783839457078</v>
      </c>
      <c r="E4483" t="s">
        <v>7532</v>
      </c>
      <c r="F4483" t="s">
        <v>7533</v>
      </c>
      <c r="G4483" s="1">
        <v>44682</v>
      </c>
      <c r="H4483" s="1">
        <v>44743</v>
      </c>
      <c r="I4483" t="s">
        <v>189</v>
      </c>
      <c r="J4483">
        <v>1</v>
      </c>
      <c r="K4483" t="s">
        <v>12090</v>
      </c>
      <c r="L4483" t="s">
        <v>12091</v>
      </c>
      <c r="M4483" t="s">
        <v>12092</v>
      </c>
      <c r="Q4483" t="s">
        <v>408</v>
      </c>
      <c r="R4483" t="s">
        <v>261</v>
      </c>
      <c r="S4483" t="s">
        <v>261</v>
      </c>
      <c r="T4483" t="s">
        <v>261</v>
      </c>
      <c r="U4483" t="s">
        <v>262</v>
      </c>
      <c r="V4483" t="s">
        <v>262</v>
      </c>
      <c r="W4483" t="s">
        <v>261</v>
      </c>
      <c r="X4483" t="s">
        <v>262</v>
      </c>
      <c r="Y4483" t="s">
        <v>261</v>
      </c>
      <c r="Z4483" t="s">
        <v>409</v>
      </c>
      <c r="AB4483" t="s">
        <v>409</v>
      </c>
      <c r="AC4483" t="s">
        <v>409</v>
      </c>
      <c r="AD4483" t="s">
        <v>261</v>
      </c>
      <c r="AH4483" t="s">
        <v>262</v>
      </c>
      <c r="AI4483" t="s">
        <v>262</v>
      </c>
      <c r="AJ4483" t="s">
        <v>261</v>
      </c>
      <c r="AK4483" t="s">
        <v>261</v>
      </c>
      <c r="AM4483" t="s">
        <v>262</v>
      </c>
      <c r="AN4483" t="s">
        <v>12093</v>
      </c>
    </row>
    <row r="4484" spans="1:40" x14ac:dyDescent="0.35">
      <c r="A4484">
        <v>7024740</v>
      </c>
      <c r="B4484" t="s">
        <v>12094</v>
      </c>
      <c r="C4484" t="str">
        <f>"9783837657876"</f>
        <v>9783837657876</v>
      </c>
      <c r="D4484" t="str">
        <f>"9783839457870"</f>
        <v>9783839457870</v>
      </c>
      <c r="E4484" t="s">
        <v>7532</v>
      </c>
      <c r="F4484" t="s">
        <v>7533</v>
      </c>
      <c r="G4484" s="1">
        <v>44621</v>
      </c>
      <c r="H4484" s="1">
        <v>44743</v>
      </c>
      <c r="I4484" t="s">
        <v>189</v>
      </c>
      <c r="J4484">
        <v>1</v>
      </c>
      <c r="K4484" t="s">
        <v>8111</v>
      </c>
      <c r="L4484" t="s">
        <v>12095</v>
      </c>
    </row>
    <row r="4485" spans="1:40" x14ac:dyDescent="0.35">
      <c r="A4485">
        <v>7024742</v>
      </c>
      <c r="B4485" t="s">
        <v>12096</v>
      </c>
      <c r="C4485" t="str">
        <f>"9783837657951"</f>
        <v>9783837657951</v>
      </c>
      <c r="D4485" t="str">
        <f>"9783839457955"</f>
        <v>9783839457955</v>
      </c>
      <c r="E4485" t="s">
        <v>7532</v>
      </c>
      <c r="F4485" t="s">
        <v>7533</v>
      </c>
      <c r="G4485" s="1">
        <v>44682</v>
      </c>
      <c r="H4485" s="1">
        <v>44743</v>
      </c>
      <c r="I4485" t="s">
        <v>189</v>
      </c>
      <c r="J4485">
        <v>1</v>
      </c>
      <c r="K4485" t="s">
        <v>12097</v>
      </c>
      <c r="L4485" t="s">
        <v>12098</v>
      </c>
    </row>
    <row r="4486" spans="1:40" x14ac:dyDescent="0.35">
      <c r="A4486">
        <v>7024743</v>
      </c>
      <c r="B4486" t="s">
        <v>12099</v>
      </c>
      <c r="C4486" t="str">
        <f>"9783837658071"</f>
        <v>9783837658071</v>
      </c>
      <c r="D4486" t="str">
        <f>"9783839458075"</f>
        <v>9783839458075</v>
      </c>
      <c r="E4486" t="s">
        <v>7532</v>
      </c>
      <c r="F4486" t="s">
        <v>7533</v>
      </c>
      <c r="G4486" s="1">
        <v>44621</v>
      </c>
      <c r="H4486" s="1">
        <v>44743</v>
      </c>
      <c r="I4486" t="s">
        <v>189</v>
      </c>
      <c r="J4486">
        <v>1</v>
      </c>
      <c r="K4486" t="s">
        <v>7611</v>
      </c>
      <c r="L4486" t="s">
        <v>12100</v>
      </c>
    </row>
    <row r="4487" spans="1:40" x14ac:dyDescent="0.35">
      <c r="A4487">
        <v>7024744</v>
      </c>
      <c r="B4487" t="s">
        <v>12101</v>
      </c>
      <c r="C4487" t="str">
        <f>"9783837658507"</f>
        <v>9783837658507</v>
      </c>
      <c r="D4487" t="str">
        <f>"9783839458501"</f>
        <v>9783839458501</v>
      </c>
      <c r="E4487" t="s">
        <v>7532</v>
      </c>
      <c r="F4487" t="s">
        <v>7533</v>
      </c>
      <c r="G4487" s="1">
        <v>44621</v>
      </c>
      <c r="H4487" s="1">
        <v>44743</v>
      </c>
      <c r="I4487" t="s">
        <v>189</v>
      </c>
      <c r="J4487">
        <v>1</v>
      </c>
      <c r="K4487" t="s">
        <v>7598</v>
      </c>
      <c r="L4487" t="s">
        <v>12102</v>
      </c>
      <c r="M4487" t="s">
        <v>1578</v>
      </c>
      <c r="Q4487" t="s">
        <v>408</v>
      </c>
      <c r="R4487" t="s">
        <v>261</v>
      </c>
      <c r="S4487" t="s">
        <v>261</v>
      </c>
      <c r="T4487" t="s">
        <v>261</v>
      </c>
      <c r="U4487" t="s">
        <v>262</v>
      </c>
      <c r="V4487" t="s">
        <v>262</v>
      </c>
      <c r="W4487" t="s">
        <v>261</v>
      </c>
      <c r="X4487" t="s">
        <v>262</v>
      </c>
      <c r="Y4487" t="s">
        <v>261</v>
      </c>
      <c r="Z4487" t="s">
        <v>409</v>
      </c>
      <c r="AB4487" t="s">
        <v>409</v>
      </c>
      <c r="AC4487" t="s">
        <v>409</v>
      </c>
      <c r="AD4487" t="s">
        <v>261</v>
      </c>
      <c r="AH4487" t="s">
        <v>262</v>
      </c>
      <c r="AI4487" t="s">
        <v>262</v>
      </c>
      <c r="AJ4487" t="s">
        <v>261</v>
      </c>
      <c r="AK4487" t="s">
        <v>261</v>
      </c>
      <c r="AM4487" t="s">
        <v>262</v>
      </c>
      <c r="AN4487" t="s">
        <v>12103</v>
      </c>
    </row>
    <row r="4488" spans="1:40" x14ac:dyDescent="0.35">
      <c r="A4488">
        <v>7024745</v>
      </c>
      <c r="B4488" t="s">
        <v>12104</v>
      </c>
      <c r="C4488" t="str">
        <f>"9783837658521"</f>
        <v>9783837658521</v>
      </c>
      <c r="D4488" t="str">
        <f>"9783839458525"</f>
        <v>9783839458525</v>
      </c>
      <c r="E4488" t="s">
        <v>7532</v>
      </c>
      <c r="F4488" t="s">
        <v>7533</v>
      </c>
      <c r="G4488" s="1">
        <v>44652</v>
      </c>
      <c r="H4488" s="1">
        <v>44743</v>
      </c>
      <c r="I4488" t="s">
        <v>189</v>
      </c>
      <c r="J4488">
        <v>1</v>
      </c>
      <c r="K4488" t="s">
        <v>7622</v>
      </c>
      <c r="L4488" t="s">
        <v>12105</v>
      </c>
      <c r="M4488" t="s">
        <v>239</v>
      </c>
      <c r="Q4488" t="s">
        <v>408</v>
      </c>
      <c r="R4488" t="s">
        <v>261</v>
      </c>
      <c r="S4488" t="s">
        <v>261</v>
      </c>
      <c r="T4488" t="s">
        <v>261</v>
      </c>
      <c r="U4488" t="s">
        <v>262</v>
      </c>
      <c r="V4488" t="s">
        <v>262</v>
      </c>
      <c r="W4488" t="s">
        <v>261</v>
      </c>
      <c r="X4488" t="s">
        <v>262</v>
      </c>
      <c r="Y4488" t="s">
        <v>261</v>
      </c>
      <c r="Z4488" t="s">
        <v>409</v>
      </c>
      <c r="AB4488" t="s">
        <v>409</v>
      </c>
      <c r="AC4488" t="s">
        <v>409</v>
      </c>
      <c r="AD4488" t="s">
        <v>261</v>
      </c>
      <c r="AH4488" t="s">
        <v>262</v>
      </c>
      <c r="AI4488" t="s">
        <v>262</v>
      </c>
      <c r="AJ4488" t="s">
        <v>261</v>
      </c>
      <c r="AK4488" t="s">
        <v>261</v>
      </c>
      <c r="AM4488" t="s">
        <v>262</v>
      </c>
      <c r="AN4488" t="s">
        <v>12106</v>
      </c>
    </row>
    <row r="4489" spans="1:40" x14ac:dyDescent="0.35">
      <c r="A4489">
        <v>7024746</v>
      </c>
      <c r="B4489" t="s">
        <v>12107</v>
      </c>
      <c r="C4489" t="str">
        <f>"9783837658866"</f>
        <v>9783837658866</v>
      </c>
      <c r="D4489" t="str">
        <f>"9783839458860"</f>
        <v>9783839458860</v>
      </c>
      <c r="E4489" t="s">
        <v>7532</v>
      </c>
      <c r="F4489" t="s">
        <v>7533</v>
      </c>
      <c r="G4489" s="1">
        <v>44652</v>
      </c>
      <c r="H4489" s="1">
        <v>44743</v>
      </c>
      <c r="I4489" t="s">
        <v>189</v>
      </c>
      <c r="J4489">
        <v>1</v>
      </c>
      <c r="K4489" t="s">
        <v>12108</v>
      </c>
      <c r="L4489" t="s">
        <v>12109</v>
      </c>
      <c r="M4489" t="s">
        <v>239</v>
      </c>
      <c r="Q4489" t="s">
        <v>408</v>
      </c>
      <c r="R4489" t="s">
        <v>261</v>
      </c>
      <c r="S4489" t="s">
        <v>261</v>
      </c>
      <c r="T4489" t="s">
        <v>261</v>
      </c>
      <c r="U4489" t="s">
        <v>262</v>
      </c>
      <c r="V4489" t="s">
        <v>262</v>
      </c>
      <c r="W4489" t="s">
        <v>261</v>
      </c>
      <c r="X4489" t="s">
        <v>262</v>
      </c>
      <c r="Y4489" t="s">
        <v>261</v>
      </c>
      <c r="Z4489" t="s">
        <v>409</v>
      </c>
      <c r="AB4489" t="s">
        <v>409</v>
      </c>
      <c r="AC4489" t="s">
        <v>409</v>
      </c>
      <c r="AD4489" t="s">
        <v>261</v>
      </c>
      <c r="AH4489" t="s">
        <v>262</v>
      </c>
      <c r="AI4489" t="s">
        <v>262</v>
      </c>
      <c r="AJ4489" t="s">
        <v>261</v>
      </c>
      <c r="AK4489" t="s">
        <v>261</v>
      </c>
      <c r="AM4489" t="s">
        <v>262</v>
      </c>
      <c r="AN4489" t="s">
        <v>12110</v>
      </c>
    </row>
    <row r="4490" spans="1:40" x14ac:dyDescent="0.35">
      <c r="A4490">
        <v>7024747</v>
      </c>
      <c r="B4490" t="s">
        <v>12111</v>
      </c>
      <c r="C4490" t="str">
        <f>"9783837659078"</f>
        <v>9783837659078</v>
      </c>
      <c r="D4490" t="str">
        <f>"9783839459072"</f>
        <v>9783839459072</v>
      </c>
      <c r="E4490" t="s">
        <v>7532</v>
      </c>
      <c r="F4490" t="s">
        <v>12069</v>
      </c>
      <c r="G4490" s="1">
        <v>44713</v>
      </c>
      <c r="H4490" s="1">
        <v>44743</v>
      </c>
      <c r="I4490" t="s">
        <v>189</v>
      </c>
      <c r="J4490">
        <v>1</v>
      </c>
      <c r="K4490" t="s">
        <v>12112</v>
      </c>
      <c r="L4490" t="s">
        <v>12113</v>
      </c>
      <c r="M4490" t="s">
        <v>210</v>
      </c>
      <c r="Q4490" t="s">
        <v>6636</v>
      </c>
    </row>
    <row r="4491" spans="1:40" x14ac:dyDescent="0.35">
      <c r="A4491">
        <v>7024748</v>
      </c>
      <c r="B4491" t="s">
        <v>12114</v>
      </c>
      <c r="C4491" t="str">
        <f>"9783837659290"</f>
        <v>9783837659290</v>
      </c>
      <c r="D4491" t="str">
        <f>"9783839459294"</f>
        <v>9783839459294</v>
      </c>
      <c r="E4491" t="s">
        <v>7532</v>
      </c>
      <c r="F4491" t="s">
        <v>7533</v>
      </c>
      <c r="G4491" s="1">
        <v>44713</v>
      </c>
      <c r="H4491" s="1">
        <v>44743</v>
      </c>
      <c r="I4491" t="s">
        <v>189</v>
      </c>
      <c r="J4491">
        <v>1</v>
      </c>
      <c r="K4491" t="s">
        <v>12115</v>
      </c>
      <c r="L4491" t="s">
        <v>12116</v>
      </c>
    </row>
    <row r="4492" spans="1:40" x14ac:dyDescent="0.35">
      <c r="A4492">
        <v>7024751</v>
      </c>
      <c r="B4492" t="s">
        <v>12117</v>
      </c>
      <c r="C4492" t="str">
        <f>"9783837659733"</f>
        <v>9783837659733</v>
      </c>
      <c r="D4492" t="str">
        <f>"9783839459737"</f>
        <v>9783839459737</v>
      </c>
      <c r="E4492" t="s">
        <v>7532</v>
      </c>
      <c r="F4492" t="s">
        <v>7533</v>
      </c>
      <c r="G4492" s="1">
        <v>44682</v>
      </c>
      <c r="H4492" s="1">
        <v>44743</v>
      </c>
      <c r="I4492" t="s">
        <v>189</v>
      </c>
      <c r="J4492">
        <v>1</v>
      </c>
      <c r="K4492" t="s">
        <v>12118</v>
      </c>
      <c r="L4492" t="s">
        <v>12119</v>
      </c>
    </row>
    <row r="4493" spans="1:40" x14ac:dyDescent="0.35">
      <c r="A4493">
        <v>7024752</v>
      </c>
      <c r="B4493" t="s">
        <v>12120</v>
      </c>
      <c r="C4493" t="str">
        <f>"9783837659849"</f>
        <v>9783837659849</v>
      </c>
      <c r="D4493" t="str">
        <f>"9783839459843"</f>
        <v>9783839459843</v>
      </c>
      <c r="E4493" t="s">
        <v>7532</v>
      </c>
      <c r="F4493" t="s">
        <v>7533</v>
      </c>
      <c r="G4493" s="1">
        <v>44652</v>
      </c>
      <c r="H4493" s="1">
        <v>44743</v>
      </c>
      <c r="I4493" t="s">
        <v>189</v>
      </c>
      <c r="J4493">
        <v>1</v>
      </c>
      <c r="K4493" t="s">
        <v>7846</v>
      </c>
      <c r="L4493" t="s">
        <v>12121</v>
      </c>
    </row>
    <row r="4494" spans="1:40" x14ac:dyDescent="0.35">
      <c r="A4494">
        <v>7024753</v>
      </c>
      <c r="B4494" t="s">
        <v>12122</v>
      </c>
      <c r="C4494" t="str">
        <f>"9783837659856"</f>
        <v>9783837659856</v>
      </c>
      <c r="D4494" t="str">
        <f>"9783839459850"</f>
        <v>9783839459850</v>
      </c>
      <c r="E4494" t="s">
        <v>7532</v>
      </c>
      <c r="F4494" t="s">
        <v>7533</v>
      </c>
      <c r="G4494" s="1">
        <v>44713</v>
      </c>
      <c r="H4494" s="1">
        <v>44743</v>
      </c>
      <c r="I4494" t="s">
        <v>189</v>
      </c>
      <c r="J4494">
        <v>1</v>
      </c>
      <c r="K4494" t="s">
        <v>7628</v>
      </c>
      <c r="L4494" t="s">
        <v>12123</v>
      </c>
    </row>
    <row r="4495" spans="1:40" x14ac:dyDescent="0.35">
      <c r="A4495">
        <v>7024755</v>
      </c>
      <c r="B4495" t="s">
        <v>12124</v>
      </c>
      <c r="C4495" t="str">
        <f>"9783837660098"</f>
        <v>9783837660098</v>
      </c>
      <c r="D4495" t="str">
        <f>"9783839460092"</f>
        <v>9783839460092</v>
      </c>
      <c r="E4495" t="s">
        <v>7532</v>
      </c>
      <c r="F4495" t="s">
        <v>7533</v>
      </c>
      <c r="G4495" s="1">
        <v>44621</v>
      </c>
      <c r="H4495" s="1">
        <v>44743</v>
      </c>
      <c r="I4495" t="s">
        <v>189</v>
      </c>
      <c r="J4495">
        <v>1</v>
      </c>
      <c r="K4495" t="s">
        <v>7545</v>
      </c>
      <c r="L4495" t="s">
        <v>12125</v>
      </c>
      <c r="M4495" t="s">
        <v>329</v>
      </c>
      <c r="Q4495" t="s">
        <v>260</v>
      </c>
      <c r="R4495" t="s">
        <v>261</v>
      </c>
      <c r="S4495" t="s">
        <v>261</v>
      </c>
      <c r="T4495" t="s">
        <v>261</v>
      </c>
      <c r="U4495" t="s">
        <v>262</v>
      </c>
      <c r="V4495" t="s">
        <v>262</v>
      </c>
      <c r="W4495" t="s">
        <v>261</v>
      </c>
      <c r="X4495" t="s">
        <v>262</v>
      </c>
      <c r="Y4495" t="s">
        <v>261</v>
      </c>
      <c r="Z4495" t="s">
        <v>409</v>
      </c>
      <c r="AB4495" t="s">
        <v>409</v>
      </c>
      <c r="AC4495" t="s">
        <v>409</v>
      </c>
      <c r="AD4495" t="s">
        <v>261</v>
      </c>
      <c r="AH4495" t="s">
        <v>262</v>
      </c>
      <c r="AI4495" t="s">
        <v>262</v>
      </c>
      <c r="AJ4495" t="s">
        <v>261</v>
      </c>
      <c r="AK4495" t="s">
        <v>261</v>
      </c>
      <c r="AM4495" t="s">
        <v>262</v>
      </c>
      <c r="AN4495" t="s">
        <v>12126</v>
      </c>
    </row>
    <row r="4496" spans="1:40" x14ac:dyDescent="0.35">
      <c r="A4496">
        <v>7024759</v>
      </c>
      <c r="B4496" t="s">
        <v>12127</v>
      </c>
      <c r="C4496" t="str">
        <f>"9783732860340"</f>
        <v>9783732860340</v>
      </c>
      <c r="D4496" t="str">
        <f>"9783839460344"</f>
        <v>9783839460344</v>
      </c>
      <c r="E4496" t="s">
        <v>7532</v>
      </c>
      <c r="F4496" t="s">
        <v>7533</v>
      </c>
      <c r="G4496" s="1">
        <v>44713</v>
      </c>
      <c r="H4496" s="1">
        <v>44743</v>
      </c>
      <c r="I4496" t="s">
        <v>189</v>
      </c>
      <c r="J4496">
        <v>1</v>
      </c>
      <c r="K4496" t="s">
        <v>7565</v>
      </c>
      <c r="L4496" t="s">
        <v>12128</v>
      </c>
      <c r="M4496" t="s">
        <v>323</v>
      </c>
      <c r="Q4496" t="s">
        <v>408</v>
      </c>
      <c r="R4496" t="s">
        <v>261</v>
      </c>
      <c r="S4496" t="s">
        <v>261</v>
      </c>
      <c r="T4496" t="s">
        <v>261</v>
      </c>
      <c r="U4496" t="s">
        <v>262</v>
      </c>
      <c r="V4496" t="s">
        <v>262</v>
      </c>
      <c r="W4496" t="s">
        <v>261</v>
      </c>
      <c r="X4496" t="s">
        <v>262</v>
      </c>
      <c r="Y4496" t="s">
        <v>261</v>
      </c>
      <c r="Z4496" t="s">
        <v>409</v>
      </c>
      <c r="AB4496" t="s">
        <v>409</v>
      </c>
      <c r="AC4496" t="s">
        <v>409</v>
      </c>
      <c r="AD4496" t="s">
        <v>261</v>
      </c>
      <c r="AH4496" t="s">
        <v>262</v>
      </c>
      <c r="AI4496" t="s">
        <v>262</v>
      </c>
      <c r="AJ4496" t="s">
        <v>261</v>
      </c>
      <c r="AK4496" t="s">
        <v>261</v>
      </c>
      <c r="AM4496" t="s">
        <v>262</v>
      </c>
      <c r="AN4496" t="s">
        <v>12129</v>
      </c>
    </row>
    <row r="4497" spans="1:40" x14ac:dyDescent="0.35">
      <c r="A4497">
        <v>7024760</v>
      </c>
      <c r="B4497" t="s">
        <v>12130</v>
      </c>
      <c r="C4497" t="str">
        <f>"9783837660432"</f>
        <v>9783837660432</v>
      </c>
      <c r="D4497" t="str">
        <f>"9783839460436"</f>
        <v>9783839460436</v>
      </c>
      <c r="E4497" t="s">
        <v>7532</v>
      </c>
      <c r="F4497" t="s">
        <v>7533</v>
      </c>
      <c r="G4497" s="1">
        <v>44652</v>
      </c>
      <c r="H4497" s="1">
        <v>44743</v>
      </c>
      <c r="I4497" t="s">
        <v>189</v>
      </c>
      <c r="J4497">
        <v>1</v>
      </c>
      <c r="K4497" t="s">
        <v>7538</v>
      </c>
      <c r="L4497" t="s">
        <v>12131</v>
      </c>
      <c r="M4497" t="s">
        <v>389</v>
      </c>
      <c r="Q4497" t="s">
        <v>408</v>
      </c>
      <c r="R4497" t="s">
        <v>261</v>
      </c>
      <c r="S4497" t="s">
        <v>261</v>
      </c>
      <c r="T4497" t="s">
        <v>261</v>
      </c>
      <c r="U4497" t="s">
        <v>262</v>
      </c>
      <c r="V4497" t="s">
        <v>262</v>
      </c>
      <c r="W4497" t="s">
        <v>261</v>
      </c>
      <c r="X4497" t="s">
        <v>262</v>
      </c>
      <c r="Y4497" t="s">
        <v>261</v>
      </c>
      <c r="Z4497" t="s">
        <v>409</v>
      </c>
      <c r="AB4497" t="s">
        <v>409</v>
      </c>
      <c r="AC4497" t="s">
        <v>409</v>
      </c>
      <c r="AD4497" t="s">
        <v>261</v>
      </c>
      <c r="AH4497" t="s">
        <v>262</v>
      </c>
      <c r="AI4497" t="s">
        <v>262</v>
      </c>
      <c r="AJ4497" t="s">
        <v>261</v>
      </c>
      <c r="AK4497" t="s">
        <v>261</v>
      </c>
      <c r="AM4497" t="s">
        <v>262</v>
      </c>
      <c r="AN4497" t="s">
        <v>12132</v>
      </c>
    </row>
    <row r="4498" spans="1:40" x14ac:dyDescent="0.35">
      <c r="A4498">
        <v>7024764</v>
      </c>
      <c r="B4498" t="s">
        <v>12133</v>
      </c>
      <c r="C4498" t="str">
        <f>"9783837660586"</f>
        <v>9783837660586</v>
      </c>
      <c r="D4498" t="str">
        <f>"9783839460580"</f>
        <v>9783839460580</v>
      </c>
      <c r="E4498" t="s">
        <v>7532</v>
      </c>
      <c r="F4498" t="s">
        <v>7533</v>
      </c>
      <c r="G4498" s="1">
        <v>44652</v>
      </c>
      <c r="H4498" s="1">
        <v>44743</v>
      </c>
      <c r="I4498" t="s">
        <v>189</v>
      </c>
      <c r="J4498">
        <v>1</v>
      </c>
      <c r="K4498" t="s">
        <v>7846</v>
      </c>
      <c r="L4498" t="s">
        <v>12134</v>
      </c>
      <c r="M4498" t="s">
        <v>323</v>
      </c>
      <c r="Q4498" t="s">
        <v>408</v>
      </c>
      <c r="R4498" t="s">
        <v>261</v>
      </c>
      <c r="S4498" t="s">
        <v>261</v>
      </c>
      <c r="T4498" t="s">
        <v>261</v>
      </c>
      <c r="U4498" t="s">
        <v>262</v>
      </c>
      <c r="V4498" t="s">
        <v>262</v>
      </c>
      <c r="W4498" t="s">
        <v>261</v>
      </c>
      <c r="X4498" t="s">
        <v>262</v>
      </c>
      <c r="Y4498" t="s">
        <v>261</v>
      </c>
      <c r="Z4498" t="s">
        <v>409</v>
      </c>
      <c r="AB4498" t="s">
        <v>409</v>
      </c>
      <c r="AC4498" t="s">
        <v>409</v>
      </c>
      <c r="AD4498" t="s">
        <v>261</v>
      </c>
      <c r="AH4498" t="s">
        <v>262</v>
      </c>
      <c r="AI4498" t="s">
        <v>262</v>
      </c>
      <c r="AJ4498" t="s">
        <v>261</v>
      </c>
      <c r="AK4498" t="s">
        <v>261</v>
      </c>
      <c r="AM4498" t="s">
        <v>262</v>
      </c>
      <c r="AN4498" t="s">
        <v>12135</v>
      </c>
    </row>
    <row r="4499" spans="1:40" x14ac:dyDescent="0.35">
      <c r="A4499">
        <v>7024765</v>
      </c>
      <c r="B4499" t="s">
        <v>12136</v>
      </c>
      <c r="C4499" t="str">
        <f>"9783732860647"</f>
        <v>9783732860647</v>
      </c>
      <c r="D4499" t="str">
        <f>"9783839460641"</f>
        <v>9783839460641</v>
      </c>
      <c r="E4499" t="s">
        <v>7532</v>
      </c>
      <c r="F4499" t="s">
        <v>7533</v>
      </c>
      <c r="G4499" s="1">
        <v>44652</v>
      </c>
      <c r="H4499" s="1">
        <v>44743</v>
      </c>
      <c r="I4499" t="s">
        <v>189</v>
      </c>
      <c r="J4499">
        <v>1</v>
      </c>
      <c r="K4499" t="s">
        <v>7882</v>
      </c>
      <c r="L4499" t="s">
        <v>12137</v>
      </c>
      <c r="M4499" t="s">
        <v>210</v>
      </c>
      <c r="Q4499" t="s">
        <v>408</v>
      </c>
      <c r="R4499" t="s">
        <v>261</v>
      </c>
      <c r="S4499" t="s">
        <v>261</v>
      </c>
      <c r="T4499" t="s">
        <v>261</v>
      </c>
      <c r="U4499" t="s">
        <v>262</v>
      </c>
      <c r="V4499" t="s">
        <v>262</v>
      </c>
      <c r="W4499" t="s">
        <v>261</v>
      </c>
      <c r="X4499" t="s">
        <v>262</v>
      </c>
      <c r="Y4499" t="s">
        <v>261</v>
      </c>
      <c r="Z4499" t="s">
        <v>409</v>
      </c>
      <c r="AB4499" t="s">
        <v>409</v>
      </c>
      <c r="AC4499" t="s">
        <v>409</v>
      </c>
      <c r="AD4499" t="s">
        <v>261</v>
      </c>
      <c r="AH4499" t="s">
        <v>262</v>
      </c>
      <c r="AI4499" t="s">
        <v>262</v>
      </c>
      <c r="AJ4499" t="s">
        <v>261</v>
      </c>
      <c r="AK4499" t="s">
        <v>261</v>
      </c>
      <c r="AM4499" t="s">
        <v>262</v>
      </c>
      <c r="AN4499" t="s">
        <v>12138</v>
      </c>
    </row>
    <row r="4500" spans="1:40" x14ac:dyDescent="0.35">
      <c r="A4500">
        <v>7024767</v>
      </c>
      <c r="B4500" t="s">
        <v>12139</v>
      </c>
      <c r="C4500" t="str">
        <f>"9783837660760"</f>
        <v>9783837660760</v>
      </c>
      <c r="D4500" t="str">
        <f>"9783839460764"</f>
        <v>9783839460764</v>
      </c>
      <c r="E4500" t="s">
        <v>7532</v>
      </c>
      <c r="F4500" t="s">
        <v>7533</v>
      </c>
      <c r="G4500" s="1">
        <v>44562</v>
      </c>
      <c r="H4500" s="1">
        <v>44743</v>
      </c>
      <c r="I4500" t="s">
        <v>189</v>
      </c>
      <c r="J4500">
        <v>1</v>
      </c>
      <c r="K4500" t="s">
        <v>7587</v>
      </c>
      <c r="L4500" t="s">
        <v>12140</v>
      </c>
      <c r="M4500" t="s">
        <v>329</v>
      </c>
      <c r="Q4500" t="s">
        <v>408</v>
      </c>
      <c r="R4500" t="s">
        <v>261</v>
      </c>
      <c r="S4500" t="s">
        <v>261</v>
      </c>
      <c r="T4500" t="s">
        <v>261</v>
      </c>
      <c r="U4500" t="s">
        <v>262</v>
      </c>
      <c r="V4500" t="s">
        <v>262</v>
      </c>
      <c r="W4500" t="s">
        <v>261</v>
      </c>
      <c r="X4500" t="s">
        <v>262</v>
      </c>
      <c r="Y4500" t="s">
        <v>261</v>
      </c>
      <c r="Z4500" t="s">
        <v>409</v>
      </c>
      <c r="AB4500" t="s">
        <v>409</v>
      </c>
      <c r="AC4500" t="s">
        <v>409</v>
      </c>
      <c r="AD4500" t="s">
        <v>261</v>
      </c>
      <c r="AH4500" t="s">
        <v>262</v>
      </c>
      <c r="AI4500" t="s">
        <v>262</v>
      </c>
      <c r="AJ4500" t="s">
        <v>261</v>
      </c>
      <c r="AK4500" t="s">
        <v>261</v>
      </c>
      <c r="AM4500" t="s">
        <v>262</v>
      </c>
      <c r="AN4500" t="s">
        <v>12141</v>
      </c>
    </row>
    <row r="4501" spans="1:40" x14ac:dyDescent="0.35">
      <c r="A4501">
        <v>7024769</v>
      </c>
      <c r="B4501" t="s">
        <v>12142</v>
      </c>
      <c r="C4501" t="str">
        <f>"9783837660814"</f>
        <v>9783837660814</v>
      </c>
      <c r="D4501" t="str">
        <f>"9783839460818"</f>
        <v>9783839460818</v>
      </c>
      <c r="E4501" t="s">
        <v>7532</v>
      </c>
      <c r="F4501" t="s">
        <v>7533</v>
      </c>
      <c r="G4501" s="1">
        <v>44652</v>
      </c>
      <c r="H4501" s="1">
        <v>44743</v>
      </c>
      <c r="I4501" t="s">
        <v>189</v>
      </c>
      <c r="J4501">
        <v>1</v>
      </c>
      <c r="K4501" t="s">
        <v>7545</v>
      </c>
      <c r="L4501" t="s">
        <v>12143</v>
      </c>
      <c r="M4501" t="s">
        <v>329</v>
      </c>
      <c r="Q4501" t="s">
        <v>408</v>
      </c>
      <c r="R4501" t="s">
        <v>261</v>
      </c>
      <c r="S4501" t="s">
        <v>261</v>
      </c>
      <c r="T4501" t="s">
        <v>261</v>
      </c>
      <c r="U4501" t="s">
        <v>262</v>
      </c>
      <c r="V4501" t="s">
        <v>262</v>
      </c>
      <c r="W4501" t="s">
        <v>261</v>
      </c>
      <c r="X4501" t="s">
        <v>262</v>
      </c>
      <c r="Y4501" t="s">
        <v>261</v>
      </c>
      <c r="Z4501" t="s">
        <v>409</v>
      </c>
      <c r="AB4501" t="s">
        <v>409</v>
      </c>
      <c r="AC4501" t="s">
        <v>409</v>
      </c>
      <c r="AD4501" t="s">
        <v>261</v>
      </c>
      <c r="AH4501" t="s">
        <v>262</v>
      </c>
      <c r="AI4501" t="s">
        <v>262</v>
      </c>
      <c r="AJ4501" t="s">
        <v>261</v>
      </c>
      <c r="AK4501" t="s">
        <v>261</v>
      </c>
      <c r="AM4501" t="s">
        <v>262</v>
      </c>
      <c r="AN4501" t="s">
        <v>12144</v>
      </c>
    </row>
    <row r="4502" spans="1:40" x14ac:dyDescent="0.35">
      <c r="A4502">
        <v>7024770</v>
      </c>
      <c r="B4502" t="s">
        <v>12145</v>
      </c>
      <c r="C4502" t="str">
        <f>"9783837660883"</f>
        <v>9783837660883</v>
      </c>
      <c r="D4502" t="str">
        <f>"9783839460887"</f>
        <v>9783839460887</v>
      </c>
      <c r="E4502" t="s">
        <v>7532</v>
      </c>
      <c r="F4502" t="s">
        <v>7533</v>
      </c>
      <c r="G4502" s="1">
        <v>44682</v>
      </c>
      <c r="H4502" s="1">
        <v>44743</v>
      </c>
      <c r="I4502" t="s">
        <v>189</v>
      </c>
      <c r="J4502">
        <v>1</v>
      </c>
      <c r="K4502" t="s">
        <v>12146</v>
      </c>
      <c r="L4502" t="s">
        <v>12147</v>
      </c>
    </row>
    <row r="4503" spans="1:40" x14ac:dyDescent="0.35">
      <c r="A4503">
        <v>7024771</v>
      </c>
      <c r="B4503" t="s">
        <v>12148</v>
      </c>
      <c r="C4503" t="str">
        <f>"9783837660890"</f>
        <v>9783837660890</v>
      </c>
      <c r="D4503" t="str">
        <f>"9783839460894"</f>
        <v>9783839460894</v>
      </c>
      <c r="E4503" t="s">
        <v>7532</v>
      </c>
      <c r="F4503" t="s">
        <v>7533</v>
      </c>
      <c r="G4503" s="1">
        <v>44713</v>
      </c>
      <c r="H4503" s="1">
        <v>44743</v>
      </c>
      <c r="I4503" t="s">
        <v>189</v>
      </c>
      <c r="J4503">
        <v>1</v>
      </c>
      <c r="K4503" t="s">
        <v>8131</v>
      </c>
      <c r="L4503" t="s">
        <v>12149</v>
      </c>
    </row>
    <row r="4504" spans="1:40" x14ac:dyDescent="0.35">
      <c r="A4504">
        <v>7024772</v>
      </c>
      <c r="B4504" t="s">
        <v>12150</v>
      </c>
      <c r="C4504" t="str">
        <f>"9783837660944"</f>
        <v>9783837660944</v>
      </c>
      <c r="D4504" t="str">
        <f>"9783839460948"</f>
        <v>9783839460948</v>
      </c>
      <c r="E4504" t="s">
        <v>7532</v>
      </c>
      <c r="F4504" t="s">
        <v>7533</v>
      </c>
      <c r="G4504" s="1">
        <v>44652</v>
      </c>
      <c r="H4504" s="1">
        <v>44743</v>
      </c>
      <c r="I4504" t="s">
        <v>189</v>
      </c>
      <c r="J4504">
        <v>1</v>
      </c>
      <c r="K4504" t="s">
        <v>12151</v>
      </c>
      <c r="L4504" t="s">
        <v>12152</v>
      </c>
    </row>
    <row r="4505" spans="1:40" x14ac:dyDescent="0.35">
      <c r="A4505">
        <v>7024773</v>
      </c>
      <c r="B4505" t="s">
        <v>12153</v>
      </c>
      <c r="C4505" t="str">
        <f>"9783837660999"</f>
        <v>9783837660999</v>
      </c>
      <c r="D4505" t="str">
        <f>"9783839460993"</f>
        <v>9783839460993</v>
      </c>
      <c r="E4505" t="s">
        <v>7532</v>
      </c>
      <c r="F4505" t="s">
        <v>7533</v>
      </c>
      <c r="G4505" s="1">
        <v>44713</v>
      </c>
      <c r="H4505" s="1">
        <v>44743</v>
      </c>
      <c r="I4505" t="s">
        <v>189</v>
      </c>
      <c r="J4505">
        <v>1</v>
      </c>
      <c r="K4505" t="s">
        <v>7587</v>
      </c>
      <c r="L4505" t="s">
        <v>12154</v>
      </c>
    </row>
    <row r="4506" spans="1:40" x14ac:dyDescent="0.35">
      <c r="A4506">
        <v>7024775</v>
      </c>
      <c r="B4506" t="s">
        <v>12155</v>
      </c>
      <c r="C4506" t="str">
        <f>"9783837661040"</f>
        <v>9783837661040</v>
      </c>
      <c r="D4506" t="str">
        <f>"9783839461044"</f>
        <v>9783839461044</v>
      </c>
      <c r="E4506" t="s">
        <v>7532</v>
      </c>
      <c r="F4506" t="s">
        <v>7533</v>
      </c>
      <c r="G4506" s="1">
        <v>44593</v>
      </c>
      <c r="H4506" s="1">
        <v>44743</v>
      </c>
      <c r="I4506" t="s">
        <v>189</v>
      </c>
      <c r="J4506">
        <v>1</v>
      </c>
      <c r="K4506" t="s">
        <v>8154</v>
      </c>
      <c r="L4506" t="s">
        <v>12156</v>
      </c>
    </row>
    <row r="4507" spans="1:40" x14ac:dyDescent="0.35">
      <c r="A4507">
        <v>7024777</v>
      </c>
      <c r="B4507" t="s">
        <v>12157</v>
      </c>
      <c r="C4507" t="str">
        <f>"9783732861255"</f>
        <v>9783732861255</v>
      </c>
      <c r="D4507" t="str">
        <f>"9783839461259"</f>
        <v>9783839461259</v>
      </c>
      <c r="E4507" t="s">
        <v>7532</v>
      </c>
      <c r="F4507" t="s">
        <v>7533</v>
      </c>
      <c r="G4507" s="1">
        <v>44682</v>
      </c>
      <c r="H4507" s="1">
        <v>44743</v>
      </c>
      <c r="I4507" t="s">
        <v>189</v>
      </c>
      <c r="J4507">
        <v>1</v>
      </c>
      <c r="K4507" t="s">
        <v>12158</v>
      </c>
      <c r="L4507" t="s">
        <v>12159</v>
      </c>
      <c r="M4507" t="s">
        <v>329</v>
      </c>
      <c r="Q4507" t="s">
        <v>408</v>
      </c>
      <c r="R4507" t="s">
        <v>261</v>
      </c>
      <c r="S4507" t="s">
        <v>261</v>
      </c>
      <c r="T4507" t="s">
        <v>261</v>
      </c>
      <c r="U4507" t="s">
        <v>262</v>
      </c>
      <c r="V4507" t="s">
        <v>262</v>
      </c>
      <c r="W4507" t="s">
        <v>261</v>
      </c>
      <c r="X4507" t="s">
        <v>262</v>
      </c>
      <c r="Y4507" t="s">
        <v>261</v>
      </c>
      <c r="Z4507" t="s">
        <v>409</v>
      </c>
      <c r="AB4507" t="s">
        <v>409</v>
      </c>
      <c r="AC4507" t="s">
        <v>409</v>
      </c>
      <c r="AD4507" t="s">
        <v>261</v>
      </c>
      <c r="AH4507" t="s">
        <v>262</v>
      </c>
      <c r="AI4507" t="s">
        <v>262</v>
      </c>
      <c r="AJ4507" t="s">
        <v>261</v>
      </c>
      <c r="AK4507" t="s">
        <v>261</v>
      </c>
      <c r="AM4507" t="s">
        <v>262</v>
      </c>
      <c r="AN4507" t="s">
        <v>12160</v>
      </c>
    </row>
    <row r="4508" spans="1:40" x14ac:dyDescent="0.35">
      <c r="A4508">
        <v>7024778</v>
      </c>
      <c r="B4508" t="s">
        <v>12161</v>
      </c>
      <c r="C4508" t="str">
        <f>"9783837661309"</f>
        <v>9783837661309</v>
      </c>
      <c r="D4508" t="str">
        <f>"9783839461303"</f>
        <v>9783839461303</v>
      </c>
      <c r="E4508" t="s">
        <v>7532</v>
      </c>
      <c r="F4508" t="s">
        <v>7533</v>
      </c>
      <c r="G4508" s="1">
        <v>44682</v>
      </c>
      <c r="H4508" s="1">
        <v>44743</v>
      </c>
      <c r="I4508" t="s">
        <v>189</v>
      </c>
      <c r="J4508">
        <v>1</v>
      </c>
      <c r="K4508" t="s">
        <v>7587</v>
      </c>
      <c r="L4508" t="s">
        <v>12162</v>
      </c>
    </row>
    <row r="4509" spans="1:40" x14ac:dyDescent="0.35">
      <c r="A4509">
        <v>7024779</v>
      </c>
      <c r="B4509" t="s">
        <v>12163</v>
      </c>
      <c r="C4509" t="str">
        <f>"9783837661316"</f>
        <v>9783837661316</v>
      </c>
      <c r="D4509" t="str">
        <f>"9783839461310"</f>
        <v>9783839461310</v>
      </c>
      <c r="E4509" t="s">
        <v>7532</v>
      </c>
      <c r="F4509" t="s">
        <v>7533</v>
      </c>
      <c r="G4509" s="1">
        <v>44621</v>
      </c>
      <c r="H4509" s="1">
        <v>44743</v>
      </c>
      <c r="I4509" t="s">
        <v>189</v>
      </c>
      <c r="J4509">
        <v>1</v>
      </c>
      <c r="K4509" t="s">
        <v>7559</v>
      </c>
      <c r="L4509" t="s">
        <v>12164</v>
      </c>
      <c r="M4509" t="s">
        <v>329</v>
      </c>
      <c r="Q4509" t="s">
        <v>408</v>
      </c>
      <c r="R4509" t="s">
        <v>261</v>
      </c>
      <c r="S4509" t="s">
        <v>261</v>
      </c>
      <c r="T4509" t="s">
        <v>261</v>
      </c>
      <c r="U4509" t="s">
        <v>262</v>
      </c>
      <c r="V4509" t="s">
        <v>262</v>
      </c>
      <c r="W4509" t="s">
        <v>261</v>
      </c>
      <c r="X4509" t="s">
        <v>262</v>
      </c>
      <c r="Y4509" t="s">
        <v>261</v>
      </c>
      <c r="Z4509" t="s">
        <v>409</v>
      </c>
      <c r="AB4509" t="s">
        <v>409</v>
      </c>
      <c r="AC4509" t="s">
        <v>409</v>
      </c>
      <c r="AD4509" t="s">
        <v>261</v>
      </c>
      <c r="AH4509" t="s">
        <v>262</v>
      </c>
      <c r="AI4509" t="s">
        <v>262</v>
      </c>
      <c r="AJ4509" t="s">
        <v>261</v>
      </c>
      <c r="AK4509" t="s">
        <v>261</v>
      </c>
      <c r="AM4509" t="s">
        <v>262</v>
      </c>
      <c r="AN4509" t="s">
        <v>12165</v>
      </c>
    </row>
    <row r="4510" spans="1:40" x14ac:dyDescent="0.35">
      <c r="A4510">
        <v>7024781</v>
      </c>
      <c r="B4510" t="s">
        <v>12166</v>
      </c>
      <c r="C4510" t="str">
        <f>"9783837661439"</f>
        <v>9783837661439</v>
      </c>
      <c r="D4510" t="str">
        <f>"9783839461433"</f>
        <v>9783839461433</v>
      </c>
      <c r="E4510" t="s">
        <v>7532</v>
      </c>
      <c r="F4510" t="s">
        <v>7533</v>
      </c>
      <c r="G4510" s="1">
        <v>44652</v>
      </c>
      <c r="H4510" s="1">
        <v>44743</v>
      </c>
      <c r="I4510" t="s">
        <v>189</v>
      </c>
      <c r="J4510">
        <v>1</v>
      </c>
      <c r="K4510" t="s">
        <v>7638</v>
      </c>
      <c r="L4510" t="s">
        <v>7639</v>
      </c>
      <c r="M4510" t="s">
        <v>199</v>
      </c>
      <c r="Q4510" t="s">
        <v>408</v>
      </c>
      <c r="R4510" t="s">
        <v>261</v>
      </c>
      <c r="S4510" t="s">
        <v>261</v>
      </c>
      <c r="T4510" t="s">
        <v>261</v>
      </c>
      <c r="U4510" t="s">
        <v>262</v>
      </c>
      <c r="V4510" t="s">
        <v>262</v>
      </c>
      <c r="W4510" t="s">
        <v>261</v>
      </c>
      <c r="X4510" t="s">
        <v>262</v>
      </c>
      <c r="Y4510" t="s">
        <v>261</v>
      </c>
      <c r="Z4510" t="s">
        <v>409</v>
      </c>
      <c r="AB4510" t="s">
        <v>409</v>
      </c>
      <c r="AC4510" t="s">
        <v>409</v>
      </c>
      <c r="AD4510" t="s">
        <v>261</v>
      </c>
      <c r="AH4510" t="s">
        <v>262</v>
      </c>
      <c r="AI4510" t="s">
        <v>262</v>
      </c>
      <c r="AJ4510" t="s">
        <v>261</v>
      </c>
      <c r="AK4510" t="s">
        <v>261</v>
      </c>
      <c r="AM4510" t="s">
        <v>262</v>
      </c>
      <c r="AN4510" t="s">
        <v>12167</v>
      </c>
    </row>
    <row r="4511" spans="1:40" x14ac:dyDescent="0.35">
      <c r="A4511">
        <v>7024782</v>
      </c>
      <c r="B4511" t="s">
        <v>12168</v>
      </c>
      <c r="C4511" t="str">
        <f>"9783837661491"</f>
        <v>9783837661491</v>
      </c>
      <c r="D4511" t="str">
        <f>"9783839461495"</f>
        <v>9783839461495</v>
      </c>
      <c r="E4511" t="s">
        <v>7532</v>
      </c>
      <c r="F4511" t="s">
        <v>7533</v>
      </c>
      <c r="G4511" s="1">
        <v>44682</v>
      </c>
      <c r="H4511" s="1">
        <v>44743</v>
      </c>
      <c r="I4511" t="s">
        <v>189</v>
      </c>
      <c r="J4511">
        <v>1</v>
      </c>
      <c r="K4511" t="s">
        <v>12169</v>
      </c>
      <c r="L4511" t="s">
        <v>12170</v>
      </c>
      <c r="M4511" t="s">
        <v>1578</v>
      </c>
      <c r="Q4511" t="s">
        <v>408</v>
      </c>
      <c r="R4511" t="s">
        <v>261</v>
      </c>
      <c r="S4511" t="s">
        <v>261</v>
      </c>
      <c r="T4511" t="s">
        <v>261</v>
      </c>
      <c r="U4511" t="s">
        <v>262</v>
      </c>
      <c r="V4511" t="s">
        <v>262</v>
      </c>
      <c r="W4511" t="s">
        <v>261</v>
      </c>
      <c r="X4511" t="s">
        <v>262</v>
      </c>
      <c r="Y4511" t="s">
        <v>261</v>
      </c>
      <c r="Z4511" t="s">
        <v>409</v>
      </c>
      <c r="AB4511" t="s">
        <v>409</v>
      </c>
      <c r="AC4511" t="s">
        <v>409</v>
      </c>
      <c r="AD4511" t="s">
        <v>261</v>
      </c>
      <c r="AH4511" t="s">
        <v>262</v>
      </c>
      <c r="AI4511" t="s">
        <v>262</v>
      </c>
      <c r="AJ4511" t="s">
        <v>261</v>
      </c>
      <c r="AK4511" t="s">
        <v>261</v>
      </c>
      <c r="AM4511" t="s">
        <v>262</v>
      </c>
      <c r="AN4511" t="s">
        <v>12171</v>
      </c>
    </row>
    <row r="4512" spans="1:40" x14ac:dyDescent="0.35">
      <c r="A4512">
        <v>7024783</v>
      </c>
      <c r="B4512" t="s">
        <v>12172</v>
      </c>
      <c r="C4512" t="str">
        <f>"9783732861521"</f>
        <v>9783732861521</v>
      </c>
      <c r="D4512" t="str">
        <f>"9783839461525"</f>
        <v>9783839461525</v>
      </c>
      <c r="E4512" t="s">
        <v>7532</v>
      </c>
      <c r="F4512" t="s">
        <v>7533</v>
      </c>
      <c r="G4512" s="1">
        <v>44652</v>
      </c>
      <c r="H4512" s="1">
        <v>44743</v>
      </c>
      <c r="I4512" t="s">
        <v>189</v>
      </c>
      <c r="J4512">
        <v>1</v>
      </c>
      <c r="K4512" t="s">
        <v>12173</v>
      </c>
      <c r="L4512" t="s">
        <v>12174</v>
      </c>
      <c r="M4512" t="s">
        <v>329</v>
      </c>
      <c r="Q4512" t="s">
        <v>408</v>
      </c>
      <c r="R4512" t="s">
        <v>261</v>
      </c>
      <c r="S4512" t="s">
        <v>261</v>
      </c>
      <c r="T4512" t="s">
        <v>261</v>
      </c>
      <c r="U4512" t="s">
        <v>262</v>
      </c>
      <c r="V4512" t="s">
        <v>262</v>
      </c>
      <c r="W4512" t="s">
        <v>261</v>
      </c>
      <c r="X4512" t="s">
        <v>262</v>
      </c>
      <c r="Y4512" t="s">
        <v>261</v>
      </c>
      <c r="Z4512" t="s">
        <v>409</v>
      </c>
      <c r="AB4512" t="s">
        <v>409</v>
      </c>
      <c r="AC4512" t="s">
        <v>409</v>
      </c>
      <c r="AD4512" t="s">
        <v>261</v>
      </c>
      <c r="AH4512" t="s">
        <v>262</v>
      </c>
      <c r="AI4512" t="s">
        <v>262</v>
      </c>
      <c r="AJ4512" t="s">
        <v>261</v>
      </c>
      <c r="AK4512" t="s">
        <v>261</v>
      </c>
      <c r="AM4512" t="s">
        <v>262</v>
      </c>
      <c r="AN4512" t="s">
        <v>12175</v>
      </c>
    </row>
    <row r="4513" spans="1:40" x14ac:dyDescent="0.35">
      <c r="A4513">
        <v>7024784</v>
      </c>
      <c r="B4513" t="s">
        <v>12176</v>
      </c>
      <c r="C4513" t="str">
        <f>"9783837661576"</f>
        <v>9783837661576</v>
      </c>
      <c r="D4513" t="str">
        <f>"9783839461570"</f>
        <v>9783839461570</v>
      </c>
      <c r="E4513" t="s">
        <v>7532</v>
      </c>
      <c r="F4513" t="s">
        <v>7533</v>
      </c>
      <c r="G4513" s="1">
        <v>44652</v>
      </c>
      <c r="H4513" s="1">
        <v>44743</v>
      </c>
      <c r="I4513" t="s">
        <v>189</v>
      </c>
      <c r="J4513">
        <v>1</v>
      </c>
      <c r="K4513" t="s">
        <v>7888</v>
      </c>
      <c r="L4513" t="s">
        <v>12177</v>
      </c>
    </row>
    <row r="4514" spans="1:40" x14ac:dyDescent="0.35">
      <c r="A4514">
        <v>7024785</v>
      </c>
      <c r="B4514" t="s">
        <v>12178</v>
      </c>
      <c r="C4514" t="str">
        <f>"9783837661620"</f>
        <v>9783837661620</v>
      </c>
      <c r="D4514" t="str">
        <f>"9783839461624"</f>
        <v>9783839461624</v>
      </c>
      <c r="E4514" t="s">
        <v>7532</v>
      </c>
      <c r="F4514" t="s">
        <v>7533</v>
      </c>
      <c r="G4514" s="1">
        <v>44652</v>
      </c>
      <c r="H4514" s="1">
        <v>44743</v>
      </c>
      <c r="I4514" t="s">
        <v>189</v>
      </c>
      <c r="J4514">
        <v>1</v>
      </c>
      <c r="K4514" t="s">
        <v>7888</v>
      </c>
      <c r="L4514" t="s">
        <v>12179</v>
      </c>
    </row>
    <row r="4515" spans="1:40" x14ac:dyDescent="0.35">
      <c r="A4515">
        <v>7024787</v>
      </c>
      <c r="B4515" t="s">
        <v>12180</v>
      </c>
      <c r="C4515" t="str">
        <f>"9783837661675"</f>
        <v>9783837661675</v>
      </c>
      <c r="D4515" t="str">
        <f>"9783839461679"</f>
        <v>9783839461679</v>
      </c>
      <c r="E4515" t="s">
        <v>7532</v>
      </c>
      <c r="F4515" t="s">
        <v>7533</v>
      </c>
      <c r="G4515" s="1">
        <v>44682</v>
      </c>
      <c r="H4515" s="1">
        <v>44743</v>
      </c>
      <c r="I4515" t="s">
        <v>189</v>
      </c>
      <c r="J4515">
        <v>1</v>
      </c>
      <c r="K4515" t="s">
        <v>12181</v>
      </c>
      <c r="L4515" t="s">
        <v>12182</v>
      </c>
      <c r="M4515" t="s">
        <v>578</v>
      </c>
      <c r="Q4515" t="s">
        <v>408</v>
      </c>
      <c r="R4515" t="s">
        <v>261</v>
      </c>
      <c r="S4515" t="s">
        <v>261</v>
      </c>
      <c r="T4515" t="s">
        <v>261</v>
      </c>
      <c r="U4515" t="s">
        <v>262</v>
      </c>
      <c r="V4515" t="s">
        <v>262</v>
      </c>
      <c r="W4515" t="s">
        <v>261</v>
      </c>
      <c r="X4515" t="s">
        <v>262</v>
      </c>
      <c r="Y4515" t="s">
        <v>261</v>
      </c>
      <c r="Z4515" t="s">
        <v>409</v>
      </c>
      <c r="AB4515" t="s">
        <v>409</v>
      </c>
      <c r="AC4515" t="s">
        <v>409</v>
      </c>
      <c r="AD4515" t="s">
        <v>261</v>
      </c>
      <c r="AH4515" t="s">
        <v>262</v>
      </c>
      <c r="AI4515" t="s">
        <v>262</v>
      </c>
      <c r="AJ4515" t="s">
        <v>261</v>
      </c>
      <c r="AK4515" t="s">
        <v>261</v>
      </c>
      <c r="AM4515" t="s">
        <v>262</v>
      </c>
      <c r="AN4515" t="s">
        <v>12183</v>
      </c>
    </row>
    <row r="4516" spans="1:40" x14ac:dyDescent="0.35">
      <c r="A4516">
        <v>7024789</v>
      </c>
      <c r="B4516" t="s">
        <v>12184</v>
      </c>
      <c r="C4516" t="str">
        <f>"9783743561816"</f>
        <v>9783743561816</v>
      </c>
      <c r="D4516" t="str">
        <f>"9783839461815"</f>
        <v>9783839461815</v>
      </c>
      <c r="E4516" t="s">
        <v>7532</v>
      </c>
      <c r="F4516" t="s">
        <v>12069</v>
      </c>
      <c r="G4516" s="1">
        <v>44682</v>
      </c>
      <c r="H4516" s="1">
        <v>44743</v>
      </c>
      <c r="I4516" t="s">
        <v>189</v>
      </c>
      <c r="J4516">
        <v>1</v>
      </c>
      <c r="K4516" t="s">
        <v>12070</v>
      </c>
      <c r="L4516" t="s">
        <v>12185</v>
      </c>
      <c r="M4516" t="s">
        <v>389</v>
      </c>
      <c r="Q4516" t="s">
        <v>260</v>
      </c>
      <c r="R4516" t="s">
        <v>261</v>
      </c>
      <c r="S4516" t="s">
        <v>261</v>
      </c>
      <c r="T4516" t="s">
        <v>261</v>
      </c>
      <c r="U4516" t="s">
        <v>262</v>
      </c>
      <c r="V4516" t="s">
        <v>262</v>
      </c>
      <c r="W4516" t="s">
        <v>261</v>
      </c>
      <c r="X4516" t="s">
        <v>262</v>
      </c>
      <c r="Y4516" t="s">
        <v>261</v>
      </c>
      <c r="Z4516" t="s">
        <v>409</v>
      </c>
      <c r="AB4516" t="s">
        <v>409</v>
      </c>
      <c r="AC4516" t="s">
        <v>409</v>
      </c>
      <c r="AD4516" t="s">
        <v>261</v>
      </c>
      <c r="AH4516" t="s">
        <v>262</v>
      </c>
      <c r="AI4516" t="s">
        <v>262</v>
      </c>
      <c r="AJ4516" t="s">
        <v>261</v>
      </c>
      <c r="AK4516" t="s">
        <v>261</v>
      </c>
      <c r="AM4516" t="s">
        <v>262</v>
      </c>
      <c r="AN4516" t="s">
        <v>12186</v>
      </c>
    </row>
    <row r="4517" spans="1:40" x14ac:dyDescent="0.35">
      <c r="A4517">
        <v>7024794</v>
      </c>
      <c r="B4517" t="s">
        <v>12187</v>
      </c>
      <c r="C4517" t="str">
        <f>"9783732861965"</f>
        <v>9783732861965</v>
      </c>
      <c r="D4517" t="str">
        <f>"9783839461969"</f>
        <v>9783839461969</v>
      </c>
      <c r="E4517" t="s">
        <v>7532</v>
      </c>
      <c r="F4517" t="s">
        <v>7533</v>
      </c>
      <c r="G4517" s="1">
        <v>44713</v>
      </c>
      <c r="H4517" s="1">
        <v>44743</v>
      </c>
      <c r="I4517" t="s">
        <v>189</v>
      </c>
      <c r="J4517">
        <v>1</v>
      </c>
      <c r="K4517" t="s">
        <v>7553</v>
      </c>
      <c r="L4517" t="s">
        <v>12188</v>
      </c>
      <c r="M4517" t="s">
        <v>210</v>
      </c>
      <c r="Q4517" t="s">
        <v>408</v>
      </c>
      <c r="R4517" t="s">
        <v>261</v>
      </c>
      <c r="S4517" t="s">
        <v>261</v>
      </c>
      <c r="T4517" t="s">
        <v>261</v>
      </c>
      <c r="U4517" t="s">
        <v>262</v>
      </c>
      <c r="V4517" t="s">
        <v>262</v>
      </c>
      <c r="W4517" t="s">
        <v>261</v>
      </c>
      <c r="X4517" t="s">
        <v>262</v>
      </c>
      <c r="Y4517" t="s">
        <v>261</v>
      </c>
      <c r="Z4517" t="s">
        <v>409</v>
      </c>
      <c r="AB4517" t="s">
        <v>409</v>
      </c>
      <c r="AC4517" t="s">
        <v>409</v>
      </c>
      <c r="AD4517" t="s">
        <v>261</v>
      </c>
      <c r="AH4517" t="s">
        <v>262</v>
      </c>
      <c r="AI4517" t="s">
        <v>262</v>
      </c>
      <c r="AJ4517" t="s">
        <v>261</v>
      </c>
      <c r="AK4517" t="s">
        <v>261</v>
      </c>
      <c r="AM4517" t="s">
        <v>262</v>
      </c>
      <c r="AN4517" t="s">
        <v>12189</v>
      </c>
    </row>
    <row r="4518" spans="1:40" x14ac:dyDescent="0.35">
      <c r="A4518">
        <v>7024798</v>
      </c>
      <c r="B4518" t="s">
        <v>12190</v>
      </c>
      <c r="C4518" t="str">
        <f>"9783732862153"</f>
        <v>9783732862153</v>
      </c>
      <c r="D4518" t="str">
        <f>"9783839462157"</f>
        <v>9783839462157</v>
      </c>
      <c r="E4518" t="s">
        <v>7532</v>
      </c>
      <c r="F4518" t="s">
        <v>7533</v>
      </c>
      <c r="G4518" s="1">
        <v>44682</v>
      </c>
      <c r="H4518" s="1">
        <v>44743</v>
      </c>
      <c r="I4518" t="s">
        <v>189</v>
      </c>
      <c r="J4518">
        <v>1</v>
      </c>
      <c r="K4518" t="s">
        <v>7553</v>
      </c>
      <c r="L4518" t="s">
        <v>12191</v>
      </c>
      <c r="M4518" t="s">
        <v>210</v>
      </c>
      <c r="Q4518" t="s">
        <v>408</v>
      </c>
      <c r="R4518" t="s">
        <v>261</v>
      </c>
      <c r="S4518" t="s">
        <v>261</v>
      </c>
      <c r="T4518" t="s">
        <v>261</v>
      </c>
      <c r="U4518" t="s">
        <v>262</v>
      </c>
      <c r="V4518" t="s">
        <v>262</v>
      </c>
      <c r="W4518" t="s">
        <v>261</v>
      </c>
      <c r="X4518" t="s">
        <v>262</v>
      </c>
      <c r="Y4518" t="s">
        <v>261</v>
      </c>
      <c r="Z4518" t="s">
        <v>409</v>
      </c>
      <c r="AB4518" t="s">
        <v>409</v>
      </c>
      <c r="AC4518" t="s">
        <v>409</v>
      </c>
      <c r="AD4518" t="s">
        <v>261</v>
      </c>
      <c r="AH4518" t="s">
        <v>262</v>
      </c>
      <c r="AI4518" t="s">
        <v>262</v>
      </c>
      <c r="AJ4518" t="s">
        <v>261</v>
      </c>
      <c r="AK4518" t="s">
        <v>261</v>
      </c>
      <c r="AM4518" t="s">
        <v>262</v>
      </c>
      <c r="AN4518" t="s">
        <v>12192</v>
      </c>
    </row>
    <row r="4519" spans="1:40" x14ac:dyDescent="0.35">
      <c r="A4519">
        <v>7024802</v>
      </c>
      <c r="B4519" t="s">
        <v>12193</v>
      </c>
      <c r="C4519" t="str">
        <f>"9783837662245"</f>
        <v>9783837662245</v>
      </c>
      <c r="D4519" t="str">
        <f>"9783839462249"</f>
        <v>9783839462249</v>
      </c>
      <c r="E4519" t="s">
        <v>7532</v>
      </c>
      <c r="F4519" t="s">
        <v>7533</v>
      </c>
      <c r="G4519" s="1">
        <v>44713</v>
      </c>
      <c r="H4519" s="1">
        <v>44743</v>
      </c>
      <c r="I4519" t="s">
        <v>189</v>
      </c>
      <c r="J4519">
        <v>1</v>
      </c>
      <c r="K4519" t="s">
        <v>7545</v>
      </c>
      <c r="L4519" t="s">
        <v>12194</v>
      </c>
    </row>
    <row r="4520" spans="1:40" x14ac:dyDescent="0.35">
      <c r="A4520">
        <v>7024803</v>
      </c>
      <c r="B4520" t="s">
        <v>12195</v>
      </c>
      <c r="C4520" t="str">
        <f>"9783732862269"</f>
        <v>9783732862269</v>
      </c>
      <c r="D4520" t="str">
        <f>"9783839462263"</f>
        <v>9783839462263</v>
      </c>
      <c r="E4520" t="s">
        <v>7532</v>
      </c>
      <c r="F4520" t="s">
        <v>7533</v>
      </c>
      <c r="G4520" s="1">
        <v>44713</v>
      </c>
      <c r="H4520" s="1">
        <v>44743</v>
      </c>
      <c r="I4520" t="s">
        <v>189</v>
      </c>
      <c r="J4520">
        <v>1</v>
      </c>
      <c r="K4520" t="s">
        <v>7652</v>
      </c>
      <c r="L4520" t="s">
        <v>12196</v>
      </c>
    </row>
    <row r="4521" spans="1:40" x14ac:dyDescent="0.35">
      <c r="A4521">
        <v>7024805</v>
      </c>
      <c r="B4521" t="s">
        <v>12197</v>
      </c>
      <c r="C4521" t="str">
        <f>"9783837662320"</f>
        <v>9783837662320</v>
      </c>
      <c r="D4521" t="str">
        <f>"9783839462324"</f>
        <v>9783839462324</v>
      </c>
      <c r="E4521" t="s">
        <v>7532</v>
      </c>
      <c r="F4521" t="s">
        <v>7533</v>
      </c>
      <c r="G4521" s="1">
        <v>44682</v>
      </c>
      <c r="H4521" s="1">
        <v>44743</v>
      </c>
      <c r="I4521" t="s">
        <v>189</v>
      </c>
      <c r="J4521">
        <v>1</v>
      </c>
      <c r="K4521" t="s">
        <v>7916</v>
      </c>
      <c r="L4521" t="s">
        <v>12198</v>
      </c>
      <c r="M4521" t="s">
        <v>329</v>
      </c>
      <c r="Q4521" t="s">
        <v>260</v>
      </c>
      <c r="R4521" t="s">
        <v>261</v>
      </c>
      <c r="S4521" t="s">
        <v>261</v>
      </c>
      <c r="T4521" t="s">
        <v>261</v>
      </c>
      <c r="U4521" t="s">
        <v>262</v>
      </c>
      <c r="V4521" t="s">
        <v>262</v>
      </c>
      <c r="W4521" t="s">
        <v>261</v>
      </c>
      <c r="X4521" t="s">
        <v>262</v>
      </c>
      <c r="Y4521" t="s">
        <v>261</v>
      </c>
      <c r="Z4521" t="s">
        <v>409</v>
      </c>
      <c r="AB4521" t="s">
        <v>409</v>
      </c>
      <c r="AC4521" t="s">
        <v>409</v>
      </c>
      <c r="AD4521" t="s">
        <v>261</v>
      </c>
      <c r="AH4521" t="s">
        <v>262</v>
      </c>
      <c r="AI4521" t="s">
        <v>262</v>
      </c>
      <c r="AJ4521" t="s">
        <v>261</v>
      </c>
      <c r="AK4521" t="s">
        <v>261</v>
      </c>
      <c r="AM4521" t="s">
        <v>262</v>
      </c>
      <c r="AN4521" t="s">
        <v>12199</v>
      </c>
    </row>
    <row r="4522" spans="1:40" x14ac:dyDescent="0.35">
      <c r="A4522">
        <v>7024808</v>
      </c>
      <c r="B4522" t="s">
        <v>12200</v>
      </c>
      <c r="C4522" t="str">
        <f>"9783837662535"</f>
        <v>9783837662535</v>
      </c>
      <c r="D4522" t="str">
        <f>"9783839462539"</f>
        <v>9783839462539</v>
      </c>
      <c r="E4522" t="s">
        <v>7532</v>
      </c>
      <c r="F4522" t="s">
        <v>7533</v>
      </c>
      <c r="G4522" s="1">
        <v>44652</v>
      </c>
      <c r="H4522" s="1">
        <v>44743</v>
      </c>
      <c r="I4522" t="s">
        <v>189</v>
      </c>
      <c r="J4522">
        <v>1</v>
      </c>
      <c r="K4522" t="s">
        <v>7545</v>
      </c>
      <c r="L4522" t="s">
        <v>12201</v>
      </c>
      <c r="M4522" t="s">
        <v>329</v>
      </c>
      <c r="Q4522" t="s">
        <v>408</v>
      </c>
      <c r="R4522" t="s">
        <v>261</v>
      </c>
      <c r="S4522" t="s">
        <v>261</v>
      </c>
      <c r="T4522" t="s">
        <v>261</v>
      </c>
      <c r="U4522" t="s">
        <v>262</v>
      </c>
      <c r="V4522" t="s">
        <v>262</v>
      </c>
      <c r="W4522" t="s">
        <v>261</v>
      </c>
      <c r="X4522" t="s">
        <v>262</v>
      </c>
      <c r="Y4522" t="s">
        <v>261</v>
      </c>
      <c r="Z4522" t="s">
        <v>409</v>
      </c>
      <c r="AB4522" t="s">
        <v>409</v>
      </c>
      <c r="AC4522" t="s">
        <v>409</v>
      </c>
      <c r="AD4522" t="s">
        <v>261</v>
      </c>
      <c r="AH4522" t="s">
        <v>262</v>
      </c>
      <c r="AI4522" t="s">
        <v>262</v>
      </c>
      <c r="AJ4522" t="s">
        <v>261</v>
      </c>
      <c r="AK4522" t="s">
        <v>261</v>
      </c>
      <c r="AM4522" t="s">
        <v>262</v>
      </c>
      <c r="AN4522" t="s">
        <v>12202</v>
      </c>
    </row>
    <row r="4523" spans="1:40" x14ac:dyDescent="0.35">
      <c r="A4523">
        <v>7024814</v>
      </c>
      <c r="B4523" t="s">
        <v>12203</v>
      </c>
      <c r="C4523" t="str">
        <f>"9783732862757"</f>
        <v>9783732862757</v>
      </c>
      <c r="D4523" t="str">
        <f>"9783839462751"</f>
        <v>9783839462751</v>
      </c>
      <c r="E4523" t="s">
        <v>7532</v>
      </c>
      <c r="F4523" t="s">
        <v>7533</v>
      </c>
      <c r="G4523" s="1">
        <v>44713</v>
      </c>
      <c r="H4523" s="1">
        <v>44743</v>
      </c>
      <c r="I4523" t="s">
        <v>189</v>
      </c>
      <c r="J4523">
        <v>1</v>
      </c>
      <c r="K4523" t="s">
        <v>7553</v>
      </c>
      <c r="L4523" t="s">
        <v>12204</v>
      </c>
      <c r="M4523" t="s">
        <v>210</v>
      </c>
      <c r="Q4523" t="s">
        <v>408</v>
      </c>
      <c r="R4523" t="s">
        <v>261</v>
      </c>
      <c r="S4523" t="s">
        <v>261</v>
      </c>
      <c r="T4523" t="s">
        <v>261</v>
      </c>
      <c r="U4523" t="s">
        <v>262</v>
      </c>
      <c r="V4523" t="s">
        <v>262</v>
      </c>
      <c r="W4523" t="s">
        <v>261</v>
      </c>
      <c r="X4523" t="s">
        <v>262</v>
      </c>
      <c r="Y4523" t="s">
        <v>261</v>
      </c>
      <c r="Z4523" t="s">
        <v>409</v>
      </c>
      <c r="AB4523" t="s">
        <v>409</v>
      </c>
      <c r="AC4523" t="s">
        <v>409</v>
      </c>
      <c r="AD4523" t="s">
        <v>261</v>
      </c>
      <c r="AH4523" t="s">
        <v>262</v>
      </c>
      <c r="AI4523" t="s">
        <v>262</v>
      </c>
      <c r="AJ4523" t="s">
        <v>261</v>
      </c>
      <c r="AK4523" t="s">
        <v>261</v>
      </c>
      <c r="AM4523" t="s">
        <v>262</v>
      </c>
      <c r="AN4523" t="s">
        <v>12205</v>
      </c>
    </row>
    <row r="4524" spans="1:40" x14ac:dyDescent="0.35">
      <c r="A4524">
        <v>7024817</v>
      </c>
      <c r="B4524" t="s">
        <v>12206</v>
      </c>
      <c r="C4524" t="str">
        <f>"9783837663051"</f>
        <v>9783837663051</v>
      </c>
      <c r="D4524" t="str">
        <f>"9783839463055"</f>
        <v>9783839463055</v>
      </c>
      <c r="E4524" t="s">
        <v>7532</v>
      </c>
      <c r="F4524" t="s">
        <v>7533</v>
      </c>
      <c r="G4524" s="1">
        <v>44682</v>
      </c>
      <c r="H4524" s="1">
        <v>44743</v>
      </c>
      <c r="I4524" t="s">
        <v>189</v>
      </c>
      <c r="J4524">
        <v>1</v>
      </c>
      <c r="K4524" t="s">
        <v>7638</v>
      </c>
      <c r="L4524" t="s">
        <v>12207</v>
      </c>
      <c r="M4524" t="s">
        <v>199</v>
      </c>
      <c r="Q4524" t="s">
        <v>408</v>
      </c>
      <c r="R4524" t="s">
        <v>261</v>
      </c>
      <c r="S4524" t="s">
        <v>261</v>
      </c>
      <c r="T4524" t="s">
        <v>261</v>
      </c>
      <c r="U4524" t="s">
        <v>262</v>
      </c>
      <c r="V4524" t="s">
        <v>262</v>
      </c>
      <c r="W4524" t="s">
        <v>261</v>
      </c>
      <c r="X4524" t="s">
        <v>262</v>
      </c>
      <c r="Y4524" t="s">
        <v>261</v>
      </c>
      <c r="Z4524" t="s">
        <v>409</v>
      </c>
      <c r="AB4524" t="s">
        <v>409</v>
      </c>
      <c r="AC4524" t="s">
        <v>409</v>
      </c>
      <c r="AD4524" t="s">
        <v>261</v>
      </c>
      <c r="AH4524" t="s">
        <v>262</v>
      </c>
      <c r="AI4524" t="s">
        <v>262</v>
      </c>
      <c r="AJ4524" t="s">
        <v>261</v>
      </c>
      <c r="AK4524" t="s">
        <v>261</v>
      </c>
      <c r="AM4524" t="s">
        <v>262</v>
      </c>
      <c r="AN4524" t="s">
        <v>12208</v>
      </c>
    </row>
    <row r="4525" spans="1:40" x14ac:dyDescent="0.35">
      <c r="A4525">
        <v>7024818</v>
      </c>
      <c r="B4525" t="s">
        <v>12209</v>
      </c>
      <c r="C4525" t="str">
        <f>"9783732863075"</f>
        <v>9783732863075</v>
      </c>
      <c r="D4525" t="str">
        <f>"9783839463079"</f>
        <v>9783839463079</v>
      </c>
      <c r="E4525" t="s">
        <v>7532</v>
      </c>
      <c r="F4525" t="s">
        <v>7533</v>
      </c>
      <c r="G4525" s="1">
        <v>44713</v>
      </c>
      <c r="H4525" s="1">
        <v>44743</v>
      </c>
      <c r="I4525" t="s">
        <v>189</v>
      </c>
      <c r="J4525">
        <v>1</v>
      </c>
      <c r="K4525" t="s">
        <v>7652</v>
      </c>
      <c r="L4525" t="s">
        <v>12210</v>
      </c>
      <c r="M4525" t="s">
        <v>210</v>
      </c>
      <c r="Q4525" t="s">
        <v>408</v>
      </c>
      <c r="R4525" t="s">
        <v>261</v>
      </c>
      <c r="S4525" t="s">
        <v>261</v>
      </c>
      <c r="T4525" t="s">
        <v>261</v>
      </c>
      <c r="U4525" t="s">
        <v>262</v>
      </c>
      <c r="V4525" t="s">
        <v>262</v>
      </c>
      <c r="W4525" t="s">
        <v>261</v>
      </c>
      <c r="X4525" t="s">
        <v>262</v>
      </c>
      <c r="Y4525" t="s">
        <v>261</v>
      </c>
      <c r="Z4525" t="s">
        <v>409</v>
      </c>
      <c r="AB4525" t="s">
        <v>409</v>
      </c>
      <c r="AC4525" t="s">
        <v>409</v>
      </c>
      <c r="AD4525" t="s">
        <v>261</v>
      </c>
      <c r="AH4525" t="s">
        <v>262</v>
      </c>
      <c r="AI4525" t="s">
        <v>262</v>
      </c>
      <c r="AJ4525" t="s">
        <v>261</v>
      </c>
      <c r="AK4525" t="s">
        <v>261</v>
      </c>
      <c r="AM4525" t="s">
        <v>262</v>
      </c>
      <c r="AN4525" t="s">
        <v>12211</v>
      </c>
    </row>
    <row r="4526" spans="1:40" x14ac:dyDescent="0.35">
      <c r="A4526">
        <v>7024820</v>
      </c>
      <c r="B4526" t="s">
        <v>12212</v>
      </c>
      <c r="C4526" t="str">
        <f>"9783732863198"</f>
        <v>9783732863198</v>
      </c>
      <c r="D4526" t="str">
        <f>"9783839463192"</f>
        <v>9783839463192</v>
      </c>
      <c r="E4526" t="s">
        <v>7532</v>
      </c>
      <c r="F4526" t="s">
        <v>7533</v>
      </c>
      <c r="G4526" s="1">
        <v>44713</v>
      </c>
      <c r="H4526" s="1">
        <v>44743</v>
      </c>
      <c r="I4526" t="s">
        <v>189</v>
      </c>
      <c r="J4526">
        <v>1</v>
      </c>
      <c r="K4526" t="s">
        <v>7652</v>
      </c>
      <c r="L4526" t="s">
        <v>12213</v>
      </c>
    </row>
    <row r="4527" spans="1:40" x14ac:dyDescent="0.35">
      <c r="A4527">
        <v>7024823</v>
      </c>
      <c r="B4527" t="s">
        <v>12214</v>
      </c>
      <c r="C4527" t="str">
        <f>"9783732863327"</f>
        <v>9783732863327</v>
      </c>
      <c r="D4527" t="str">
        <f>"9783839463321"</f>
        <v>9783839463321</v>
      </c>
      <c r="E4527" t="s">
        <v>7532</v>
      </c>
      <c r="F4527" t="s">
        <v>7533</v>
      </c>
      <c r="G4527" s="1">
        <v>44713</v>
      </c>
      <c r="H4527" s="1">
        <v>44743</v>
      </c>
      <c r="I4527" t="s">
        <v>189</v>
      </c>
      <c r="J4527">
        <v>1</v>
      </c>
      <c r="K4527" t="s">
        <v>7652</v>
      </c>
      <c r="L4527" t="s">
        <v>12215</v>
      </c>
    </row>
    <row r="4528" spans="1:40" x14ac:dyDescent="0.35">
      <c r="A4528">
        <v>7024824</v>
      </c>
      <c r="B4528" t="s">
        <v>12216</v>
      </c>
      <c r="C4528" t="str">
        <f>"9783732863440"</f>
        <v>9783732863440</v>
      </c>
      <c r="D4528" t="str">
        <f>"9783839463444"</f>
        <v>9783839463444</v>
      </c>
      <c r="E4528" t="s">
        <v>7532</v>
      </c>
      <c r="F4528" t="s">
        <v>7533</v>
      </c>
      <c r="G4528" s="1">
        <v>44713</v>
      </c>
      <c r="H4528" s="1">
        <v>44743</v>
      </c>
      <c r="I4528" t="s">
        <v>189</v>
      </c>
      <c r="J4528">
        <v>1</v>
      </c>
      <c r="K4528" t="s">
        <v>7885</v>
      </c>
      <c r="L4528" t="s">
        <v>12217</v>
      </c>
      <c r="M4528" t="s">
        <v>329</v>
      </c>
      <c r="Q4528" t="s">
        <v>408</v>
      </c>
      <c r="R4528" t="s">
        <v>261</v>
      </c>
      <c r="S4528" t="s">
        <v>261</v>
      </c>
      <c r="T4528" t="s">
        <v>261</v>
      </c>
      <c r="U4528" t="s">
        <v>262</v>
      </c>
      <c r="V4528" t="s">
        <v>262</v>
      </c>
      <c r="W4528" t="s">
        <v>261</v>
      </c>
      <c r="X4528" t="s">
        <v>262</v>
      </c>
      <c r="Y4528" t="s">
        <v>261</v>
      </c>
      <c r="Z4528" t="s">
        <v>409</v>
      </c>
      <c r="AB4528" t="s">
        <v>409</v>
      </c>
      <c r="AC4528" t="s">
        <v>409</v>
      </c>
      <c r="AD4528" t="s">
        <v>261</v>
      </c>
      <c r="AH4528" t="s">
        <v>262</v>
      </c>
      <c r="AI4528" t="s">
        <v>262</v>
      </c>
      <c r="AJ4528" t="s">
        <v>261</v>
      </c>
      <c r="AK4528" t="s">
        <v>261</v>
      </c>
      <c r="AM4528" t="s">
        <v>262</v>
      </c>
      <c r="AN4528" t="s">
        <v>12218</v>
      </c>
    </row>
    <row r="4529" spans="1:40" x14ac:dyDescent="0.35">
      <c r="A4529">
        <v>7024826</v>
      </c>
      <c r="B4529" t="s">
        <v>12219</v>
      </c>
      <c r="C4529" t="str">
        <f>"9783732863785"</f>
        <v>9783732863785</v>
      </c>
      <c r="D4529" t="str">
        <f>"9783839463789"</f>
        <v>9783839463789</v>
      </c>
      <c r="E4529" t="s">
        <v>7532</v>
      </c>
      <c r="F4529" t="s">
        <v>7533</v>
      </c>
      <c r="G4529" s="1">
        <v>44713</v>
      </c>
      <c r="H4529" s="1">
        <v>44743</v>
      </c>
      <c r="I4529" t="s">
        <v>189</v>
      </c>
      <c r="J4529">
        <v>1</v>
      </c>
      <c r="K4529" t="s">
        <v>8053</v>
      </c>
      <c r="L4529" t="s">
        <v>12220</v>
      </c>
      <c r="M4529" t="s">
        <v>210</v>
      </c>
      <c r="Q4529" t="s">
        <v>408</v>
      </c>
      <c r="R4529" t="s">
        <v>261</v>
      </c>
      <c r="S4529" t="s">
        <v>261</v>
      </c>
      <c r="T4529" t="s">
        <v>261</v>
      </c>
      <c r="U4529" t="s">
        <v>262</v>
      </c>
      <c r="V4529" t="s">
        <v>262</v>
      </c>
      <c r="W4529" t="s">
        <v>261</v>
      </c>
      <c r="X4529" t="s">
        <v>262</v>
      </c>
      <c r="Y4529" t="s">
        <v>261</v>
      </c>
      <c r="Z4529" t="s">
        <v>409</v>
      </c>
      <c r="AB4529" t="s">
        <v>409</v>
      </c>
      <c r="AC4529" t="s">
        <v>409</v>
      </c>
      <c r="AD4529" t="s">
        <v>261</v>
      </c>
      <c r="AH4529" t="s">
        <v>262</v>
      </c>
      <c r="AI4529" t="s">
        <v>262</v>
      </c>
      <c r="AJ4529" t="s">
        <v>261</v>
      </c>
      <c r="AK4529" t="s">
        <v>261</v>
      </c>
      <c r="AM4529" t="s">
        <v>262</v>
      </c>
      <c r="AN4529" t="s">
        <v>12221</v>
      </c>
    </row>
    <row r="4530" spans="1:40" x14ac:dyDescent="0.35">
      <c r="A4530">
        <v>7024827</v>
      </c>
      <c r="B4530" t="s">
        <v>12222</v>
      </c>
      <c r="C4530" t="str">
        <f>"9783837664034"</f>
        <v>9783837664034</v>
      </c>
      <c r="D4530" t="str">
        <f>"9783839464038"</f>
        <v>9783839464038</v>
      </c>
      <c r="E4530" t="s">
        <v>7532</v>
      </c>
      <c r="F4530" t="s">
        <v>7533</v>
      </c>
      <c r="G4530" s="1">
        <v>44713</v>
      </c>
      <c r="H4530" s="1">
        <v>44743</v>
      </c>
      <c r="I4530" t="s">
        <v>189</v>
      </c>
      <c r="J4530">
        <v>1</v>
      </c>
      <c r="K4530" t="s">
        <v>7738</v>
      </c>
      <c r="L4530" t="s">
        <v>7739</v>
      </c>
    </row>
    <row r="4531" spans="1:40" x14ac:dyDescent="0.35">
      <c r="A4531">
        <v>7024828</v>
      </c>
      <c r="B4531" t="s">
        <v>12223</v>
      </c>
      <c r="C4531" t="str">
        <f>"9783732864263"</f>
        <v>9783732864263</v>
      </c>
      <c r="D4531" t="str">
        <f>"9783839464267"</f>
        <v>9783839464267</v>
      </c>
      <c r="E4531" t="s">
        <v>7532</v>
      </c>
      <c r="F4531" t="s">
        <v>7533</v>
      </c>
      <c r="G4531" s="1">
        <v>44713</v>
      </c>
      <c r="H4531" s="1">
        <v>44743</v>
      </c>
      <c r="I4531" t="s">
        <v>189</v>
      </c>
      <c r="J4531">
        <v>1</v>
      </c>
      <c r="K4531" t="s">
        <v>7652</v>
      </c>
      <c r="L4531" t="s">
        <v>12224</v>
      </c>
      <c r="M4531" t="s">
        <v>329</v>
      </c>
      <c r="Q4531" t="s">
        <v>408</v>
      </c>
      <c r="R4531" t="s">
        <v>261</v>
      </c>
      <c r="S4531" t="s">
        <v>261</v>
      </c>
      <c r="T4531" t="s">
        <v>261</v>
      </c>
      <c r="U4531" t="s">
        <v>262</v>
      </c>
      <c r="V4531" t="s">
        <v>262</v>
      </c>
      <c r="W4531" t="s">
        <v>261</v>
      </c>
      <c r="X4531" t="s">
        <v>262</v>
      </c>
      <c r="Y4531" t="s">
        <v>261</v>
      </c>
      <c r="Z4531" t="s">
        <v>409</v>
      </c>
      <c r="AB4531" t="s">
        <v>409</v>
      </c>
      <c r="AC4531" t="s">
        <v>409</v>
      </c>
      <c r="AD4531" t="s">
        <v>261</v>
      </c>
      <c r="AH4531" t="s">
        <v>262</v>
      </c>
      <c r="AI4531" t="s">
        <v>262</v>
      </c>
      <c r="AJ4531" t="s">
        <v>261</v>
      </c>
      <c r="AK4531" t="s">
        <v>261</v>
      </c>
      <c r="AM4531" t="s">
        <v>262</v>
      </c>
      <c r="AN4531" t="s">
        <v>12225</v>
      </c>
    </row>
    <row r="4532" spans="1:40" x14ac:dyDescent="0.35">
      <c r="A4532">
        <v>7025298</v>
      </c>
      <c r="B4532" t="s">
        <v>12226</v>
      </c>
      <c r="C4532" t="str">
        <f>"9783031093562"</f>
        <v>9783031093562</v>
      </c>
      <c r="D4532" t="str">
        <f>"9783031093579"</f>
        <v>9783031093579</v>
      </c>
      <c r="E4532" t="s">
        <v>2289</v>
      </c>
      <c r="F4532" t="s">
        <v>2290</v>
      </c>
      <c r="G4532" s="1">
        <v>44773</v>
      </c>
      <c r="H4532" s="1">
        <v>44749</v>
      </c>
      <c r="I4532" t="s">
        <v>189</v>
      </c>
      <c r="K4532" t="s">
        <v>5734</v>
      </c>
      <c r="L4532" t="s">
        <v>12227</v>
      </c>
    </row>
    <row r="4533" spans="1:40" x14ac:dyDescent="0.35">
      <c r="A4533">
        <v>7026315</v>
      </c>
      <c r="B4533" t="s">
        <v>12228</v>
      </c>
      <c r="C4533" t="str">
        <f>"9780472108060"</f>
        <v>9780472108060</v>
      </c>
      <c r="D4533" t="str">
        <f>"9780472903122"</f>
        <v>9780472903122</v>
      </c>
      <c r="E4533" t="s">
        <v>2090</v>
      </c>
      <c r="F4533" t="s">
        <v>2090</v>
      </c>
      <c r="G4533" s="1">
        <v>35702</v>
      </c>
      <c r="H4533" s="1">
        <v>44749</v>
      </c>
      <c r="I4533" t="s">
        <v>189</v>
      </c>
      <c r="L4533" t="s">
        <v>12229</v>
      </c>
    </row>
    <row r="4534" spans="1:40" x14ac:dyDescent="0.35">
      <c r="A4534">
        <v>7026750</v>
      </c>
      <c r="B4534" t="s">
        <v>12230</v>
      </c>
      <c r="C4534" t="str">
        <f>"9783031104183"</f>
        <v>9783031104183</v>
      </c>
      <c r="D4534" t="str">
        <f>"9783031104190"</f>
        <v>9783031104190</v>
      </c>
      <c r="E4534" t="s">
        <v>2289</v>
      </c>
      <c r="F4534" t="s">
        <v>2290</v>
      </c>
      <c r="G4534" s="1">
        <v>44743</v>
      </c>
      <c r="H4534" s="1">
        <v>44749</v>
      </c>
      <c r="I4534" t="s">
        <v>189</v>
      </c>
      <c r="K4534" t="s">
        <v>4008</v>
      </c>
      <c r="L4534" t="s">
        <v>12231</v>
      </c>
    </row>
    <row r="4535" spans="1:40" x14ac:dyDescent="0.35">
      <c r="A4535">
        <v>7026759</v>
      </c>
      <c r="B4535" t="s">
        <v>12232</v>
      </c>
      <c r="C4535" t="str">
        <f>"9783031019791"</f>
        <v>9783031019791</v>
      </c>
      <c r="D4535" t="str">
        <f>"9783031019807"</f>
        <v>9783031019807</v>
      </c>
      <c r="E4535" t="s">
        <v>2289</v>
      </c>
      <c r="F4535" t="s">
        <v>2290</v>
      </c>
      <c r="G4535" s="1">
        <v>44778</v>
      </c>
      <c r="H4535" s="1">
        <v>44749</v>
      </c>
      <c r="I4535" t="s">
        <v>189</v>
      </c>
      <c r="L4535" t="s">
        <v>12233</v>
      </c>
    </row>
    <row r="4536" spans="1:40" x14ac:dyDescent="0.35">
      <c r="A4536">
        <v>7026771</v>
      </c>
      <c r="B4536" t="s">
        <v>12234</v>
      </c>
      <c r="C4536" t="str">
        <f>"9783658379193"</f>
        <v>9783658379193</v>
      </c>
      <c r="D4536" t="str">
        <f>"9783658379209"</f>
        <v>9783658379209</v>
      </c>
      <c r="E4536" t="s">
        <v>3972</v>
      </c>
      <c r="F4536" t="s">
        <v>3972</v>
      </c>
      <c r="G4536" s="1">
        <v>44786</v>
      </c>
      <c r="H4536" s="1">
        <v>44749</v>
      </c>
      <c r="I4536" t="s">
        <v>189</v>
      </c>
      <c r="K4536" t="s">
        <v>12235</v>
      </c>
      <c r="L4536" t="s">
        <v>12236</v>
      </c>
      <c r="M4536" t="s">
        <v>249</v>
      </c>
      <c r="N4536" t="s">
        <v>3975</v>
      </c>
      <c r="Q4536" t="s">
        <v>408</v>
      </c>
      <c r="R4536" t="s">
        <v>261</v>
      </c>
      <c r="S4536" t="s">
        <v>261</v>
      </c>
      <c r="T4536" t="s">
        <v>261</v>
      </c>
      <c r="U4536" t="s">
        <v>261</v>
      </c>
      <c r="V4536" t="s">
        <v>262</v>
      </c>
      <c r="W4536" t="s">
        <v>261</v>
      </c>
      <c r="X4536" t="s">
        <v>261</v>
      </c>
      <c r="Y4536" t="s">
        <v>261</v>
      </c>
      <c r="Z4536" t="s">
        <v>409</v>
      </c>
      <c r="AA4536" t="s">
        <v>409</v>
      </c>
      <c r="AB4536" t="s">
        <v>409</v>
      </c>
      <c r="AC4536" t="s">
        <v>409</v>
      </c>
      <c r="AD4536" t="s">
        <v>261</v>
      </c>
      <c r="AH4536" t="s">
        <v>262</v>
      </c>
      <c r="AI4536" t="s">
        <v>262</v>
      </c>
      <c r="AJ4536" t="s">
        <v>261</v>
      </c>
      <c r="AK4536" t="s">
        <v>261</v>
      </c>
      <c r="AM4536" t="s">
        <v>262</v>
      </c>
      <c r="AN4536" t="s">
        <v>12237</v>
      </c>
    </row>
    <row r="4537" spans="1:40" x14ac:dyDescent="0.35">
      <c r="A4537">
        <v>7026779</v>
      </c>
      <c r="B4537" t="s">
        <v>12238</v>
      </c>
      <c r="C4537" t="str">
        <f>"9783031046698"</f>
        <v>9783031046698</v>
      </c>
      <c r="D4537" t="str">
        <f>"9783031046704"</f>
        <v>9783031046704</v>
      </c>
      <c r="E4537" t="s">
        <v>2289</v>
      </c>
      <c r="F4537" t="s">
        <v>2290</v>
      </c>
      <c r="G4537" s="1">
        <v>44779</v>
      </c>
      <c r="H4537" s="1">
        <v>44749</v>
      </c>
      <c r="I4537" t="s">
        <v>189</v>
      </c>
      <c r="K4537" t="s">
        <v>4011</v>
      </c>
      <c r="L4537" t="s">
        <v>12239</v>
      </c>
    </row>
    <row r="4538" spans="1:40" x14ac:dyDescent="0.35">
      <c r="A4538">
        <v>7027158</v>
      </c>
      <c r="B4538" t="s">
        <v>12240</v>
      </c>
      <c r="C4538" t="str">
        <f>"9783031018336"</f>
        <v>9783031018336</v>
      </c>
      <c r="D4538" t="str">
        <f>"9783031019197"</f>
        <v>9783031019197</v>
      </c>
      <c r="E4538" t="s">
        <v>2289</v>
      </c>
      <c r="F4538" t="s">
        <v>2663</v>
      </c>
      <c r="G4538" s="1">
        <v>44788</v>
      </c>
      <c r="H4538" s="1">
        <v>44749</v>
      </c>
      <c r="I4538" t="s">
        <v>189</v>
      </c>
      <c r="L4538" t="s">
        <v>12241</v>
      </c>
    </row>
    <row r="4539" spans="1:40" x14ac:dyDescent="0.35">
      <c r="A4539">
        <v>7027159</v>
      </c>
      <c r="B4539" t="s">
        <v>12242</v>
      </c>
      <c r="C4539" t="str">
        <f>"9783031043321"</f>
        <v>9783031043321</v>
      </c>
      <c r="D4539" t="str">
        <f>"9783031043338"</f>
        <v>9783031043338</v>
      </c>
      <c r="E4539" t="s">
        <v>2289</v>
      </c>
      <c r="F4539" t="s">
        <v>2290</v>
      </c>
      <c r="G4539" s="1">
        <v>44779</v>
      </c>
      <c r="H4539" s="1">
        <v>44749</v>
      </c>
      <c r="I4539" t="s">
        <v>189</v>
      </c>
      <c r="K4539" t="s">
        <v>12243</v>
      </c>
      <c r="L4539" t="s">
        <v>12244</v>
      </c>
      <c r="M4539" t="s">
        <v>199</v>
      </c>
      <c r="N4539" t="s">
        <v>12245</v>
      </c>
      <c r="Q4539" t="s">
        <v>260</v>
      </c>
      <c r="R4539" t="s">
        <v>261</v>
      </c>
      <c r="S4539" t="s">
        <v>261</v>
      </c>
      <c r="T4539" t="s">
        <v>261</v>
      </c>
      <c r="U4539" t="s">
        <v>261</v>
      </c>
      <c r="V4539" t="s">
        <v>262</v>
      </c>
      <c r="W4539" t="s">
        <v>261</v>
      </c>
      <c r="X4539" t="s">
        <v>261</v>
      </c>
      <c r="Y4539" t="s">
        <v>261</v>
      </c>
      <c r="Z4539" t="s">
        <v>409</v>
      </c>
      <c r="AA4539" t="s">
        <v>409</v>
      </c>
      <c r="AB4539" t="s">
        <v>409</v>
      </c>
      <c r="AC4539" t="s">
        <v>409</v>
      </c>
      <c r="AD4539" t="s">
        <v>261</v>
      </c>
      <c r="AH4539" t="s">
        <v>262</v>
      </c>
      <c r="AI4539" t="s">
        <v>262</v>
      </c>
      <c r="AJ4539" t="s">
        <v>261</v>
      </c>
      <c r="AK4539" t="s">
        <v>261</v>
      </c>
      <c r="AM4539" t="s">
        <v>262</v>
      </c>
      <c r="AN4539" t="s">
        <v>12246</v>
      </c>
    </row>
    <row r="4540" spans="1:40" x14ac:dyDescent="0.35">
      <c r="A4540">
        <v>7027172</v>
      </c>
      <c r="B4540" t="s">
        <v>12247</v>
      </c>
      <c r="C4540" t="str">
        <f>"9783031041655"</f>
        <v>9783031041655</v>
      </c>
      <c r="D4540" t="str">
        <f>"9783031041662"</f>
        <v>9783031041662</v>
      </c>
      <c r="E4540" t="s">
        <v>2289</v>
      </c>
      <c r="F4540" t="s">
        <v>2290</v>
      </c>
      <c r="G4540" s="1">
        <v>44779</v>
      </c>
      <c r="H4540" s="1">
        <v>44749</v>
      </c>
      <c r="I4540" t="s">
        <v>189</v>
      </c>
      <c r="K4540" t="s">
        <v>12248</v>
      </c>
      <c r="L4540" t="s">
        <v>12249</v>
      </c>
    </row>
    <row r="4541" spans="1:40" x14ac:dyDescent="0.35">
      <c r="A4541">
        <v>7028985</v>
      </c>
      <c r="B4541" t="s">
        <v>12250</v>
      </c>
      <c r="C4541" t="str">
        <f>"9783031079009"</f>
        <v>9783031079009</v>
      </c>
      <c r="D4541" t="str">
        <f>"9783031079016"</f>
        <v>9783031079016</v>
      </c>
      <c r="E4541" t="s">
        <v>2289</v>
      </c>
      <c r="F4541" t="s">
        <v>2663</v>
      </c>
      <c r="G4541" s="1">
        <v>44785</v>
      </c>
      <c r="H4541" s="1">
        <v>44774</v>
      </c>
      <c r="I4541" t="s">
        <v>189</v>
      </c>
      <c r="L4541" t="s">
        <v>12251</v>
      </c>
      <c r="M4541" t="s">
        <v>249</v>
      </c>
      <c r="N4541" t="s">
        <v>5418</v>
      </c>
      <c r="Q4541" t="s">
        <v>260</v>
      </c>
      <c r="R4541" t="s">
        <v>261</v>
      </c>
      <c r="S4541" t="s">
        <v>261</v>
      </c>
      <c r="T4541" t="s">
        <v>261</v>
      </c>
      <c r="U4541" t="s">
        <v>261</v>
      </c>
      <c r="V4541" t="s">
        <v>262</v>
      </c>
      <c r="W4541" t="s">
        <v>261</v>
      </c>
      <c r="X4541" t="s">
        <v>261</v>
      </c>
      <c r="Y4541" t="s">
        <v>261</v>
      </c>
      <c r="Z4541" t="s">
        <v>409</v>
      </c>
      <c r="AA4541" t="s">
        <v>409</v>
      </c>
      <c r="AB4541" t="s">
        <v>409</v>
      </c>
      <c r="AC4541" t="s">
        <v>409</v>
      </c>
      <c r="AD4541" t="s">
        <v>261</v>
      </c>
      <c r="AH4541" t="s">
        <v>262</v>
      </c>
      <c r="AI4541" t="s">
        <v>262</v>
      </c>
      <c r="AJ4541" t="s">
        <v>261</v>
      </c>
      <c r="AK4541" t="s">
        <v>261</v>
      </c>
      <c r="AM4541" t="s">
        <v>262</v>
      </c>
      <c r="AN4541" t="s">
        <v>12252</v>
      </c>
    </row>
    <row r="4542" spans="1:40" x14ac:dyDescent="0.35">
      <c r="A4542">
        <v>7028991</v>
      </c>
      <c r="B4542" t="s">
        <v>12253</v>
      </c>
      <c r="C4542" t="str">
        <f>"9783658377168"</f>
        <v>9783658377168</v>
      </c>
      <c r="D4542" t="str">
        <f>"9783658377175"</f>
        <v>9783658377175</v>
      </c>
      <c r="E4542" t="s">
        <v>3972</v>
      </c>
      <c r="F4542" t="s">
        <v>3998</v>
      </c>
      <c r="G4542" s="1">
        <v>44771</v>
      </c>
      <c r="H4542" s="1">
        <v>44774</v>
      </c>
      <c r="I4542" t="s">
        <v>189</v>
      </c>
      <c r="L4542" t="s">
        <v>12254</v>
      </c>
      <c r="M4542" t="s">
        <v>329</v>
      </c>
      <c r="N4542" t="s">
        <v>4236</v>
      </c>
      <c r="Q4542" t="s">
        <v>408</v>
      </c>
      <c r="R4542" t="s">
        <v>261</v>
      </c>
      <c r="S4542" t="s">
        <v>261</v>
      </c>
      <c r="T4542" t="s">
        <v>261</v>
      </c>
      <c r="U4542" t="s">
        <v>261</v>
      </c>
      <c r="V4542" t="s">
        <v>262</v>
      </c>
      <c r="W4542" t="s">
        <v>261</v>
      </c>
      <c r="X4542" t="s">
        <v>261</v>
      </c>
      <c r="Y4542" t="s">
        <v>261</v>
      </c>
      <c r="Z4542" t="s">
        <v>409</v>
      </c>
      <c r="AA4542" t="s">
        <v>409</v>
      </c>
      <c r="AB4542" t="s">
        <v>409</v>
      </c>
      <c r="AC4542" t="s">
        <v>409</v>
      </c>
      <c r="AD4542" t="s">
        <v>261</v>
      </c>
      <c r="AH4542" t="s">
        <v>262</v>
      </c>
      <c r="AI4542" t="s">
        <v>262</v>
      </c>
      <c r="AJ4542" t="s">
        <v>261</v>
      </c>
      <c r="AK4542" t="s">
        <v>261</v>
      </c>
      <c r="AM4542" t="s">
        <v>262</v>
      </c>
      <c r="AN4542" t="s">
        <v>12255</v>
      </c>
    </row>
    <row r="4543" spans="1:40" x14ac:dyDescent="0.35">
      <c r="A4543">
        <v>7028997</v>
      </c>
      <c r="B4543" t="s">
        <v>12256</v>
      </c>
      <c r="C4543" t="str">
        <f>"9789811936388"</f>
        <v>9789811936388</v>
      </c>
      <c r="D4543" t="str">
        <f>"9789811936395"</f>
        <v>9789811936395</v>
      </c>
      <c r="E4543" t="s">
        <v>2290</v>
      </c>
      <c r="F4543" t="s">
        <v>2290</v>
      </c>
      <c r="G4543" s="1">
        <v>44745</v>
      </c>
      <c r="H4543" s="1">
        <v>44774</v>
      </c>
      <c r="I4543" t="s">
        <v>189</v>
      </c>
      <c r="L4543" t="s">
        <v>12257</v>
      </c>
      <c r="M4543" t="s">
        <v>1318</v>
      </c>
      <c r="N4543" t="s">
        <v>10496</v>
      </c>
      <c r="Q4543" t="s">
        <v>260</v>
      </c>
      <c r="R4543" t="s">
        <v>261</v>
      </c>
      <c r="S4543" t="s">
        <v>261</v>
      </c>
      <c r="T4543" t="s">
        <v>261</v>
      </c>
      <c r="U4543" t="s">
        <v>261</v>
      </c>
      <c r="V4543" t="s">
        <v>262</v>
      </c>
      <c r="W4543" t="s">
        <v>261</v>
      </c>
      <c r="X4543" t="s">
        <v>261</v>
      </c>
      <c r="Y4543" t="s">
        <v>261</v>
      </c>
      <c r="Z4543" t="s">
        <v>409</v>
      </c>
      <c r="AA4543" t="s">
        <v>409</v>
      </c>
      <c r="AB4543" t="s">
        <v>409</v>
      </c>
      <c r="AC4543" t="s">
        <v>409</v>
      </c>
      <c r="AD4543" t="s">
        <v>261</v>
      </c>
      <c r="AH4543" t="s">
        <v>262</v>
      </c>
      <c r="AI4543" t="s">
        <v>262</v>
      </c>
      <c r="AJ4543" t="s">
        <v>261</v>
      </c>
      <c r="AK4543" t="s">
        <v>261</v>
      </c>
      <c r="AM4543" t="s">
        <v>262</v>
      </c>
      <c r="AN4543" t="s">
        <v>12258</v>
      </c>
    </row>
    <row r="4544" spans="1:40" x14ac:dyDescent="0.35">
      <c r="A4544">
        <v>7029027</v>
      </c>
      <c r="B4544" t="s">
        <v>12259</v>
      </c>
      <c r="C4544" t="str">
        <f>"9783658371401"</f>
        <v>9783658371401</v>
      </c>
      <c r="D4544" t="str">
        <f>"9783658371418"</f>
        <v>9783658371418</v>
      </c>
      <c r="E4544" t="s">
        <v>3972</v>
      </c>
      <c r="F4544" t="s">
        <v>3998</v>
      </c>
      <c r="G4544" s="1">
        <v>44781</v>
      </c>
      <c r="H4544" s="1">
        <v>44774</v>
      </c>
      <c r="I4544" t="s">
        <v>189</v>
      </c>
      <c r="K4544" t="s">
        <v>12260</v>
      </c>
      <c r="L4544" t="s">
        <v>12261</v>
      </c>
    </row>
    <row r="4545" spans="1:40" x14ac:dyDescent="0.35">
      <c r="A4545">
        <v>7029182</v>
      </c>
      <c r="B4545" t="s">
        <v>12262</v>
      </c>
      <c r="C4545" t="str">
        <f>"9783662652039"</f>
        <v>9783662652039</v>
      </c>
      <c r="D4545" t="str">
        <f>"9783662652046"</f>
        <v>9783662652046</v>
      </c>
      <c r="E4545" t="s">
        <v>4047</v>
      </c>
      <c r="F4545" t="s">
        <v>2290</v>
      </c>
      <c r="G4545" s="1">
        <v>44747</v>
      </c>
      <c r="H4545" s="1">
        <v>44774</v>
      </c>
      <c r="I4545" t="s">
        <v>189</v>
      </c>
      <c r="L4545" t="s">
        <v>4080</v>
      </c>
    </row>
    <row r="4546" spans="1:40" x14ac:dyDescent="0.35">
      <c r="A4546">
        <v>7030719</v>
      </c>
      <c r="B4546" t="s">
        <v>12263</v>
      </c>
      <c r="C4546" t="str">
        <f>"9783031037986"</f>
        <v>9783031037986</v>
      </c>
      <c r="D4546" t="str">
        <f>"9783031037993"</f>
        <v>9783031037993</v>
      </c>
      <c r="E4546" t="s">
        <v>2289</v>
      </c>
      <c r="F4546" t="s">
        <v>2663</v>
      </c>
      <c r="G4546" s="1">
        <v>44747</v>
      </c>
      <c r="H4546" s="1">
        <v>44774</v>
      </c>
      <c r="I4546" t="s">
        <v>189</v>
      </c>
      <c r="L4546" t="s">
        <v>12264</v>
      </c>
      <c r="M4546" t="s">
        <v>249</v>
      </c>
      <c r="N4546" t="s">
        <v>10303</v>
      </c>
      <c r="Q4546" t="s">
        <v>260</v>
      </c>
      <c r="R4546" t="s">
        <v>261</v>
      </c>
      <c r="S4546" t="s">
        <v>261</v>
      </c>
      <c r="T4546" t="s">
        <v>261</v>
      </c>
      <c r="U4546" t="s">
        <v>261</v>
      </c>
      <c r="V4546" t="s">
        <v>262</v>
      </c>
      <c r="W4546" t="s">
        <v>261</v>
      </c>
      <c r="X4546" t="s">
        <v>261</v>
      </c>
      <c r="Y4546" t="s">
        <v>261</v>
      </c>
      <c r="Z4546" t="s">
        <v>409</v>
      </c>
      <c r="AA4546" t="s">
        <v>409</v>
      </c>
      <c r="AB4546" t="s">
        <v>409</v>
      </c>
      <c r="AC4546" t="s">
        <v>409</v>
      </c>
      <c r="AD4546" t="s">
        <v>261</v>
      </c>
      <c r="AH4546" t="s">
        <v>262</v>
      </c>
      <c r="AI4546" t="s">
        <v>262</v>
      </c>
      <c r="AJ4546" t="s">
        <v>261</v>
      </c>
      <c r="AK4546" t="s">
        <v>261</v>
      </c>
      <c r="AM4546" t="s">
        <v>262</v>
      </c>
      <c r="AN4546" t="s">
        <v>12265</v>
      </c>
    </row>
    <row r="4547" spans="1:40" x14ac:dyDescent="0.35">
      <c r="A4547">
        <v>7030726</v>
      </c>
      <c r="B4547" t="s">
        <v>12266</v>
      </c>
      <c r="C4547" t="str">
        <f>"9783030992385"</f>
        <v>9783030992385</v>
      </c>
      <c r="D4547" t="str">
        <f>"9783030973223"</f>
        <v>9783030973223</v>
      </c>
      <c r="E4547" t="s">
        <v>2289</v>
      </c>
      <c r="F4547" t="s">
        <v>2290</v>
      </c>
      <c r="G4547" s="1">
        <v>44747</v>
      </c>
      <c r="H4547" s="1">
        <v>44774</v>
      </c>
      <c r="I4547" t="s">
        <v>189</v>
      </c>
      <c r="K4547" t="s">
        <v>1208</v>
      </c>
      <c r="L4547" t="s">
        <v>12267</v>
      </c>
      <c r="M4547" t="s">
        <v>210</v>
      </c>
      <c r="N4547" t="s">
        <v>4706</v>
      </c>
      <c r="Q4547" t="s">
        <v>260</v>
      </c>
      <c r="R4547" t="s">
        <v>261</v>
      </c>
      <c r="S4547" t="s">
        <v>261</v>
      </c>
      <c r="T4547" t="s">
        <v>261</v>
      </c>
      <c r="U4547" t="s">
        <v>261</v>
      </c>
      <c r="V4547" t="s">
        <v>262</v>
      </c>
      <c r="W4547" t="s">
        <v>261</v>
      </c>
      <c r="X4547" t="s">
        <v>261</v>
      </c>
      <c r="Y4547" t="s">
        <v>261</v>
      </c>
      <c r="Z4547" t="s">
        <v>409</v>
      </c>
      <c r="AA4547" t="s">
        <v>409</v>
      </c>
      <c r="AB4547" t="s">
        <v>409</v>
      </c>
      <c r="AC4547" t="s">
        <v>409</v>
      </c>
      <c r="AD4547" t="s">
        <v>261</v>
      </c>
      <c r="AH4547" t="s">
        <v>262</v>
      </c>
      <c r="AI4547" t="s">
        <v>262</v>
      </c>
      <c r="AJ4547" t="s">
        <v>261</v>
      </c>
      <c r="AK4547" t="s">
        <v>261</v>
      </c>
      <c r="AM4547" t="s">
        <v>262</v>
      </c>
      <c r="AN4547" t="s">
        <v>12268</v>
      </c>
    </row>
    <row r="4548" spans="1:40" x14ac:dyDescent="0.35">
      <c r="A4548">
        <v>7032685</v>
      </c>
      <c r="B4548" t="s">
        <v>12269</v>
      </c>
      <c r="C4548" t="str">
        <f>"9780813597270"</f>
        <v>9780813597270</v>
      </c>
      <c r="D4548" t="str">
        <f>"9780813597300"</f>
        <v>9780813597300</v>
      </c>
      <c r="E4548" t="s">
        <v>336</v>
      </c>
      <c r="F4548" t="s">
        <v>336</v>
      </c>
      <c r="G4548" s="1">
        <v>44742</v>
      </c>
      <c r="H4548" s="1">
        <v>44750</v>
      </c>
      <c r="I4548" t="s">
        <v>189</v>
      </c>
      <c r="J4548">
        <v>1</v>
      </c>
      <c r="K4548" t="s">
        <v>12270</v>
      </c>
      <c r="L4548" t="s">
        <v>12271</v>
      </c>
    </row>
    <row r="4549" spans="1:40" x14ac:dyDescent="0.35">
      <c r="A4549">
        <v>7032802</v>
      </c>
      <c r="B4549" t="s">
        <v>12272</v>
      </c>
      <c r="C4549" t="str">
        <f>"9783030949259"</f>
        <v>9783030949259</v>
      </c>
      <c r="D4549" t="str">
        <f>"9783030949266"</f>
        <v>9783030949266</v>
      </c>
      <c r="E4549" t="s">
        <v>2289</v>
      </c>
      <c r="F4549" t="s">
        <v>2290</v>
      </c>
      <c r="G4549" s="1">
        <v>44780</v>
      </c>
      <c r="H4549" s="1">
        <v>44774</v>
      </c>
      <c r="I4549" t="s">
        <v>189</v>
      </c>
      <c r="K4549" t="s">
        <v>12273</v>
      </c>
      <c r="L4549" t="s">
        <v>12274</v>
      </c>
    </row>
    <row r="4550" spans="1:40" x14ac:dyDescent="0.35">
      <c r="A4550">
        <v>7041536</v>
      </c>
      <c r="B4550" t="s">
        <v>12275</v>
      </c>
      <c r="C4550" t="str">
        <f>""</f>
        <v/>
      </c>
      <c r="D4550" t="str">
        <f>"9783110765090"</f>
        <v>9783110765090</v>
      </c>
      <c r="E4550" t="s">
        <v>415</v>
      </c>
      <c r="F4550" t="s">
        <v>415</v>
      </c>
      <c r="G4550" s="1">
        <v>44760</v>
      </c>
      <c r="H4550" s="1">
        <v>44774</v>
      </c>
      <c r="I4550" t="s">
        <v>189</v>
      </c>
      <c r="J4550">
        <v>1</v>
      </c>
      <c r="L4550" t="s">
        <v>12276</v>
      </c>
      <c r="M4550" t="s">
        <v>219</v>
      </c>
    </row>
    <row r="4551" spans="1:40" x14ac:dyDescent="0.35">
      <c r="A4551">
        <v>7041537</v>
      </c>
      <c r="B4551" t="s">
        <v>12277</v>
      </c>
      <c r="C4551" t="str">
        <f>""</f>
        <v/>
      </c>
      <c r="D4551" t="str">
        <f>"9783110769975"</f>
        <v>9783110769975</v>
      </c>
      <c r="E4551" t="s">
        <v>415</v>
      </c>
      <c r="F4551" t="s">
        <v>415</v>
      </c>
      <c r="G4551" s="1">
        <v>44733</v>
      </c>
      <c r="H4551" s="1">
        <v>44774</v>
      </c>
      <c r="I4551" t="s">
        <v>189</v>
      </c>
      <c r="J4551">
        <v>1</v>
      </c>
      <c r="K4551" t="s">
        <v>11033</v>
      </c>
      <c r="L4551" t="s">
        <v>11034</v>
      </c>
    </row>
    <row r="4552" spans="1:40" x14ac:dyDescent="0.35">
      <c r="A4552">
        <v>7041538</v>
      </c>
      <c r="B4552" t="s">
        <v>12278</v>
      </c>
      <c r="C4552" t="str">
        <f>""</f>
        <v/>
      </c>
      <c r="D4552" t="str">
        <f>"9783110770193"</f>
        <v>9783110770193</v>
      </c>
      <c r="E4552" t="s">
        <v>415</v>
      </c>
      <c r="F4552" t="s">
        <v>415</v>
      </c>
      <c r="G4552" s="1">
        <v>44733</v>
      </c>
      <c r="H4552" s="1">
        <v>44774</v>
      </c>
      <c r="I4552" t="s">
        <v>189</v>
      </c>
      <c r="J4552">
        <v>1</v>
      </c>
      <c r="K4552" t="s">
        <v>12279</v>
      </c>
      <c r="L4552" t="s">
        <v>12280</v>
      </c>
      <c r="M4552" t="s">
        <v>676</v>
      </c>
    </row>
    <row r="4553" spans="1:40" x14ac:dyDescent="0.35">
      <c r="A4553">
        <v>7041539</v>
      </c>
      <c r="B4553" t="s">
        <v>12281</v>
      </c>
      <c r="C4553" t="str">
        <f>""</f>
        <v/>
      </c>
      <c r="D4553" t="str">
        <f>"9783110784756"</f>
        <v>9783110784756</v>
      </c>
      <c r="E4553" t="s">
        <v>415</v>
      </c>
      <c r="F4553" t="s">
        <v>415</v>
      </c>
      <c r="G4553" s="1">
        <v>44774</v>
      </c>
      <c r="H4553" s="1">
        <v>44774</v>
      </c>
      <c r="I4553" t="s">
        <v>189</v>
      </c>
      <c r="J4553">
        <v>1</v>
      </c>
      <c r="K4553" t="s">
        <v>12282</v>
      </c>
      <c r="L4553" t="s">
        <v>12283</v>
      </c>
    </row>
    <row r="4554" spans="1:40" x14ac:dyDescent="0.35">
      <c r="A4554">
        <v>7041541</v>
      </c>
      <c r="B4554" t="s">
        <v>12284</v>
      </c>
      <c r="C4554" t="str">
        <f>""</f>
        <v/>
      </c>
      <c r="D4554" t="str">
        <f>"9783110765526"</f>
        <v>9783110765526</v>
      </c>
      <c r="E4554" t="s">
        <v>415</v>
      </c>
      <c r="F4554" t="s">
        <v>415</v>
      </c>
      <c r="G4554" s="1">
        <v>44718</v>
      </c>
      <c r="H4554" s="1">
        <v>44774</v>
      </c>
      <c r="I4554" t="s">
        <v>189</v>
      </c>
      <c r="J4554">
        <v>1</v>
      </c>
      <c r="K4554" t="s">
        <v>3910</v>
      </c>
      <c r="L4554" t="s">
        <v>133</v>
      </c>
    </row>
    <row r="4555" spans="1:40" x14ac:dyDescent="0.35">
      <c r="A4555">
        <v>7041542</v>
      </c>
      <c r="B4555" t="s">
        <v>12285</v>
      </c>
      <c r="C4555" t="str">
        <f>""</f>
        <v/>
      </c>
      <c r="D4555" t="str">
        <f>"9783110746419"</f>
        <v>9783110746419</v>
      </c>
      <c r="E4555" t="s">
        <v>415</v>
      </c>
      <c r="F4555" t="s">
        <v>415</v>
      </c>
      <c r="G4555" s="1">
        <v>44774</v>
      </c>
      <c r="H4555" s="1">
        <v>44774</v>
      </c>
      <c r="I4555" t="s">
        <v>189</v>
      </c>
      <c r="J4555">
        <v>1</v>
      </c>
      <c r="L4555" t="s">
        <v>12286</v>
      </c>
      <c r="M4555" t="s">
        <v>12287</v>
      </c>
    </row>
    <row r="4556" spans="1:40" x14ac:dyDescent="0.35">
      <c r="A4556">
        <v>7041552</v>
      </c>
      <c r="B4556" t="s">
        <v>12288</v>
      </c>
      <c r="C4556" t="str">
        <f>""</f>
        <v/>
      </c>
      <c r="D4556" t="str">
        <f>"9783110764185"</f>
        <v>9783110764185</v>
      </c>
      <c r="E4556" t="s">
        <v>415</v>
      </c>
      <c r="F4556" t="s">
        <v>415</v>
      </c>
      <c r="G4556" s="1">
        <v>44760</v>
      </c>
      <c r="H4556" s="1">
        <v>44774</v>
      </c>
      <c r="I4556" t="s">
        <v>189</v>
      </c>
      <c r="J4556">
        <v>1</v>
      </c>
      <c r="K4556" t="s">
        <v>11591</v>
      </c>
      <c r="L4556" t="s">
        <v>12289</v>
      </c>
    </row>
    <row r="4557" spans="1:40" x14ac:dyDescent="0.35">
      <c r="A4557">
        <v>7041554</v>
      </c>
      <c r="B4557" t="s">
        <v>12290</v>
      </c>
      <c r="C4557" t="str">
        <f>""</f>
        <v/>
      </c>
      <c r="D4557" t="str">
        <f>"9783110758900"</f>
        <v>9783110758900</v>
      </c>
      <c r="E4557" t="s">
        <v>415</v>
      </c>
      <c r="F4557" t="s">
        <v>415</v>
      </c>
      <c r="G4557" s="1">
        <v>44760</v>
      </c>
      <c r="H4557" s="1">
        <v>44774</v>
      </c>
      <c r="I4557" t="s">
        <v>189</v>
      </c>
      <c r="J4557">
        <v>1</v>
      </c>
      <c r="K4557" t="s">
        <v>3934</v>
      </c>
      <c r="L4557" t="s">
        <v>12291</v>
      </c>
      <c r="M4557" t="s">
        <v>676</v>
      </c>
    </row>
    <row r="4558" spans="1:40" x14ac:dyDescent="0.35">
      <c r="A4558">
        <v>7041585</v>
      </c>
      <c r="B4558" t="s">
        <v>12292</v>
      </c>
      <c r="C4558" t="str">
        <f>""</f>
        <v/>
      </c>
      <c r="D4558" t="str">
        <f>"9783110760804"</f>
        <v>9783110760804</v>
      </c>
      <c r="E4558" t="s">
        <v>415</v>
      </c>
      <c r="F4558" t="s">
        <v>415</v>
      </c>
      <c r="G4558" s="1">
        <v>44747</v>
      </c>
      <c r="H4558" s="1">
        <v>44774</v>
      </c>
      <c r="I4558" t="s">
        <v>189</v>
      </c>
      <c r="J4558">
        <v>1</v>
      </c>
      <c r="K4558" t="s">
        <v>10597</v>
      </c>
      <c r="L4558" t="s">
        <v>12293</v>
      </c>
      <c r="M4558" t="s">
        <v>676</v>
      </c>
    </row>
    <row r="4559" spans="1:40" x14ac:dyDescent="0.35">
      <c r="A4559">
        <v>7041586</v>
      </c>
      <c r="B4559" t="s">
        <v>12294</v>
      </c>
      <c r="C4559" t="str">
        <f>""</f>
        <v/>
      </c>
      <c r="D4559" t="str">
        <f>"9783110764420"</f>
        <v>9783110764420</v>
      </c>
      <c r="E4559" t="s">
        <v>415</v>
      </c>
      <c r="F4559" t="s">
        <v>415</v>
      </c>
      <c r="G4559" s="1">
        <v>44718</v>
      </c>
      <c r="H4559" s="1">
        <v>44774</v>
      </c>
      <c r="I4559" t="s">
        <v>189</v>
      </c>
      <c r="J4559">
        <v>1</v>
      </c>
      <c r="K4559" t="s">
        <v>11732</v>
      </c>
      <c r="L4559" t="s">
        <v>12295</v>
      </c>
      <c r="M4559" t="s">
        <v>239</v>
      </c>
    </row>
    <row r="4560" spans="1:40" x14ac:dyDescent="0.35">
      <c r="A4560">
        <v>7041587</v>
      </c>
      <c r="B4560" t="s">
        <v>12296</v>
      </c>
      <c r="C4560" t="str">
        <f>""</f>
        <v/>
      </c>
      <c r="D4560" t="str">
        <f>"9783110770773"</f>
        <v>9783110770773</v>
      </c>
      <c r="E4560" t="s">
        <v>415</v>
      </c>
      <c r="F4560" t="s">
        <v>416</v>
      </c>
      <c r="G4560" s="1">
        <v>44760</v>
      </c>
      <c r="H4560" s="1">
        <v>44774</v>
      </c>
      <c r="I4560" t="s">
        <v>189</v>
      </c>
      <c r="J4560">
        <v>1</v>
      </c>
      <c r="K4560" t="s">
        <v>11209</v>
      </c>
      <c r="L4560" t="s">
        <v>11636</v>
      </c>
      <c r="M4560" t="s">
        <v>379</v>
      </c>
      <c r="Q4560" t="s">
        <v>408</v>
      </c>
      <c r="R4560" t="s">
        <v>261</v>
      </c>
      <c r="S4560" t="s">
        <v>261</v>
      </c>
      <c r="T4560" t="s">
        <v>261</v>
      </c>
      <c r="U4560" t="s">
        <v>261</v>
      </c>
      <c r="V4560" t="s">
        <v>262</v>
      </c>
      <c r="W4560" t="s">
        <v>261</v>
      </c>
      <c r="X4560" t="s">
        <v>261</v>
      </c>
      <c r="Y4560" t="s">
        <v>261</v>
      </c>
      <c r="Z4560" t="s">
        <v>409</v>
      </c>
      <c r="AA4560" t="s">
        <v>409</v>
      </c>
      <c r="AB4560" t="s">
        <v>409</v>
      </c>
      <c r="AC4560" t="s">
        <v>409</v>
      </c>
      <c r="AD4560" t="s">
        <v>261</v>
      </c>
      <c r="AH4560" t="s">
        <v>262</v>
      </c>
      <c r="AI4560" t="s">
        <v>262</v>
      </c>
      <c r="AJ4560" t="s">
        <v>261</v>
      </c>
      <c r="AK4560" t="s">
        <v>261</v>
      </c>
      <c r="AM4560" t="s">
        <v>262</v>
      </c>
      <c r="AN4560" t="s">
        <v>12297</v>
      </c>
    </row>
    <row r="4561" spans="1:40" x14ac:dyDescent="0.35">
      <c r="A4561">
        <v>7041855</v>
      </c>
      <c r="B4561" t="s">
        <v>12298</v>
      </c>
      <c r="C4561" t="str">
        <f>"9783030950873"</f>
        <v>9783030950873</v>
      </c>
      <c r="D4561" t="str">
        <f>"9783030950880"</f>
        <v>9783030950880</v>
      </c>
      <c r="E4561" t="s">
        <v>2289</v>
      </c>
      <c r="F4561" t="s">
        <v>2290</v>
      </c>
      <c r="G4561" s="1">
        <v>44780</v>
      </c>
      <c r="H4561" s="1">
        <v>44774</v>
      </c>
      <c r="I4561" t="s">
        <v>189</v>
      </c>
      <c r="K4561" t="s">
        <v>12299</v>
      </c>
      <c r="L4561" t="s">
        <v>12300</v>
      </c>
    </row>
    <row r="4562" spans="1:40" x14ac:dyDescent="0.35">
      <c r="A4562">
        <v>7041883</v>
      </c>
      <c r="B4562" t="s">
        <v>12301</v>
      </c>
      <c r="C4562" t="str">
        <f>"9783030991371"</f>
        <v>9783030991371</v>
      </c>
      <c r="D4562" t="str">
        <f>"9783030991388"</f>
        <v>9783030991388</v>
      </c>
      <c r="E4562" t="s">
        <v>2289</v>
      </c>
      <c r="F4562" t="s">
        <v>2290</v>
      </c>
      <c r="G4562" s="1">
        <v>44780</v>
      </c>
      <c r="H4562" s="1">
        <v>44774</v>
      </c>
      <c r="I4562" t="s">
        <v>189</v>
      </c>
      <c r="L4562" t="s">
        <v>12302</v>
      </c>
    </row>
    <row r="4563" spans="1:40" x14ac:dyDescent="0.35">
      <c r="A4563">
        <v>7041898</v>
      </c>
      <c r="B4563" t="s">
        <v>12303</v>
      </c>
      <c r="C4563" t="str">
        <f>"9783031019869"</f>
        <v>9783031019869</v>
      </c>
      <c r="D4563" t="str">
        <f>"9783031019876"</f>
        <v>9783031019876</v>
      </c>
      <c r="E4563" t="s">
        <v>2289</v>
      </c>
      <c r="F4563" t="s">
        <v>2290</v>
      </c>
      <c r="G4563" s="1">
        <v>44789</v>
      </c>
      <c r="H4563" s="1">
        <v>44774</v>
      </c>
      <c r="I4563" t="s">
        <v>189</v>
      </c>
      <c r="K4563" t="s">
        <v>12304</v>
      </c>
      <c r="L4563" t="s">
        <v>12305</v>
      </c>
    </row>
    <row r="4564" spans="1:40" x14ac:dyDescent="0.35">
      <c r="A4564">
        <v>7042185</v>
      </c>
      <c r="B4564" t="s">
        <v>12306</v>
      </c>
      <c r="C4564" t="str">
        <f>""</f>
        <v/>
      </c>
      <c r="D4564" t="str">
        <f>"9781800104778"</f>
        <v>9781800104778</v>
      </c>
      <c r="E4564" t="s">
        <v>9638</v>
      </c>
      <c r="F4564" t="s">
        <v>9639</v>
      </c>
      <c r="G4564" s="1">
        <v>44796</v>
      </c>
      <c r="H4564" s="1">
        <v>44755</v>
      </c>
      <c r="I4564" t="s">
        <v>189</v>
      </c>
      <c r="J4564">
        <v>1</v>
      </c>
      <c r="L4564" t="s">
        <v>12307</v>
      </c>
    </row>
    <row r="4565" spans="1:40" x14ac:dyDescent="0.35">
      <c r="A4565">
        <v>7042208</v>
      </c>
      <c r="B4565" t="s">
        <v>12308</v>
      </c>
      <c r="C4565" t="str">
        <f>"9783031054525"</f>
        <v>9783031054525</v>
      </c>
      <c r="D4565" t="str">
        <f>"9783031054532"</f>
        <v>9783031054532</v>
      </c>
      <c r="E4565" t="s">
        <v>2289</v>
      </c>
      <c r="F4565" t="s">
        <v>2290</v>
      </c>
      <c r="G4565" s="1">
        <v>44787</v>
      </c>
      <c r="H4565" s="1">
        <v>44774</v>
      </c>
      <c r="I4565" t="s">
        <v>189</v>
      </c>
      <c r="K4565" t="s">
        <v>4887</v>
      </c>
      <c r="L4565" t="s">
        <v>12309</v>
      </c>
      <c r="M4565" t="s">
        <v>329</v>
      </c>
      <c r="N4565" t="s">
        <v>4229</v>
      </c>
      <c r="Q4565" t="s">
        <v>260</v>
      </c>
      <c r="R4565" t="s">
        <v>261</v>
      </c>
      <c r="S4565" t="s">
        <v>261</v>
      </c>
      <c r="T4565" t="s">
        <v>261</v>
      </c>
      <c r="U4565" t="s">
        <v>261</v>
      </c>
      <c r="V4565" t="s">
        <v>262</v>
      </c>
      <c r="W4565" t="s">
        <v>261</v>
      </c>
      <c r="X4565" t="s">
        <v>261</v>
      </c>
      <c r="Y4565" t="s">
        <v>261</v>
      </c>
      <c r="Z4565" t="s">
        <v>409</v>
      </c>
      <c r="AA4565" t="s">
        <v>409</v>
      </c>
      <c r="AB4565" t="s">
        <v>409</v>
      </c>
      <c r="AC4565" t="s">
        <v>409</v>
      </c>
      <c r="AD4565" t="s">
        <v>261</v>
      </c>
      <c r="AH4565" t="s">
        <v>262</v>
      </c>
      <c r="AI4565" t="s">
        <v>262</v>
      </c>
      <c r="AJ4565" t="s">
        <v>261</v>
      </c>
      <c r="AK4565" t="s">
        <v>261</v>
      </c>
      <c r="AM4565" t="s">
        <v>262</v>
      </c>
      <c r="AN4565" t="s">
        <v>12310</v>
      </c>
    </row>
    <row r="4566" spans="1:40" x14ac:dyDescent="0.35">
      <c r="A4566">
        <v>7042233</v>
      </c>
      <c r="B4566" t="s">
        <v>12311</v>
      </c>
      <c r="C4566" t="str">
        <f>"9783030940119"</f>
        <v>9783030940119</v>
      </c>
      <c r="D4566" t="str">
        <f>"9783030940126"</f>
        <v>9783030940126</v>
      </c>
      <c r="E4566" t="s">
        <v>2289</v>
      </c>
      <c r="F4566" t="s">
        <v>2663</v>
      </c>
      <c r="G4566" s="1">
        <v>44751</v>
      </c>
      <c r="H4566" s="1">
        <v>44774</v>
      </c>
      <c r="I4566" t="s">
        <v>189</v>
      </c>
      <c r="K4566" t="s">
        <v>3577</v>
      </c>
      <c r="L4566" t="s">
        <v>12312</v>
      </c>
    </row>
    <row r="4567" spans="1:40" x14ac:dyDescent="0.35">
      <c r="A4567">
        <v>7042562</v>
      </c>
      <c r="B4567" t="s">
        <v>12313</v>
      </c>
      <c r="C4567" t="str">
        <f>"9783031071263"</f>
        <v>9783031071263</v>
      </c>
      <c r="D4567" t="str">
        <f>"9783031071270"</f>
        <v>9783031071270</v>
      </c>
      <c r="E4567" t="s">
        <v>2289</v>
      </c>
      <c r="F4567" t="s">
        <v>2290</v>
      </c>
      <c r="G4567" s="1">
        <v>44812</v>
      </c>
      <c r="H4567" s="1">
        <v>44774</v>
      </c>
      <c r="I4567" t="s">
        <v>189</v>
      </c>
      <c r="K4567" t="s">
        <v>8685</v>
      </c>
      <c r="L4567" t="s">
        <v>12314</v>
      </c>
      <c r="M4567" t="s">
        <v>964</v>
      </c>
      <c r="N4567" t="s">
        <v>5164</v>
      </c>
      <c r="Q4567" t="s">
        <v>260</v>
      </c>
      <c r="R4567" t="s">
        <v>261</v>
      </c>
      <c r="S4567" t="s">
        <v>261</v>
      </c>
      <c r="T4567" t="s">
        <v>261</v>
      </c>
      <c r="U4567" t="s">
        <v>261</v>
      </c>
      <c r="V4567" t="s">
        <v>262</v>
      </c>
      <c r="W4567" t="s">
        <v>261</v>
      </c>
      <c r="X4567" t="s">
        <v>261</v>
      </c>
      <c r="Y4567" t="s">
        <v>261</v>
      </c>
      <c r="Z4567" t="s">
        <v>409</v>
      </c>
      <c r="AA4567" t="s">
        <v>409</v>
      </c>
      <c r="AB4567" t="s">
        <v>409</v>
      </c>
      <c r="AC4567" t="s">
        <v>409</v>
      </c>
      <c r="AD4567" t="s">
        <v>261</v>
      </c>
      <c r="AH4567" t="s">
        <v>262</v>
      </c>
      <c r="AI4567" t="s">
        <v>262</v>
      </c>
      <c r="AJ4567" t="s">
        <v>261</v>
      </c>
      <c r="AK4567" t="s">
        <v>261</v>
      </c>
      <c r="AM4567" t="s">
        <v>262</v>
      </c>
      <c r="AN4567" t="s">
        <v>12315</v>
      </c>
    </row>
    <row r="4568" spans="1:40" x14ac:dyDescent="0.35">
      <c r="A4568">
        <v>7042563</v>
      </c>
      <c r="B4568" t="s">
        <v>12316</v>
      </c>
      <c r="C4568" t="str">
        <f>"9783031013188"</f>
        <v>9783031013188</v>
      </c>
      <c r="D4568" t="str">
        <f>"9783031013195"</f>
        <v>9783031013195</v>
      </c>
      <c r="E4568" t="s">
        <v>2289</v>
      </c>
      <c r="F4568" t="s">
        <v>2290</v>
      </c>
      <c r="G4568" s="1">
        <v>44755</v>
      </c>
      <c r="H4568" s="1">
        <v>44774</v>
      </c>
      <c r="I4568" t="s">
        <v>189</v>
      </c>
      <c r="K4568" t="s">
        <v>1208</v>
      </c>
      <c r="L4568" t="s">
        <v>12317</v>
      </c>
    </row>
    <row r="4569" spans="1:40" x14ac:dyDescent="0.35">
      <c r="A4569">
        <v>7042565</v>
      </c>
      <c r="B4569" t="s">
        <v>5185</v>
      </c>
      <c r="C4569" t="str">
        <f>"9783658375706"</f>
        <v>9783658375706</v>
      </c>
      <c r="D4569" t="str">
        <f>"9783658375713"</f>
        <v>9783658375713</v>
      </c>
      <c r="E4569" t="s">
        <v>3972</v>
      </c>
      <c r="F4569" t="s">
        <v>3972</v>
      </c>
      <c r="G4569" s="1">
        <v>44785</v>
      </c>
      <c r="H4569" s="1">
        <v>44774</v>
      </c>
      <c r="I4569" t="s">
        <v>189</v>
      </c>
      <c r="J4569">
        <v>2</v>
      </c>
      <c r="K4569" t="s">
        <v>5186</v>
      </c>
      <c r="L4569" t="s">
        <v>5187</v>
      </c>
    </row>
    <row r="4570" spans="1:40" x14ac:dyDescent="0.35">
      <c r="A4570">
        <v>7043291</v>
      </c>
      <c r="B4570" t="s">
        <v>12318</v>
      </c>
      <c r="C4570" t="str">
        <f>"9789811921223"</f>
        <v>9789811921223</v>
      </c>
      <c r="D4570" t="str">
        <f>"9789811921230"</f>
        <v>9789811921230</v>
      </c>
      <c r="E4570" t="s">
        <v>2662</v>
      </c>
      <c r="F4570" t="s">
        <v>2663</v>
      </c>
      <c r="G4570" s="1">
        <v>44791</v>
      </c>
      <c r="H4570" s="1">
        <v>44774</v>
      </c>
      <c r="I4570" t="s">
        <v>189</v>
      </c>
      <c r="L4570" t="s">
        <v>12319</v>
      </c>
    </row>
    <row r="4571" spans="1:40" x14ac:dyDescent="0.35">
      <c r="A4571">
        <v>7043319</v>
      </c>
      <c r="B4571" t="s">
        <v>12320</v>
      </c>
      <c r="C4571" t="str">
        <f>"9789811924552"</f>
        <v>9789811924552</v>
      </c>
      <c r="D4571" t="str">
        <f>"9789811924569"</f>
        <v>9789811924569</v>
      </c>
      <c r="E4571" t="s">
        <v>2290</v>
      </c>
      <c r="F4571" t="s">
        <v>2290</v>
      </c>
      <c r="G4571" s="1">
        <v>44755</v>
      </c>
      <c r="H4571" s="1">
        <v>44774</v>
      </c>
      <c r="I4571" t="s">
        <v>189</v>
      </c>
      <c r="K4571" t="s">
        <v>12321</v>
      </c>
      <c r="L4571" t="s">
        <v>12322</v>
      </c>
    </row>
    <row r="4572" spans="1:40" x14ac:dyDescent="0.35">
      <c r="A4572">
        <v>7045442</v>
      </c>
      <c r="B4572" t="s">
        <v>12323</v>
      </c>
      <c r="C4572" t="str">
        <f>"9780472071371"</f>
        <v>9780472071371</v>
      </c>
      <c r="D4572" t="str">
        <f>"9780472900312"</f>
        <v>9780472900312</v>
      </c>
      <c r="E4572" t="s">
        <v>2090</v>
      </c>
      <c r="F4572" t="s">
        <v>2090</v>
      </c>
      <c r="G4572" s="1">
        <v>40553</v>
      </c>
      <c r="H4572" s="1">
        <v>44774</v>
      </c>
      <c r="I4572" t="s">
        <v>189</v>
      </c>
      <c r="K4572" t="s">
        <v>10361</v>
      </c>
      <c r="L4572" t="s">
        <v>12324</v>
      </c>
    </row>
    <row r="4573" spans="1:40" x14ac:dyDescent="0.35">
      <c r="A4573">
        <v>7045443</v>
      </c>
      <c r="B4573" t="s">
        <v>12325</v>
      </c>
      <c r="C4573" t="str">
        <f>"9780472071197"</f>
        <v>9780472071197</v>
      </c>
      <c r="D4573" t="str">
        <f>"9780472900343"</f>
        <v>9780472900343</v>
      </c>
      <c r="E4573" t="s">
        <v>2090</v>
      </c>
      <c r="F4573" t="s">
        <v>2090</v>
      </c>
      <c r="G4573" s="1">
        <v>40542</v>
      </c>
      <c r="H4573" s="1">
        <v>44774</v>
      </c>
      <c r="I4573" t="s">
        <v>189</v>
      </c>
      <c r="K4573" t="s">
        <v>10430</v>
      </c>
      <c r="L4573" t="s">
        <v>12326</v>
      </c>
    </row>
    <row r="4574" spans="1:40" x14ac:dyDescent="0.35">
      <c r="A4574">
        <v>7045466</v>
      </c>
      <c r="B4574" t="s">
        <v>12327</v>
      </c>
      <c r="C4574" t="str">
        <f>"9783031049606"</f>
        <v>9783031049606</v>
      </c>
      <c r="D4574" t="str">
        <f>"9783031049613"</f>
        <v>9783031049613</v>
      </c>
      <c r="E4574" t="s">
        <v>2289</v>
      </c>
      <c r="F4574" t="s">
        <v>2290</v>
      </c>
      <c r="G4574" s="1">
        <v>44757</v>
      </c>
      <c r="H4574" s="1">
        <v>44774</v>
      </c>
      <c r="I4574" t="s">
        <v>189</v>
      </c>
      <c r="K4574" t="s">
        <v>4011</v>
      </c>
      <c r="L4574" t="s">
        <v>4856</v>
      </c>
    </row>
    <row r="4575" spans="1:40" x14ac:dyDescent="0.35">
      <c r="A4575">
        <v>7045473</v>
      </c>
      <c r="B4575" t="s">
        <v>12328</v>
      </c>
      <c r="C4575" t="str">
        <f>"9783030995454"</f>
        <v>9783030995454</v>
      </c>
      <c r="D4575" t="str">
        <f>"9783030995461"</f>
        <v>9783030995461</v>
      </c>
      <c r="E4575" t="s">
        <v>2289</v>
      </c>
      <c r="F4575" t="s">
        <v>2290</v>
      </c>
      <c r="G4575" s="1">
        <v>44799</v>
      </c>
      <c r="H4575" s="1">
        <v>44774</v>
      </c>
      <c r="I4575" t="s">
        <v>189</v>
      </c>
      <c r="K4575" t="s">
        <v>5155</v>
      </c>
      <c r="L4575" t="s">
        <v>12329</v>
      </c>
    </row>
    <row r="4576" spans="1:40" x14ac:dyDescent="0.35">
      <c r="A4576">
        <v>7045746</v>
      </c>
      <c r="B4576" t="s">
        <v>12330</v>
      </c>
      <c r="C4576" t="str">
        <f>"9783031019296"</f>
        <v>9783031019296</v>
      </c>
      <c r="D4576" t="str">
        <f>"9783031019302"</f>
        <v>9783031019302</v>
      </c>
      <c r="E4576" t="s">
        <v>2289</v>
      </c>
      <c r="F4576" t="s">
        <v>2663</v>
      </c>
      <c r="G4576" s="1">
        <v>44758</v>
      </c>
      <c r="H4576" s="1">
        <v>44774</v>
      </c>
      <c r="I4576" t="s">
        <v>189</v>
      </c>
      <c r="K4576" t="s">
        <v>12331</v>
      </c>
      <c r="L4576" t="s">
        <v>12332</v>
      </c>
      <c r="M4576" t="s">
        <v>807</v>
      </c>
    </row>
    <row r="4577" spans="1:40" x14ac:dyDescent="0.35">
      <c r="A4577">
        <v>7045755</v>
      </c>
      <c r="B4577" t="s">
        <v>12333</v>
      </c>
      <c r="C4577" t="str">
        <f>"9783030994310"</f>
        <v>9783030994310</v>
      </c>
      <c r="D4577" t="str">
        <f>"9783030994327"</f>
        <v>9783030994327</v>
      </c>
      <c r="E4577" t="s">
        <v>2289</v>
      </c>
      <c r="F4577" t="s">
        <v>2663</v>
      </c>
      <c r="G4577" s="1">
        <v>44758</v>
      </c>
      <c r="H4577" s="1">
        <v>44774</v>
      </c>
      <c r="I4577" t="s">
        <v>189</v>
      </c>
      <c r="K4577" t="s">
        <v>12334</v>
      </c>
      <c r="L4577" t="s">
        <v>12335</v>
      </c>
      <c r="M4577" t="s">
        <v>282</v>
      </c>
    </row>
    <row r="4578" spans="1:40" x14ac:dyDescent="0.35">
      <c r="A4578">
        <v>7045899</v>
      </c>
      <c r="B4578" t="s">
        <v>12336</v>
      </c>
      <c r="C4578" t="str">
        <f>"9781644698235"</f>
        <v>9781644698235</v>
      </c>
      <c r="D4578" t="str">
        <f>"9781644698273"</f>
        <v>9781644698273</v>
      </c>
      <c r="E4578" t="s">
        <v>1592</v>
      </c>
      <c r="F4578" t="s">
        <v>1592</v>
      </c>
      <c r="G4578" s="1">
        <v>44768</v>
      </c>
      <c r="H4578" s="1">
        <v>44774</v>
      </c>
      <c r="I4578" t="s">
        <v>189</v>
      </c>
      <c r="J4578">
        <v>1</v>
      </c>
      <c r="L4578" t="s">
        <v>9867</v>
      </c>
      <c r="M4578" t="s">
        <v>12337</v>
      </c>
    </row>
    <row r="4579" spans="1:40" x14ac:dyDescent="0.35">
      <c r="A4579">
        <v>7045923</v>
      </c>
      <c r="B4579" t="s">
        <v>12338</v>
      </c>
      <c r="C4579" t="str">
        <f>""</f>
        <v/>
      </c>
      <c r="D4579" t="str">
        <f>"9783110731590"</f>
        <v>9783110731590</v>
      </c>
      <c r="E4579" t="s">
        <v>415</v>
      </c>
      <c r="F4579" t="s">
        <v>415</v>
      </c>
      <c r="G4579" s="1">
        <v>44795</v>
      </c>
      <c r="H4579" s="1">
        <v>44774</v>
      </c>
      <c r="I4579" t="s">
        <v>189</v>
      </c>
      <c r="J4579">
        <v>1</v>
      </c>
      <c r="K4579" t="s">
        <v>3914</v>
      </c>
      <c r="L4579" t="s">
        <v>3915</v>
      </c>
    </row>
    <row r="4580" spans="1:40" x14ac:dyDescent="0.35">
      <c r="A4580">
        <v>7045932</v>
      </c>
      <c r="B4580" t="s">
        <v>12339</v>
      </c>
      <c r="C4580" t="str">
        <f>""</f>
        <v/>
      </c>
      <c r="D4580" t="str">
        <f>"9783110776195"</f>
        <v>9783110776195</v>
      </c>
      <c r="E4580" t="s">
        <v>415</v>
      </c>
      <c r="F4580" t="s">
        <v>415</v>
      </c>
      <c r="G4580" s="1">
        <v>44774</v>
      </c>
      <c r="H4580" s="1">
        <v>44774</v>
      </c>
      <c r="I4580" t="s">
        <v>189</v>
      </c>
      <c r="J4580">
        <v>1</v>
      </c>
      <c r="L4580" t="s">
        <v>12340</v>
      </c>
    </row>
    <row r="4581" spans="1:40" x14ac:dyDescent="0.35">
      <c r="A4581">
        <v>7045937</v>
      </c>
      <c r="B4581" t="s">
        <v>12341</v>
      </c>
      <c r="C4581" t="str">
        <f>""</f>
        <v/>
      </c>
      <c r="D4581" t="str">
        <f>"9783110722819"</f>
        <v>9783110722819</v>
      </c>
      <c r="E4581" t="s">
        <v>415</v>
      </c>
      <c r="F4581" t="s">
        <v>415</v>
      </c>
      <c r="G4581" s="1">
        <v>44774</v>
      </c>
      <c r="H4581" s="1">
        <v>44774</v>
      </c>
      <c r="I4581" t="s">
        <v>189</v>
      </c>
      <c r="J4581">
        <v>1</v>
      </c>
      <c r="L4581" t="s">
        <v>12342</v>
      </c>
      <c r="M4581" t="s">
        <v>219</v>
      </c>
      <c r="Q4581" t="s">
        <v>408</v>
      </c>
      <c r="R4581" t="s">
        <v>261</v>
      </c>
      <c r="S4581" t="s">
        <v>261</v>
      </c>
      <c r="T4581" t="s">
        <v>261</v>
      </c>
      <c r="U4581" t="s">
        <v>261</v>
      </c>
      <c r="V4581" t="s">
        <v>262</v>
      </c>
      <c r="W4581" t="s">
        <v>261</v>
      </c>
      <c r="X4581" t="s">
        <v>261</v>
      </c>
      <c r="Y4581" t="s">
        <v>261</v>
      </c>
      <c r="Z4581" t="s">
        <v>409</v>
      </c>
      <c r="AA4581" t="s">
        <v>409</v>
      </c>
      <c r="AB4581" t="s">
        <v>409</v>
      </c>
      <c r="AC4581" t="s">
        <v>409</v>
      </c>
      <c r="AD4581" t="s">
        <v>261</v>
      </c>
      <c r="AH4581" t="s">
        <v>262</v>
      </c>
      <c r="AI4581" t="s">
        <v>262</v>
      </c>
      <c r="AJ4581" t="s">
        <v>261</v>
      </c>
      <c r="AK4581" t="s">
        <v>261</v>
      </c>
      <c r="AM4581" t="s">
        <v>262</v>
      </c>
      <c r="AN4581" t="s">
        <v>12343</v>
      </c>
    </row>
    <row r="4582" spans="1:40" x14ac:dyDescent="0.35">
      <c r="A4582">
        <v>7045943</v>
      </c>
      <c r="B4582" t="s">
        <v>12344</v>
      </c>
      <c r="C4582" t="str">
        <f>""</f>
        <v/>
      </c>
      <c r="D4582" t="str">
        <f>"9783110729740"</f>
        <v>9783110729740</v>
      </c>
      <c r="E4582" t="s">
        <v>415</v>
      </c>
      <c r="F4582" t="s">
        <v>665</v>
      </c>
      <c r="G4582" s="1">
        <v>44795</v>
      </c>
      <c r="H4582" s="1">
        <v>44774</v>
      </c>
      <c r="I4582" t="s">
        <v>189</v>
      </c>
      <c r="J4582">
        <v>1</v>
      </c>
      <c r="L4582" t="s">
        <v>12345</v>
      </c>
    </row>
    <row r="4583" spans="1:40" x14ac:dyDescent="0.35">
      <c r="A4583">
        <v>7046586</v>
      </c>
      <c r="B4583" t="s">
        <v>12346</v>
      </c>
      <c r="C4583" t="str">
        <f>"9783030962098"</f>
        <v>9783030962098</v>
      </c>
      <c r="D4583" t="str">
        <f>"9783030962104"</f>
        <v>9783030962104</v>
      </c>
      <c r="E4583" t="s">
        <v>2289</v>
      </c>
      <c r="F4583" t="s">
        <v>2663</v>
      </c>
      <c r="G4583" s="1">
        <v>44761</v>
      </c>
      <c r="H4583" s="1">
        <v>44774</v>
      </c>
      <c r="I4583" t="s">
        <v>189</v>
      </c>
      <c r="L4583" t="s">
        <v>12347</v>
      </c>
    </row>
    <row r="4584" spans="1:40" x14ac:dyDescent="0.35">
      <c r="A4584">
        <v>7047972</v>
      </c>
      <c r="B4584" t="s">
        <v>12348</v>
      </c>
      <c r="C4584" t="str">
        <f>"9789811931543"</f>
        <v>9789811931543</v>
      </c>
      <c r="D4584" t="str">
        <f>"9789811931550"</f>
        <v>9789811931550</v>
      </c>
      <c r="E4584" t="s">
        <v>2662</v>
      </c>
      <c r="F4584" t="s">
        <v>2663</v>
      </c>
      <c r="G4584" s="1">
        <v>44764</v>
      </c>
      <c r="H4584" s="1">
        <v>44774</v>
      </c>
      <c r="I4584" t="s">
        <v>189</v>
      </c>
      <c r="L4584" t="s">
        <v>12349</v>
      </c>
    </row>
    <row r="4585" spans="1:40" x14ac:dyDescent="0.35">
      <c r="A4585">
        <v>7048999</v>
      </c>
      <c r="B4585" t="s">
        <v>12350</v>
      </c>
      <c r="C4585" t="str">
        <f>""</f>
        <v/>
      </c>
      <c r="D4585" t="str">
        <f>"9783110720921"</f>
        <v>9783110720921</v>
      </c>
      <c r="E4585" t="s">
        <v>415</v>
      </c>
      <c r="F4585" t="s">
        <v>415</v>
      </c>
      <c r="G4585" s="1">
        <v>44804</v>
      </c>
      <c r="H4585" s="1">
        <v>44774</v>
      </c>
      <c r="I4585" t="s">
        <v>189</v>
      </c>
      <c r="J4585">
        <v>1</v>
      </c>
      <c r="L4585" t="s">
        <v>12351</v>
      </c>
      <c r="M4585" t="s">
        <v>578</v>
      </c>
      <c r="O4585" s="2">
        <v>700484</v>
      </c>
      <c r="Q4585" t="s">
        <v>260</v>
      </c>
      <c r="R4585" t="s">
        <v>261</v>
      </c>
      <c r="S4585" t="s">
        <v>261</v>
      </c>
      <c r="T4585" t="s">
        <v>261</v>
      </c>
      <c r="U4585" t="s">
        <v>261</v>
      </c>
      <c r="V4585" t="s">
        <v>262</v>
      </c>
      <c r="W4585" t="s">
        <v>261</v>
      </c>
      <c r="X4585" t="s">
        <v>261</v>
      </c>
      <c r="Y4585" t="s">
        <v>261</v>
      </c>
      <c r="Z4585" t="s">
        <v>409</v>
      </c>
      <c r="AA4585" t="s">
        <v>409</v>
      </c>
      <c r="AB4585" t="s">
        <v>409</v>
      </c>
      <c r="AC4585" t="s">
        <v>409</v>
      </c>
      <c r="AD4585" t="s">
        <v>261</v>
      </c>
      <c r="AH4585" t="s">
        <v>262</v>
      </c>
      <c r="AI4585" t="s">
        <v>262</v>
      </c>
      <c r="AJ4585" t="s">
        <v>261</v>
      </c>
      <c r="AK4585" t="s">
        <v>261</v>
      </c>
      <c r="AM4585" t="s">
        <v>262</v>
      </c>
      <c r="AN4585" t="s">
        <v>12352</v>
      </c>
    </row>
    <row r="4586" spans="1:40" x14ac:dyDescent="0.35">
      <c r="A4586">
        <v>7049009</v>
      </c>
      <c r="B4586" t="s">
        <v>12353</v>
      </c>
      <c r="C4586" t="str">
        <f>""</f>
        <v/>
      </c>
      <c r="D4586" t="str">
        <f>"9783110784459"</f>
        <v>9783110784459</v>
      </c>
      <c r="E4586" t="s">
        <v>415</v>
      </c>
      <c r="F4586" t="s">
        <v>415</v>
      </c>
      <c r="G4586" s="1">
        <v>44774</v>
      </c>
      <c r="H4586" s="1">
        <v>44774</v>
      </c>
      <c r="I4586" t="s">
        <v>189</v>
      </c>
      <c r="J4586">
        <v>1</v>
      </c>
      <c r="L4586" t="s">
        <v>6801</v>
      </c>
      <c r="M4586" t="s">
        <v>239</v>
      </c>
      <c r="O4586">
        <v>942</v>
      </c>
      <c r="Q4586" t="s">
        <v>260</v>
      </c>
      <c r="R4586" t="s">
        <v>261</v>
      </c>
      <c r="S4586" t="s">
        <v>261</v>
      </c>
      <c r="T4586" t="s">
        <v>261</v>
      </c>
      <c r="U4586" t="s">
        <v>261</v>
      </c>
      <c r="V4586" t="s">
        <v>262</v>
      </c>
      <c r="W4586" t="s">
        <v>261</v>
      </c>
      <c r="X4586" t="s">
        <v>261</v>
      </c>
      <c r="Y4586" t="s">
        <v>261</v>
      </c>
      <c r="Z4586" t="s">
        <v>409</v>
      </c>
      <c r="AA4586" t="s">
        <v>409</v>
      </c>
      <c r="AB4586" t="s">
        <v>409</v>
      </c>
      <c r="AC4586" t="s">
        <v>409</v>
      </c>
      <c r="AD4586" t="s">
        <v>261</v>
      </c>
      <c r="AH4586" t="s">
        <v>262</v>
      </c>
      <c r="AI4586" t="s">
        <v>262</v>
      </c>
      <c r="AJ4586" t="s">
        <v>261</v>
      </c>
      <c r="AK4586" t="s">
        <v>261</v>
      </c>
      <c r="AM4586" t="s">
        <v>262</v>
      </c>
      <c r="AN4586" t="s">
        <v>12354</v>
      </c>
    </row>
    <row r="4587" spans="1:40" x14ac:dyDescent="0.35">
      <c r="A4587">
        <v>7049014</v>
      </c>
      <c r="B4587" t="s">
        <v>12355</v>
      </c>
      <c r="C4587" t="str">
        <f>""</f>
        <v/>
      </c>
      <c r="D4587" t="str">
        <f>"9783110759105"</f>
        <v>9783110759105</v>
      </c>
      <c r="E4587" t="s">
        <v>415</v>
      </c>
      <c r="F4587" t="s">
        <v>415</v>
      </c>
      <c r="G4587" s="1">
        <v>44718</v>
      </c>
      <c r="H4587" s="1">
        <v>44774</v>
      </c>
      <c r="I4587" t="s">
        <v>189</v>
      </c>
      <c r="J4587">
        <v>1</v>
      </c>
      <c r="K4587" t="s">
        <v>11131</v>
      </c>
      <c r="L4587" t="s">
        <v>12356</v>
      </c>
      <c r="M4587" t="s">
        <v>199</v>
      </c>
      <c r="Q4587" t="s">
        <v>408</v>
      </c>
      <c r="R4587" t="s">
        <v>261</v>
      </c>
      <c r="S4587" t="s">
        <v>261</v>
      </c>
      <c r="T4587" t="s">
        <v>261</v>
      </c>
      <c r="U4587" t="s">
        <v>261</v>
      </c>
      <c r="V4587" t="s">
        <v>262</v>
      </c>
      <c r="W4587" t="s">
        <v>261</v>
      </c>
      <c r="X4587" t="s">
        <v>261</v>
      </c>
      <c r="Y4587" t="s">
        <v>261</v>
      </c>
      <c r="Z4587" t="s">
        <v>409</v>
      </c>
      <c r="AA4587" t="s">
        <v>409</v>
      </c>
      <c r="AB4587" t="s">
        <v>409</v>
      </c>
      <c r="AC4587" t="s">
        <v>409</v>
      </c>
      <c r="AD4587" t="s">
        <v>261</v>
      </c>
      <c r="AH4587" t="s">
        <v>262</v>
      </c>
      <c r="AI4587" t="s">
        <v>262</v>
      </c>
      <c r="AJ4587" t="s">
        <v>261</v>
      </c>
      <c r="AK4587" t="s">
        <v>261</v>
      </c>
      <c r="AM4587" t="s">
        <v>262</v>
      </c>
      <c r="AN4587" t="s">
        <v>12357</v>
      </c>
    </row>
    <row r="4588" spans="1:40" x14ac:dyDescent="0.35">
      <c r="A4588">
        <v>7049442</v>
      </c>
      <c r="B4588" t="s">
        <v>12358</v>
      </c>
      <c r="C4588" t="str">
        <f>"9783658381530"</f>
        <v>9783658381530</v>
      </c>
      <c r="D4588" t="str">
        <f>"9783658381547"</f>
        <v>9783658381547</v>
      </c>
      <c r="E4588" t="s">
        <v>3972</v>
      </c>
      <c r="F4588" t="s">
        <v>3972</v>
      </c>
      <c r="G4588" s="1">
        <v>44811</v>
      </c>
      <c r="H4588" s="1">
        <v>44774</v>
      </c>
      <c r="I4588" t="s">
        <v>189</v>
      </c>
      <c r="L4588" t="s">
        <v>12359</v>
      </c>
      <c r="M4588" t="s">
        <v>582</v>
      </c>
      <c r="N4588" t="s">
        <v>5136</v>
      </c>
      <c r="Q4588" t="s">
        <v>260</v>
      </c>
      <c r="R4588" t="s">
        <v>261</v>
      </c>
      <c r="S4588" t="s">
        <v>261</v>
      </c>
      <c r="T4588" t="s">
        <v>261</v>
      </c>
      <c r="U4588" t="s">
        <v>261</v>
      </c>
      <c r="V4588" t="s">
        <v>262</v>
      </c>
      <c r="W4588" t="s">
        <v>261</v>
      </c>
      <c r="X4588" t="s">
        <v>261</v>
      </c>
      <c r="Y4588" t="s">
        <v>261</v>
      </c>
      <c r="Z4588" t="s">
        <v>409</v>
      </c>
      <c r="AA4588" t="s">
        <v>409</v>
      </c>
      <c r="AB4588" t="s">
        <v>409</v>
      </c>
      <c r="AC4588" t="s">
        <v>409</v>
      </c>
      <c r="AD4588" t="s">
        <v>261</v>
      </c>
      <c r="AH4588" t="s">
        <v>262</v>
      </c>
      <c r="AI4588" t="s">
        <v>262</v>
      </c>
      <c r="AJ4588" t="s">
        <v>261</v>
      </c>
      <c r="AK4588" t="s">
        <v>261</v>
      </c>
      <c r="AM4588" t="s">
        <v>262</v>
      </c>
      <c r="AN4588" t="s">
        <v>12360</v>
      </c>
    </row>
    <row r="4589" spans="1:40" x14ac:dyDescent="0.35">
      <c r="A4589">
        <v>7051090</v>
      </c>
      <c r="B4589" t="s">
        <v>12361</v>
      </c>
      <c r="C4589" t="str">
        <f>"9783030996338"</f>
        <v>9783030996338</v>
      </c>
      <c r="D4589" t="str">
        <f>"9783030996345"</f>
        <v>9783030996345</v>
      </c>
      <c r="E4589" t="s">
        <v>2289</v>
      </c>
      <c r="F4589" t="s">
        <v>2290</v>
      </c>
      <c r="G4589" s="1">
        <v>44799</v>
      </c>
      <c r="H4589" s="1">
        <v>44774</v>
      </c>
      <c r="I4589" t="s">
        <v>189</v>
      </c>
      <c r="K4589" t="s">
        <v>12362</v>
      </c>
      <c r="L4589" t="s">
        <v>12363</v>
      </c>
    </row>
    <row r="4590" spans="1:40" x14ac:dyDescent="0.35">
      <c r="A4590">
        <v>7052062</v>
      </c>
      <c r="B4590" t="s">
        <v>12364</v>
      </c>
      <c r="C4590" t="str">
        <f>"9783031114311"</f>
        <v>9783031114311</v>
      </c>
      <c r="D4590" t="str">
        <f>"9783031114328"</f>
        <v>9783031114328</v>
      </c>
      <c r="E4590" t="s">
        <v>2289</v>
      </c>
      <c r="F4590" t="s">
        <v>2290</v>
      </c>
      <c r="G4590" s="1">
        <v>44769</v>
      </c>
      <c r="H4590" s="1">
        <v>44774</v>
      </c>
      <c r="I4590" t="s">
        <v>189</v>
      </c>
      <c r="K4590" t="s">
        <v>8590</v>
      </c>
      <c r="L4590" t="s">
        <v>12365</v>
      </c>
    </row>
    <row r="4591" spans="1:40" x14ac:dyDescent="0.35">
      <c r="A4591">
        <v>7052080</v>
      </c>
      <c r="B4591" t="s">
        <v>12366</v>
      </c>
      <c r="C4591" t="str">
        <f>"9783030985981"</f>
        <v>9783030985981</v>
      </c>
      <c r="D4591" t="str">
        <f>"9783030985998"</f>
        <v>9783030985998</v>
      </c>
      <c r="E4591" t="s">
        <v>2289</v>
      </c>
      <c r="F4591" t="s">
        <v>2290</v>
      </c>
      <c r="G4591" s="1">
        <v>44769</v>
      </c>
      <c r="H4591" s="1">
        <v>44774</v>
      </c>
      <c r="I4591" t="s">
        <v>189</v>
      </c>
      <c r="L4591" t="s">
        <v>12367</v>
      </c>
    </row>
    <row r="4592" spans="1:40" x14ac:dyDescent="0.35">
      <c r="A4592">
        <v>7052827</v>
      </c>
      <c r="B4592" t="s">
        <v>12368</v>
      </c>
      <c r="C4592" t="str">
        <f>""</f>
        <v/>
      </c>
      <c r="D4592" t="str">
        <f>"9782759235483"</f>
        <v>9782759235483</v>
      </c>
      <c r="E4592" t="s">
        <v>1928</v>
      </c>
      <c r="F4592" t="s">
        <v>1928</v>
      </c>
      <c r="G4592" s="1">
        <v>44742</v>
      </c>
      <c r="H4592" s="1">
        <v>44774</v>
      </c>
      <c r="I4592" t="s">
        <v>189</v>
      </c>
      <c r="K4592" t="s">
        <v>7323</v>
      </c>
      <c r="L4592" t="s">
        <v>12369</v>
      </c>
      <c r="M4592" t="s">
        <v>1728</v>
      </c>
      <c r="Q4592" t="s">
        <v>1827</v>
      </c>
      <c r="R4592" t="s">
        <v>261</v>
      </c>
      <c r="S4592" t="s">
        <v>261</v>
      </c>
      <c r="T4592" t="s">
        <v>261</v>
      </c>
      <c r="U4592" t="s">
        <v>262</v>
      </c>
      <c r="V4592" t="s">
        <v>262</v>
      </c>
      <c r="W4592" t="s">
        <v>261</v>
      </c>
      <c r="X4592" t="s">
        <v>262</v>
      </c>
      <c r="Y4592" t="s">
        <v>261</v>
      </c>
      <c r="Z4592" t="s">
        <v>409</v>
      </c>
      <c r="AA4592" t="s">
        <v>409</v>
      </c>
      <c r="AB4592" t="s">
        <v>409</v>
      </c>
      <c r="AC4592" t="s">
        <v>409</v>
      </c>
      <c r="AD4592" t="s">
        <v>261</v>
      </c>
      <c r="AH4592" t="s">
        <v>262</v>
      </c>
      <c r="AI4592" t="s">
        <v>262</v>
      </c>
      <c r="AJ4592" t="s">
        <v>261</v>
      </c>
      <c r="AK4592" t="s">
        <v>261</v>
      </c>
      <c r="AM4592" t="s">
        <v>262</v>
      </c>
      <c r="AN4592" t="s">
        <v>12370</v>
      </c>
    </row>
    <row r="4593" spans="1:40" x14ac:dyDescent="0.35">
      <c r="A4593">
        <v>7052880</v>
      </c>
      <c r="B4593" t="s">
        <v>12371</v>
      </c>
      <c r="C4593" t="str">
        <f>"9789811667183"</f>
        <v>9789811667183</v>
      </c>
      <c r="D4593" t="str">
        <f>"9789811667190"</f>
        <v>9789811667190</v>
      </c>
      <c r="E4593" t="s">
        <v>2290</v>
      </c>
      <c r="F4593" t="s">
        <v>2290</v>
      </c>
      <c r="G4593" s="1">
        <v>44770</v>
      </c>
      <c r="H4593" s="1">
        <v>44774</v>
      </c>
      <c r="I4593" t="s">
        <v>189</v>
      </c>
      <c r="K4593" t="s">
        <v>12372</v>
      </c>
      <c r="L4593" t="s">
        <v>12373</v>
      </c>
    </row>
    <row r="4594" spans="1:40" x14ac:dyDescent="0.35">
      <c r="A4594">
        <v>7052882</v>
      </c>
      <c r="B4594" t="s">
        <v>12374</v>
      </c>
      <c r="C4594" t="str">
        <f>"9783031044618"</f>
        <v>9783031044618</v>
      </c>
      <c r="D4594" t="str">
        <f>"9783031044625"</f>
        <v>9783031044625</v>
      </c>
      <c r="E4594" t="s">
        <v>2289</v>
      </c>
      <c r="F4594" t="s">
        <v>2290</v>
      </c>
      <c r="G4594" s="1">
        <v>44801</v>
      </c>
      <c r="H4594" s="1">
        <v>44774</v>
      </c>
      <c r="I4594" t="s">
        <v>189</v>
      </c>
      <c r="L4594" t="s">
        <v>12375</v>
      </c>
    </row>
    <row r="4595" spans="1:40" x14ac:dyDescent="0.35">
      <c r="A4595">
        <v>7054365</v>
      </c>
      <c r="B4595" t="s">
        <v>12376</v>
      </c>
      <c r="C4595" t="str">
        <f>""</f>
        <v/>
      </c>
      <c r="D4595" t="str">
        <f>"9782759235766"</f>
        <v>9782759235766</v>
      </c>
      <c r="E4595" t="s">
        <v>1928</v>
      </c>
      <c r="F4595" t="s">
        <v>1928</v>
      </c>
      <c r="G4595" s="1">
        <v>44742</v>
      </c>
      <c r="H4595" s="1">
        <v>44774</v>
      </c>
      <c r="I4595" t="s">
        <v>189</v>
      </c>
      <c r="K4595" t="s">
        <v>2029</v>
      </c>
      <c r="L4595" t="s">
        <v>12377</v>
      </c>
    </row>
    <row r="4596" spans="1:40" x14ac:dyDescent="0.35">
      <c r="A4596">
        <v>7054366</v>
      </c>
      <c r="B4596" t="s">
        <v>12378</v>
      </c>
      <c r="C4596" t="str">
        <f>""</f>
        <v/>
      </c>
      <c r="D4596" t="str">
        <f>"9782759235421"</f>
        <v>9782759235421</v>
      </c>
      <c r="E4596" t="s">
        <v>1928</v>
      </c>
      <c r="F4596" t="s">
        <v>1928</v>
      </c>
      <c r="G4596" s="1">
        <v>44742</v>
      </c>
      <c r="H4596" s="1">
        <v>44774</v>
      </c>
      <c r="I4596" t="s">
        <v>189</v>
      </c>
      <c r="K4596" t="s">
        <v>2029</v>
      </c>
      <c r="L4596" t="s">
        <v>12379</v>
      </c>
    </row>
    <row r="4597" spans="1:40" x14ac:dyDescent="0.35">
      <c r="A4597">
        <v>7054368</v>
      </c>
      <c r="B4597" t="s">
        <v>12380</v>
      </c>
      <c r="C4597" t="str">
        <f>""</f>
        <v/>
      </c>
      <c r="D4597" t="str">
        <f>"9782759234585"</f>
        <v>9782759234585</v>
      </c>
      <c r="E4597" t="s">
        <v>1928</v>
      </c>
      <c r="F4597" t="s">
        <v>1928</v>
      </c>
      <c r="G4597" s="1">
        <v>44721</v>
      </c>
      <c r="H4597" s="1">
        <v>44774</v>
      </c>
      <c r="I4597" t="s">
        <v>189</v>
      </c>
      <c r="K4597" t="s">
        <v>2029</v>
      </c>
      <c r="L4597" t="s">
        <v>12381</v>
      </c>
    </row>
    <row r="4598" spans="1:40" x14ac:dyDescent="0.35">
      <c r="A4598">
        <v>7054369</v>
      </c>
      <c r="B4598" t="s">
        <v>12382</v>
      </c>
      <c r="C4598" t="str">
        <f>""</f>
        <v/>
      </c>
      <c r="D4598" t="str">
        <f>"9782759235155"</f>
        <v>9782759235155</v>
      </c>
      <c r="E4598" t="s">
        <v>1928</v>
      </c>
      <c r="F4598" t="s">
        <v>1928</v>
      </c>
      <c r="G4598" s="1">
        <v>44749</v>
      </c>
      <c r="H4598" s="1">
        <v>44774</v>
      </c>
      <c r="I4598" t="s">
        <v>189</v>
      </c>
      <c r="K4598" t="s">
        <v>7376</v>
      </c>
      <c r="L4598" t="s">
        <v>12383</v>
      </c>
    </row>
    <row r="4599" spans="1:40" x14ac:dyDescent="0.35">
      <c r="A4599">
        <v>7054378</v>
      </c>
      <c r="B4599" t="s">
        <v>12384</v>
      </c>
      <c r="C4599" t="str">
        <f>""</f>
        <v/>
      </c>
      <c r="D4599" t="str">
        <f>"9782759235124"</f>
        <v>9782759235124</v>
      </c>
      <c r="E4599" t="s">
        <v>1928</v>
      </c>
      <c r="F4599" t="s">
        <v>1928</v>
      </c>
      <c r="G4599" s="1">
        <v>44742</v>
      </c>
      <c r="H4599" s="1">
        <v>44774</v>
      </c>
      <c r="I4599" t="s">
        <v>189</v>
      </c>
      <c r="K4599" t="s">
        <v>7376</v>
      </c>
      <c r="L4599" t="s">
        <v>12385</v>
      </c>
    </row>
    <row r="4600" spans="1:40" x14ac:dyDescent="0.35">
      <c r="A4600">
        <v>7054777</v>
      </c>
      <c r="B4600" t="s">
        <v>12386</v>
      </c>
      <c r="C4600" t="str">
        <f>""</f>
        <v/>
      </c>
      <c r="D4600" t="str">
        <f>"9783110765687"</f>
        <v>9783110765687</v>
      </c>
      <c r="E4600" t="s">
        <v>415</v>
      </c>
      <c r="F4600" t="s">
        <v>415</v>
      </c>
      <c r="G4600" s="1">
        <v>44834</v>
      </c>
      <c r="H4600" s="1">
        <v>44791</v>
      </c>
      <c r="I4600" t="s">
        <v>189</v>
      </c>
      <c r="J4600">
        <v>1</v>
      </c>
      <c r="L4600" t="s">
        <v>12387</v>
      </c>
      <c r="M4600" t="s">
        <v>578</v>
      </c>
      <c r="O4600" s="2">
        <v>792094982</v>
      </c>
      <c r="Q4600" t="s">
        <v>260</v>
      </c>
      <c r="R4600" t="s">
        <v>261</v>
      </c>
      <c r="S4600" t="s">
        <v>261</v>
      </c>
      <c r="T4600" t="s">
        <v>261</v>
      </c>
      <c r="U4600" t="s">
        <v>261</v>
      </c>
      <c r="V4600" t="s">
        <v>262</v>
      </c>
      <c r="W4600" t="s">
        <v>261</v>
      </c>
      <c r="X4600" t="s">
        <v>261</v>
      </c>
      <c r="Y4600" t="s">
        <v>261</v>
      </c>
      <c r="Z4600" t="s">
        <v>409</v>
      </c>
      <c r="AA4600" t="s">
        <v>409</v>
      </c>
      <c r="AB4600" t="s">
        <v>409</v>
      </c>
      <c r="AC4600" t="s">
        <v>409</v>
      </c>
      <c r="AD4600" t="s">
        <v>261</v>
      </c>
      <c r="AH4600" t="s">
        <v>262</v>
      </c>
      <c r="AI4600" t="s">
        <v>262</v>
      </c>
      <c r="AJ4600" t="s">
        <v>261</v>
      </c>
      <c r="AK4600" t="s">
        <v>261</v>
      </c>
      <c r="AM4600" t="s">
        <v>262</v>
      </c>
      <c r="AN4600" t="s">
        <v>12388</v>
      </c>
    </row>
    <row r="4601" spans="1:40" x14ac:dyDescent="0.35">
      <c r="A4601">
        <v>7054817</v>
      </c>
      <c r="B4601" t="s">
        <v>12389</v>
      </c>
      <c r="C4601" t="str">
        <f>"9783031041075"</f>
        <v>9783031041075</v>
      </c>
      <c r="D4601" t="str">
        <f>"9783031041082"</f>
        <v>9783031041082</v>
      </c>
      <c r="E4601" t="s">
        <v>2289</v>
      </c>
      <c r="F4601" t="s">
        <v>2290</v>
      </c>
      <c r="G4601" s="1">
        <v>44815</v>
      </c>
      <c r="H4601" s="1">
        <v>44782</v>
      </c>
      <c r="I4601" t="s">
        <v>189</v>
      </c>
      <c r="L4601" t="s">
        <v>12390</v>
      </c>
    </row>
    <row r="4602" spans="1:40" x14ac:dyDescent="0.35">
      <c r="A4602">
        <v>7055680</v>
      </c>
      <c r="B4602" t="s">
        <v>12391</v>
      </c>
      <c r="C4602" t="str">
        <f>"9783658379278"</f>
        <v>9783658379278</v>
      </c>
      <c r="D4602" t="str">
        <f>"9783658379285"</f>
        <v>9783658379285</v>
      </c>
      <c r="E4602" t="s">
        <v>3972</v>
      </c>
      <c r="F4602" t="s">
        <v>3998</v>
      </c>
      <c r="G4602" s="1">
        <v>44774</v>
      </c>
      <c r="H4602" s="1">
        <v>44782</v>
      </c>
      <c r="I4602" t="s">
        <v>189</v>
      </c>
      <c r="L4602" t="s">
        <v>12392</v>
      </c>
      <c r="M4602" t="s">
        <v>323</v>
      </c>
      <c r="N4602" t="s">
        <v>7266</v>
      </c>
      <c r="Q4602" t="s">
        <v>408</v>
      </c>
      <c r="R4602" t="s">
        <v>261</v>
      </c>
      <c r="S4602" t="s">
        <v>261</v>
      </c>
      <c r="T4602" t="s">
        <v>261</v>
      </c>
      <c r="U4602" t="s">
        <v>261</v>
      </c>
      <c r="V4602" t="s">
        <v>262</v>
      </c>
      <c r="W4602" t="s">
        <v>261</v>
      </c>
      <c r="X4602" t="s">
        <v>261</v>
      </c>
      <c r="Y4602" t="s">
        <v>261</v>
      </c>
      <c r="Z4602" t="s">
        <v>409</v>
      </c>
      <c r="AA4602" t="s">
        <v>409</v>
      </c>
      <c r="AB4602" t="s">
        <v>409</v>
      </c>
      <c r="AC4602" t="s">
        <v>409</v>
      </c>
      <c r="AD4602" t="s">
        <v>261</v>
      </c>
      <c r="AH4602" t="s">
        <v>262</v>
      </c>
      <c r="AI4602" t="s">
        <v>262</v>
      </c>
      <c r="AJ4602" t="s">
        <v>261</v>
      </c>
      <c r="AK4602" t="s">
        <v>261</v>
      </c>
      <c r="AM4602" t="s">
        <v>262</v>
      </c>
      <c r="AN4602" t="s">
        <v>12393</v>
      </c>
    </row>
    <row r="4603" spans="1:40" x14ac:dyDescent="0.35">
      <c r="A4603">
        <v>7055683</v>
      </c>
      <c r="B4603" t="s">
        <v>12394</v>
      </c>
      <c r="C4603" t="str">
        <f>"9783658388041"</f>
        <v>9783658388041</v>
      </c>
      <c r="D4603" t="str">
        <f>"9783658388058"</f>
        <v>9783658388058</v>
      </c>
      <c r="E4603" t="s">
        <v>3972</v>
      </c>
      <c r="F4603" t="s">
        <v>3998</v>
      </c>
      <c r="G4603" s="1">
        <v>44820</v>
      </c>
      <c r="H4603" s="1">
        <v>44782</v>
      </c>
      <c r="I4603" t="s">
        <v>189</v>
      </c>
      <c r="K4603" t="s">
        <v>12395</v>
      </c>
      <c r="L4603" t="s">
        <v>12396</v>
      </c>
      <c r="M4603" t="s">
        <v>210</v>
      </c>
      <c r="N4603" t="s">
        <v>12397</v>
      </c>
      <c r="Q4603" t="s">
        <v>408</v>
      </c>
      <c r="R4603" t="s">
        <v>261</v>
      </c>
      <c r="S4603" t="s">
        <v>261</v>
      </c>
      <c r="T4603" t="s">
        <v>261</v>
      </c>
      <c r="U4603" t="s">
        <v>261</v>
      </c>
      <c r="V4603" t="s">
        <v>262</v>
      </c>
      <c r="W4603" t="s">
        <v>261</v>
      </c>
      <c r="X4603" t="s">
        <v>261</v>
      </c>
      <c r="Y4603" t="s">
        <v>261</v>
      </c>
      <c r="Z4603" t="s">
        <v>409</v>
      </c>
      <c r="AA4603" t="s">
        <v>409</v>
      </c>
      <c r="AB4603" t="s">
        <v>409</v>
      </c>
      <c r="AC4603" t="s">
        <v>409</v>
      </c>
      <c r="AD4603" t="s">
        <v>261</v>
      </c>
      <c r="AH4603" t="s">
        <v>262</v>
      </c>
      <c r="AI4603" t="s">
        <v>262</v>
      </c>
      <c r="AJ4603" t="s">
        <v>261</v>
      </c>
      <c r="AK4603" t="s">
        <v>261</v>
      </c>
      <c r="AM4603" t="s">
        <v>262</v>
      </c>
      <c r="AN4603" t="s">
        <v>12398</v>
      </c>
    </row>
    <row r="4604" spans="1:40" x14ac:dyDescent="0.35">
      <c r="A4604">
        <v>7055689</v>
      </c>
      <c r="B4604" t="s">
        <v>12399</v>
      </c>
      <c r="C4604" t="str">
        <f>"9783658384555"</f>
        <v>9783658384555</v>
      </c>
      <c r="D4604" t="str">
        <f>"9783658384562"</f>
        <v>9783658384562</v>
      </c>
      <c r="E4604" t="s">
        <v>3972</v>
      </c>
      <c r="F4604" t="s">
        <v>3998</v>
      </c>
      <c r="G4604" s="1">
        <v>44816</v>
      </c>
      <c r="H4604" s="1">
        <v>44782</v>
      </c>
      <c r="I4604" t="s">
        <v>189</v>
      </c>
      <c r="K4604" t="s">
        <v>12400</v>
      </c>
      <c r="L4604" t="s">
        <v>12401</v>
      </c>
      <c r="M4604" t="s">
        <v>210</v>
      </c>
      <c r="N4604" t="s">
        <v>9535</v>
      </c>
      <c r="Q4604" t="s">
        <v>408</v>
      </c>
      <c r="R4604" t="s">
        <v>261</v>
      </c>
      <c r="S4604" t="s">
        <v>261</v>
      </c>
      <c r="T4604" t="s">
        <v>261</v>
      </c>
      <c r="U4604" t="s">
        <v>261</v>
      </c>
      <c r="V4604" t="s">
        <v>262</v>
      </c>
      <c r="W4604" t="s">
        <v>261</v>
      </c>
      <c r="X4604" t="s">
        <v>261</v>
      </c>
      <c r="Y4604" t="s">
        <v>261</v>
      </c>
      <c r="Z4604" t="s">
        <v>409</v>
      </c>
      <c r="AA4604" t="s">
        <v>409</v>
      </c>
      <c r="AB4604" t="s">
        <v>409</v>
      </c>
      <c r="AC4604" t="s">
        <v>409</v>
      </c>
      <c r="AD4604" t="s">
        <v>261</v>
      </c>
      <c r="AH4604" t="s">
        <v>262</v>
      </c>
      <c r="AI4604" t="s">
        <v>262</v>
      </c>
      <c r="AJ4604" t="s">
        <v>261</v>
      </c>
      <c r="AK4604" t="s">
        <v>261</v>
      </c>
      <c r="AM4604" t="s">
        <v>262</v>
      </c>
      <c r="AN4604" t="s">
        <v>12402</v>
      </c>
    </row>
    <row r="4605" spans="1:40" x14ac:dyDescent="0.35">
      <c r="A4605">
        <v>7055695</v>
      </c>
      <c r="B4605" t="s">
        <v>12403</v>
      </c>
      <c r="C4605" t="str">
        <f>"9783031107689"</f>
        <v>9783031107689</v>
      </c>
      <c r="D4605" t="str">
        <f>"9783031107696"</f>
        <v>9783031107696</v>
      </c>
      <c r="E4605" t="s">
        <v>2289</v>
      </c>
      <c r="F4605" t="s">
        <v>2290</v>
      </c>
      <c r="G4605" s="1">
        <v>44759</v>
      </c>
      <c r="H4605" s="1">
        <v>44782</v>
      </c>
      <c r="I4605" t="s">
        <v>189</v>
      </c>
      <c r="K4605" t="s">
        <v>4008</v>
      </c>
      <c r="L4605" t="s">
        <v>12404</v>
      </c>
    </row>
    <row r="4606" spans="1:40" x14ac:dyDescent="0.35">
      <c r="A4606">
        <v>7068732</v>
      </c>
      <c r="B4606" t="s">
        <v>12405</v>
      </c>
      <c r="C4606" t="str">
        <f>"9783658349691"</f>
        <v>9783658349691</v>
      </c>
      <c r="D4606" t="str">
        <f>"9783658349707"</f>
        <v>9783658349707</v>
      </c>
      <c r="E4606" t="s">
        <v>3972</v>
      </c>
      <c r="F4606" t="s">
        <v>3998</v>
      </c>
      <c r="G4606" s="1">
        <v>44775</v>
      </c>
      <c r="H4606" s="1">
        <v>44782</v>
      </c>
      <c r="I4606" t="s">
        <v>189</v>
      </c>
      <c r="L4606" t="s">
        <v>12406</v>
      </c>
    </row>
    <row r="4607" spans="1:40" x14ac:dyDescent="0.35">
      <c r="A4607">
        <v>7069232</v>
      </c>
      <c r="B4607" t="s">
        <v>12407</v>
      </c>
      <c r="C4607" t="str">
        <f>"9783031104466"</f>
        <v>9783031104466</v>
      </c>
      <c r="D4607" t="str">
        <f>"9783031104473"</f>
        <v>9783031104473</v>
      </c>
      <c r="E4607" t="s">
        <v>2289</v>
      </c>
      <c r="F4607" t="s">
        <v>2290</v>
      </c>
      <c r="G4607" s="1">
        <v>44776</v>
      </c>
      <c r="H4607" s="1">
        <v>44782</v>
      </c>
      <c r="I4607" t="s">
        <v>189</v>
      </c>
      <c r="K4607" t="s">
        <v>12408</v>
      </c>
      <c r="L4607" t="s">
        <v>12409</v>
      </c>
    </row>
    <row r="4608" spans="1:40" x14ac:dyDescent="0.35">
      <c r="A4608">
        <v>7070165</v>
      </c>
      <c r="B4608" t="s">
        <v>12410</v>
      </c>
      <c r="C4608" t="str">
        <f>"9783031131875"</f>
        <v>9783031131875</v>
      </c>
      <c r="D4608" t="str">
        <f>"9783031131882"</f>
        <v>9783031131882</v>
      </c>
      <c r="E4608" t="s">
        <v>2289</v>
      </c>
      <c r="F4608" t="s">
        <v>2290</v>
      </c>
      <c r="G4608" s="1">
        <v>44822</v>
      </c>
      <c r="H4608" s="1">
        <v>44782</v>
      </c>
      <c r="I4608" t="s">
        <v>189</v>
      </c>
      <c r="K4608" t="s">
        <v>4008</v>
      </c>
      <c r="L4608" t="s">
        <v>12411</v>
      </c>
    </row>
    <row r="4609" spans="1:40" x14ac:dyDescent="0.35">
      <c r="A4609">
        <v>7070212</v>
      </c>
      <c r="B4609" t="s">
        <v>12412</v>
      </c>
      <c r="C4609" t="str">
        <f>"9783658384364"</f>
        <v>9783658384364</v>
      </c>
      <c r="D4609" t="str">
        <f>"9783658384371"</f>
        <v>9783658384371</v>
      </c>
      <c r="E4609" t="s">
        <v>3972</v>
      </c>
      <c r="F4609" t="s">
        <v>3972</v>
      </c>
      <c r="G4609" s="1">
        <v>44817</v>
      </c>
      <c r="H4609" s="1">
        <v>44799</v>
      </c>
      <c r="I4609" t="s">
        <v>189</v>
      </c>
      <c r="L4609" t="s">
        <v>12413</v>
      </c>
      <c r="M4609" t="s">
        <v>847</v>
      </c>
    </row>
    <row r="4610" spans="1:40" x14ac:dyDescent="0.35">
      <c r="A4610">
        <v>7070218</v>
      </c>
      <c r="B4610" t="s">
        <v>12414</v>
      </c>
      <c r="C4610" t="str">
        <f>"9783031131844"</f>
        <v>9783031131844</v>
      </c>
      <c r="D4610" t="str">
        <f>"9783031131851"</f>
        <v>9783031131851</v>
      </c>
      <c r="E4610" t="s">
        <v>2289</v>
      </c>
      <c r="F4610" t="s">
        <v>2290</v>
      </c>
      <c r="G4610" s="1">
        <v>44781</v>
      </c>
      <c r="H4610" s="1">
        <v>44799</v>
      </c>
      <c r="I4610" t="s">
        <v>189</v>
      </c>
      <c r="K4610" t="s">
        <v>4008</v>
      </c>
      <c r="L4610" t="s">
        <v>12411</v>
      </c>
    </row>
    <row r="4611" spans="1:40" x14ac:dyDescent="0.35">
      <c r="A4611">
        <v>7070239</v>
      </c>
      <c r="B4611" t="s">
        <v>12415</v>
      </c>
      <c r="C4611" t="str">
        <f>""</f>
        <v/>
      </c>
      <c r="D4611" t="str">
        <f>"9783110786675"</f>
        <v>9783110786675</v>
      </c>
      <c r="E4611" t="s">
        <v>346</v>
      </c>
      <c r="F4611" t="s">
        <v>2637</v>
      </c>
      <c r="G4611" s="1">
        <v>44795</v>
      </c>
      <c r="H4611" s="1">
        <v>44799</v>
      </c>
      <c r="I4611" t="s">
        <v>189</v>
      </c>
      <c r="J4611">
        <v>2</v>
      </c>
      <c r="K4611" t="s">
        <v>3910</v>
      </c>
      <c r="L4611" t="s">
        <v>12416</v>
      </c>
      <c r="M4611" t="s">
        <v>2413</v>
      </c>
    </row>
    <row r="4612" spans="1:40" x14ac:dyDescent="0.35">
      <c r="A4612">
        <v>7070249</v>
      </c>
      <c r="B4612" t="s">
        <v>12417</v>
      </c>
      <c r="C4612" t="str">
        <f>""</f>
        <v/>
      </c>
      <c r="D4612" t="str">
        <f>"9783110643060"</f>
        <v>9783110643060</v>
      </c>
      <c r="E4612" t="s">
        <v>415</v>
      </c>
      <c r="F4612" t="s">
        <v>415</v>
      </c>
      <c r="G4612" s="1">
        <v>44810</v>
      </c>
      <c r="H4612" s="1">
        <v>44799</v>
      </c>
      <c r="I4612" t="s">
        <v>189</v>
      </c>
      <c r="J4612">
        <v>1</v>
      </c>
      <c r="K4612" t="s">
        <v>12418</v>
      </c>
      <c r="L4612" t="s">
        <v>12419</v>
      </c>
    </row>
    <row r="4613" spans="1:40" x14ac:dyDescent="0.35">
      <c r="A4613">
        <v>7070254</v>
      </c>
      <c r="B4613" t="s">
        <v>12420</v>
      </c>
      <c r="C4613" t="str">
        <f>""</f>
        <v/>
      </c>
      <c r="D4613" t="str">
        <f>"9783110788075"</f>
        <v>9783110788075</v>
      </c>
      <c r="E4613" t="s">
        <v>415</v>
      </c>
      <c r="F4613" t="s">
        <v>415</v>
      </c>
      <c r="G4613" s="1">
        <v>44774</v>
      </c>
      <c r="H4613" s="1">
        <v>44799</v>
      </c>
      <c r="I4613" t="s">
        <v>189</v>
      </c>
      <c r="J4613">
        <v>1</v>
      </c>
      <c r="K4613" t="s">
        <v>10793</v>
      </c>
      <c r="L4613" t="s">
        <v>131</v>
      </c>
      <c r="M4613" t="s">
        <v>578</v>
      </c>
    </row>
    <row r="4614" spans="1:40" x14ac:dyDescent="0.35">
      <c r="A4614">
        <v>7070269</v>
      </c>
      <c r="B4614" t="s">
        <v>12421</v>
      </c>
      <c r="C4614" t="str">
        <f>""</f>
        <v/>
      </c>
      <c r="D4614" t="str">
        <f>"9783110698510"</f>
        <v>9783110698510</v>
      </c>
      <c r="E4614" t="s">
        <v>415</v>
      </c>
      <c r="F4614" t="s">
        <v>415</v>
      </c>
      <c r="G4614" s="1">
        <v>44795</v>
      </c>
      <c r="H4614" s="1">
        <v>44799</v>
      </c>
      <c r="I4614" t="s">
        <v>189</v>
      </c>
      <c r="J4614">
        <v>1</v>
      </c>
      <c r="L4614" t="s">
        <v>12422</v>
      </c>
    </row>
    <row r="4615" spans="1:40" x14ac:dyDescent="0.35">
      <c r="A4615">
        <v>7070276</v>
      </c>
      <c r="B4615" t="s">
        <v>12423</v>
      </c>
      <c r="C4615" t="str">
        <f>""</f>
        <v/>
      </c>
      <c r="D4615" t="str">
        <f>"9783110750812"</f>
        <v>9783110750812</v>
      </c>
      <c r="E4615" t="s">
        <v>415</v>
      </c>
      <c r="F4615" t="s">
        <v>665</v>
      </c>
      <c r="G4615" s="1">
        <v>44795</v>
      </c>
      <c r="H4615" s="1">
        <v>44799</v>
      </c>
      <c r="I4615" t="s">
        <v>189</v>
      </c>
      <c r="J4615">
        <v>1</v>
      </c>
      <c r="L4615" t="s">
        <v>12424</v>
      </c>
    </row>
    <row r="4616" spans="1:40" x14ac:dyDescent="0.35">
      <c r="A4616">
        <v>7070277</v>
      </c>
      <c r="B4616" t="s">
        <v>12425</v>
      </c>
      <c r="C4616" t="str">
        <f>""</f>
        <v/>
      </c>
      <c r="D4616" t="str">
        <f>"9783110719444"</f>
        <v>9783110719444</v>
      </c>
      <c r="E4616" t="s">
        <v>415</v>
      </c>
      <c r="F4616" t="s">
        <v>415</v>
      </c>
      <c r="G4616" s="1">
        <v>44795</v>
      </c>
      <c r="H4616" s="1">
        <v>44799</v>
      </c>
      <c r="I4616" t="s">
        <v>189</v>
      </c>
      <c r="J4616">
        <v>1</v>
      </c>
      <c r="K4616" t="s">
        <v>6716</v>
      </c>
      <c r="L4616" t="s">
        <v>12426</v>
      </c>
      <c r="M4616" t="s">
        <v>219</v>
      </c>
      <c r="Q4616" t="s">
        <v>408</v>
      </c>
      <c r="R4616" t="s">
        <v>261</v>
      </c>
      <c r="S4616" t="s">
        <v>261</v>
      </c>
      <c r="T4616" t="s">
        <v>261</v>
      </c>
      <c r="U4616" t="s">
        <v>261</v>
      </c>
      <c r="V4616" t="s">
        <v>262</v>
      </c>
      <c r="W4616" t="s">
        <v>261</v>
      </c>
      <c r="X4616" t="s">
        <v>261</v>
      </c>
      <c r="Y4616" t="s">
        <v>261</v>
      </c>
      <c r="Z4616" t="s">
        <v>409</v>
      </c>
      <c r="AA4616" t="s">
        <v>409</v>
      </c>
      <c r="AB4616" t="s">
        <v>409</v>
      </c>
      <c r="AC4616" t="s">
        <v>409</v>
      </c>
      <c r="AD4616" t="s">
        <v>261</v>
      </c>
      <c r="AH4616" t="s">
        <v>262</v>
      </c>
      <c r="AI4616" t="s">
        <v>262</v>
      </c>
      <c r="AJ4616" t="s">
        <v>261</v>
      </c>
      <c r="AK4616" t="s">
        <v>261</v>
      </c>
      <c r="AM4616" t="s">
        <v>262</v>
      </c>
      <c r="AN4616" t="s">
        <v>12427</v>
      </c>
    </row>
    <row r="4617" spans="1:40" x14ac:dyDescent="0.35">
      <c r="A4617">
        <v>7070278</v>
      </c>
      <c r="B4617" t="s">
        <v>12428</v>
      </c>
      <c r="C4617" t="str">
        <f>""</f>
        <v/>
      </c>
      <c r="D4617" t="str">
        <f>"9783110784695"</f>
        <v>9783110784695</v>
      </c>
      <c r="E4617" t="s">
        <v>415</v>
      </c>
      <c r="F4617" t="s">
        <v>415</v>
      </c>
      <c r="G4617" s="1">
        <v>44795</v>
      </c>
      <c r="H4617" s="1">
        <v>44799</v>
      </c>
      <c r="I4617" t="s">
        <v>189</v>
      </c>
      <c r="J4617">
        <v>1</v>
      </c>
      <c r="K4617" t="s">
        <v>6679</v>
      </c>
      <c r="L4617" t="s">
        <v>12429</v>
      </c>
      <c r="M4617" t="s">
        <v>676</v>
      </c>
      <c r="O4617" t="s">
        <v>12430</v>
      </c>
      <c r="Q4617" t="s">
        <v>260</v>
      </c>
      <c r="R4617" t="s">
        <v>261</v>
      </c>
      <c r="S4617" t="s">
        <v>261</v>
      </c>
      <c r="T4617" t="s">
        <v>261</v>
      </c>
      <c r="U4617" t="s">
        <v>261</v>
      </c>
      <c r="V4617" t="s">
        <v>262</v>
      </c>
      <c r="W4617" t="s">
        <v>261</v>
      </c>
      <c r="X4617" t="s">
        <v>261</v>
      </c>
      <c r="Y4617" t="s">
        <v>261</v>
      </c>
      <c r="Z4617" t="s">
        <v>409</v>
      </c>
      <c r="AA4617" t="s">
        <v>409</v>
      </c>
      <c r="AB4617" t="s">
        <v>409</v>
      </c>
      <c r="AC4617" t="s">
        <v>409</v>
      </c>
      <c r="AD4617" t="s">
        <v>261</v>
      </c>
      <c r="AH4617" t="s">
        <v>262</v>
      </c>
      <c r="AI4617" t="s">
        <v>262</v>
      </c>
      <c r="AJ4617" t="s">
        <v>261</v>
      </c>
      <c r="AK4617" t="s">
        <v>261</v>
      </c>
      <c r="AM4617" t="s">
        <v>262</v>
      </c>
      <c r="AN4617" t="s">
        <v>12431</v>
      </c>
    </row>
    <row r="4618" spans="1:40" x14ac:dyDescent="0.35">
      <c r="A4618">
        <v>7070279</v>
      </c>
      <c r="B4618" t="s">
        <v>12432</v>
      </c>
      <c r="C4618" t="str">
        <f>""</f>
        <v/>
      </c>
      <c r="D4618" t="str">
        <f>"9783110732009"</f>
        <v>9783110732009</v>
      </c>
      <c r="E4618" t="s">
        <v>415</v>
      </c>
      <c r="F4618" t="s">
        <v>416</v>
      </c>
      <c r="G4618" s="1">
        <v>44795</v>
      </c>
      <c r="H4618" s="1">
        <v>44799</v>
      </c>
      <c r="I4618" t="s">
        <v>189</v>
      </c>
      <c r="J4618">
        <v>1</v>
      </c>
      <c r="K4618" t="s">
        <v>347</v>
      </c>
      <c r="L4618" t="s">
        <v>12433</v>
      </c>
    </row>
    <row r="4619" spans="1:40" x14ac:dyDescent="0.35">
      <c r="A4619">
        <v>7070285</v>
      </c>
      <c r="B4619" t="s">
        <v>12434</v>
      </c>
      <c r="C4619" t="str">
        <f>""</f>
        <v/>
      </c>
      <c r="D4619" t="str">
        <f>"9783110782189"</f>
        <v>9783110782189</v>
      </c>
      <c r="E4619" t="s">
        <v>415</v>
      </c>
      <c r="F4619" t="s">
        <v>665</v>
      </c>
      <c r="G4619" s="1">
        <v>44795</v>
      </c>
      <c r="H4619" s="1">
        <v>44799</v>
      </c>
      <c r="I4619" t="s">
        <v>189</v>
      </c>
      <c r="J4619">
        <v>1</v>
      </c>
      <c r="L4619" t="s">
        <v>12435</v>
      </c>
      <c r="M4619" t="s">
        <v>239</v>
      </c>
      <c r="O4619" t="s">
        <v>12436</v>
      </c>
      <c r="Q4619" t="s">
        <v>408</v>
      </c>
      <c r="R4619" t="s">
        <v>261</v>
      </c>
      <c r="S4619" t="s">
        <v>261</v>
      </c>
      <c r="T4619" t="s">
        <v>261</v>
      </c>
      <c r="U4619" t="s">
        <v>261</v>
      </c>
      <c r="V4619" t="s">
        <v>262</v>
      </c>
      <c r="W4619" t="s">
        <v>261</v>
      </c>
      <c r="X4619" t="s">
        <v>261</v>
      </c>
      <c r="Y4619" t="s">
        <v>261</v>
      </c>
      <c r="Z4619" t="s">
        <v>409</v>
      </c>
      <c r="AA4619" t="s">
        <v>409</v>
      </c>
      <c r="AB4619" t="s">
        <v>409</v>
      </c>
      <c r="AC4619" t="s">
        <v>409</v>
      </c>
      <c r="AD4619" t="s">
        <v>261</v>
      </c>
      <c r="AH4619" t="s">
        <v>262</v>
      </c>
      <c r="AI4619" t="s">
        <v>262</v>
      </c>
      <c r="AJ4619" t="s">
        <v>261</v>
      </c>
      <c r="AK4619" t="s">
        <v>261</v>
      </c>
      <c r="AM4619" t="s">
        <v>262</v>
      </c>
      <c r="AN4619" t="s">
        <v>12437</v>
      </c>
    </row>
    <row r="4620" spans="1:40" x14ac:dyDescent="0.35">
      <c r="A4620">
        <v>7070288</v>
      </c>
      <c r="B4620" t="s">
        <v>12438</v>
      </c>
      <c r="C4620" t="str">
        <f>""</f>
        <v/>
      </c>
      <c r="D4620" t="str">
        <f>"9783110758870"</f>
        <v>9783110758870</v>
      </c>
      <c r="E4620" t="s">
        <v>415</v>
      </c>
      <c r="F4620" t="s">
        <v>415</v>
      </c>
      <c r="G4620" s="1">
        <v>44795</v>
      </c>
      <c r="H4620" s="1">
        <v>44799</v>
      </c>
      <c r="I4620" t="s">
        <v>189</v>
      </c>
      <c r="J4620">
        <v>1</v>
      </c>
      <c r="K4620" t="s">
        <v>12439</v>
      </c>
      <c r="L4620" t="s">
        <v>12440</v>
      </c>
      <c r="M4620" t="s">
        <v>389</v>
      </c>
      <c r="O4620" t="s">
        <v>12441</v>
      </c>
      <c r="Q4620" t="s">
        <v>260</v>
      </c>
      <c r="R4620" t="s">
        <v>261</v>
      </c>
      <c r="S4620" t="s">
        <v>261</v>
      </c>
      <c r="T4620" t="s">
        <v>261</v>
      </c>
      <c r="U4620" t="s">
        <v>261</v>
      </c>
      <c r="V4620" t="s">
        <v>262</v>
      </c>
      <c r="W4620" t="s">
        <v>261</v>
      </c>
      <c r="X4620" t="s">
        <v>261</v>
      </c>
      <c r="Y4620" t="s">
        <v>261</v>
      </c>
      <c r="Z4620" t="s">
        <v>409</v>
      </c>
      <c r="AA4620" t="s">
        <v>409</v>
      </c>
      <c r="AB4620" t="s">
        <v>409</v>
      </c>
      <c r="AC4620" t="s">
        <v>409</v>
      </c>
      <c r="AD4620" t="s">
        <v>261</v>
      </c>
      <c r="AH4620" t="s">
        <v>262</v>
      </c>
      <c r="AI4620" t="s">
        <v>262</v>
      </c>
      <c r="AJ4620" t="s">
        <v>261</v>
      </c>
      <c r="AK4620" t="s">
        <v>261</v>
      </c>
      <c r="AM4620" t="s">
        <v>262</v>
      </c>
      <c r="AN4620" t="s">
        <v>12442</v>
      </c>
    </row>
    <row r="4621" spans="1:40" x14ac:dyDescent="0.35">
      <c r="A4621">
        <v>7070289</v>
      </c>
      <c r="B4621" t="s">
        <v>12443</v>
      </c>
      <c r="C4621" t="str">
        <f>""</f>
        <v/>
      </c>
      <c r="D4621" t="str">
        <f>"9783110729221"</f>
        <v>9783110729221</v>
      </c>
      <c r="E4621" t="s">
        <v>415</v>
      </c>
      <c r="F4621" t="s">
        <v>416</v>
      </c>
      <c r="G4621" s="1">
        <v>44795</v>
      </c>
      <c r="H4621" s="1">
        <v>44799</v>
      </c>
      <c r="I4621" t="s">
        <v>189</v>
      </c>
      <c r="J4621">
        <v>1</v>
      </c>
      <c r="K4621" t="s">
        <v>11209</v>
      </c>
      <c r="L4621" t="s">
        <v>11210</v>
      </c>
    </row>
    <row r="4622" spans="1:40" x14ac:dyDescent="0.35">
      <c r="A4622">
        <v>7070988</v>
      </c>
      <c r="B4622" t="s">
        <v>12444</v>
      </c>
      <c r="C4622" t="str">
        <f>"9783031017902"</f>
        <v>9783031017902</v>
      </c>
      <c r="D4622" t="str">
        <f>"9783031017919"</f>
        <v>9783031017919</v>
      </c>
      <c r="E4622" t="s">
        <v>2289</v>
      </c>
      <c r="F4622" t="s">
        <v>2290</v>
      </c>
      <c r="G4622" s="1">
        <v>44840</v>
      </c>
      <c r="H4622" s="1">
        <v>44817</v>
      </c>
      <c r="I4622" t="s">
        <v>189</v>
      </c>
      <c r="L4622" t="s">
        <v>12445</v>
      </c>
      <c r="M4622" t="s">
        <v>316</v>
      </c>
      <c r="N4622" t="s">
        <v>12446</v>
      </c>
      <c r="Q4622" t="s">
        <v>260</v>
      </c>
      <c r="R4622" t="s">
        <v>261</v>
      </c>
      <c r="S4622" t="s">
        <v>261</v>
      </c>
      <c r="T4622" t="s">
        <v>261</v>
      </c>
      <c r="U4622" t="s">
        <v>261</v>
      </c>
      <c r="V4622" t="s">
        <v>262</v>
      </c>
      <c r="W4622" t="s">
        <v>261</v>
      </c>
      <c r="X4622" t="s">
        <v>261</v>
      </c>
      <c r="Y4622" t="s">
        <v>261</v>
      </c>
      <c r="Z4622" t="s">
        <v>409</v>
      </c>
      <c r="AA4622" t="s">
        <v>409</v>
      </c>
      <c r="AB4622" t="s">
        <v>409</v>
      </c>
      <c r="AC4622" t="s">
        <v>409</v>
      </c>
      <c r="AD4622" t="s">
        <v>261</v>
      </c>
      <c r="AH4622" t="s">
        <v>262</v>
      </c>
      <c r="AI4622" t="s">
        <v>262</v>
      </c>
      <c r="AJ4622" t="s">
        <v>261</v>
      </c>
      <c r="AK4622" t="s">
        <v>261</v>
      </c>
      <c r="AM4622" t="s">
        <v>262</v>
      </c>
      <c r="AN4622" t="s">
        <v>12447</v>
      </c>
    </row>
    <row r="4623" spans="1:40" x14ac:dyDescent="0.35">
      <c r="A4623">
        <v>7070996</v>
      </c>
      <c r="B4623" t="s">
        <v>12448</v>
      </c>
      <c r="C4623" t="str">
        <f>"9783030978327"</f>
        <v>9783030978327</v>
      </c>
      <c r="D4623" t="str">
        <f>"9783030978334"</f>
        <v>9783030978334</v>
      </c>
      <c r="E4623" t="s">
        <v>2289</v>
      </c>
      <c r="F4623" t="s">
        <v>3635</v>
      </c>
      <c r="G4623" s="1">
        <v>44812</v>
      </c>
      <c r="H4623" s="1">
        <v>44817</v>
      </c>
      <c r="I4623" t="s">
        <v>189</v>
      </c>
      <c r="K4623" t="s">
        <v>12449</v>
      </c>
      <c r="L4623" t="s">
        <v>12450</v>
      </c>
    </row>
    <row r="4624" spans="1:40" x14ac:dyDescent="0.35">
      <c r="A4624">
        <v>7072353</v>
      </c>
      <c r="B4624" t="s">
        <v>12451</v>
      </c>
      <c r="C4624" t="str">
        <f>"9789811920714"</f>
        <v>9789811920714</v>
      </c>
      <c r="D4624" t="str">
        <f>"9789811920721"</f>
        <v>9789811920721</v>
      </c>
      <c r="E4624" t="s">
        <v>2290</v>
      </c>
      <c r="F4624" t="s">
        <v>2290</v>
      </c>
      <c r="G4624" s="1">
        <v>44783</v>
      </c>
      <c r="H4624" s="1">
        <v>44799</v>
      </c>
      <c r="I4624" t="s">
        <v>189</v>
      </c>
      <c r="K4624" t="s">
        <v>12452</v>
      </c>
      <c r="L4624" t="s">
        <v>12453</v>
      </c>
    </row>
    <row r="4625" spans="1:40" x14ac:dyDescent="0.35">
      <c r="A4625">
        <v>7072361</v>
      </c>
      <c r="B4625" t="s">
        <v>12454</v>
      </c>
      <c r="C4625" t="str">
        <f>"9783030991760"</f>
        <v>9783030991760</v>
      </c>
      <c r="D4625" t="str">
        <f>"9783030991777"</f>
        <v>9783030991777</v>
      </c>
      <c r="E4625" t="s">
        <v>2289</v>
      </c>
      <c r="F4625" t="s">
        <v>2290</v>
      </c>
      <c r="G4625" s="1">
        <v>44783</v>
      </c>
      <c r="H4625" s="1">
        <v>44799</v>
      </c>
      <c r="I4625" t="s">
        <v>189</v>
      </c>
      <c r="L4625" t="s">
        <v>12455</v>
      </c>
      <c r="M4625" t="s">
        <v>535</v>
      </c>
    </row>
    <row r="4626" spans="1:40" x14ac:dyDescent="0.35">
      <c r="A4626">
        <v>7072640</v>
      </c>
      <c r="B4626" t="s">
        <v>12456</v>
      </c>
      <c r="C4626" t="str">
        <f>"9780472075621"</f>
        <v>9780472075621</v>
      </c>
      <c r="D4626" t="str">
        <f>"9780472902989"</f>
        <v>9780472902989</v>
      </c>
      <c r="E4626" t="s">
        <v>2090</v>
      </c>
      <c r="F4626" t="s">
        <v>2090</v>
      </c>
      <c r="G4626" s="1">
        <v>44925</v>
      </c>
      <c r="H4626" s="1">
        <v>44799</v>
      </c>
      <c r="I4626" t="s">
        <v>189</v>
      </c>
      <c r="L4626" t="s">
        <v>12457</v>
      </c>
      <c r="M4626" t="s">
        <v>210</v>
      </c>
      <c r="Q4626" t="s">
        <v>260</v>
      </c>
      <c r="R4626" t="s">
        <v>261</v>
      </c>
      <c r="S4626" t="s">
        <v>261</v>
      </c>
      <c r="T4626" t="s">
        <v>261</v>
      </c>
      <c r="U4626" t="s">
        <v>261</v>
      </c>
      <c r="V4626" t="s">
        <v>262</v>
      </c>
      <c r="W4626" t="s">
        <v>261</v>
      </c>
      <c r="X4626" t="s">
        <v>261</v>
      </c>
      <c r="Y4626" t="s">
        <v>261</v>
      </c>
      <c r="AA4626" t="s">
        <v>409</v>
      </c>
      <c r="AB4626" t="s">
        <v>409</v>
      </c>
      <c r="AC4626" t="s">
        <v>409</v>
      </c>
      <c r="AD4626" t="s">
        <v>261</v>
      </c>
      <c r="AH4626" t="s">
        <v>262</v>
      </c>
      <c r="AI4626" t="s">
        <v>262</v>
      </c>
      <c r="AJ4626" t="s">
        <v>261</v>
      </c>
      <c r="AK4626" t="s">
        <v>261</v>
      </c>
      <c r="AM4626" t="s">
        <v>262</v>
      </c>
      <c r="AN4626" t="s">
        <v>12458</v>
      </c>
    </row>
    <row r="4627" spans="1:40" x14ac:dyDescent="0.35">
      <c r="A4627">
        <v>7072641</v>
      </c>
      <c r="B4627" t="s">
        <v>12459</v>
      </c>
      <c r="C4627" t="str">
        <f>"9780472055586"</f>
        <v>9780472055586</v>
      </c>
      <c r="D4627" t="str">
        <f>"9780472902958"</f>
        <v>9780472902958</v>
      </c>
      <c r="E4627" t="s">
        <v>2090</v>
      </c>
      <c r="F4627" t="s">
        <v>2090</v>
      </c>
      <c r="G4627" s="1">
        <v>44812</v>
      </c>
      <c r="H4627" s="1">
        <v>44799</v>
      </c>
      <c r="I4627" t="s">
        <v>189</v>
      </c>
      <c r="L4627" t="s">
        <v>12460</v>
      </c>
      <c r="M4627" t="s">
        <v>578</v>
      </c>
      <c r="Q4627" t="s">
        <v>260</v>
      </c>
      <c r="R4627" t="s">
        <v>261</v>
      </c>
      <c r="S4627" t="s">
        <v>261</v>
      </c>
      <c r="T4627" t="s">
        <v>261</v>
      </c>
      <c r="U4627" t="s">
        <v>261</v>
      </c>
      <c r="V4627" t="s">
        <v>262</v>
      </c>
      <c r="W4627" t="s">
        <v>261</v>
      </c>
      <c r="X4627" t="s">
        <v>261</v>
      </c>
      <c r="Y4627" t="s">
        <v>261</v>
      </c>
      <c r="AA4627" t="s">
        <v>409</v>
      </c>
      <c r="AB4627" t="s">
        <v>409</v>
      </c>
      <c r="AC4627" t="s">
        <v>409</v>
      </c>
      <c r="AD4627" t="s">
        <v>261</v>
      </c>
      <c r="AH4627" t="s">
        <v>262</v>
      </c>
      <c r="AI4627" t="s">
        <v>262</v>
      </c>
      <c r="AJ4627" t="s">
        <v>261</v>
      </c>
      <c r="AK4627" t="s">
        <v>261</v>
      </c>
      <c r="AM4627" t="s">
        <v>262</v>
      </c>
      <c r="AN4627" t="s">
        <v>12461</v>
      </c>
    </row>
    <row r="4628" spans="1:40" x14ac:dyDescent="0.35">
      <c r="A4628">
        <v>7072642</v>
      </c>
      <c r="B4628" t="s">
        <v>12462</v>
      </c>
      <c r="C4628" t="str">
        <f>"9780472075614"</f>
        <v>9780472075614</v>
      </c>
      <c r="D4628" t="str">
        <f>"9780472902972"</f>
        <v>9780472902972</v>
      </c>
      <c r="E4628" t="s">
        <v>2090</v>
      </c>
      <c r="F4628" t="s">
        <v>2090</v>
      </c>
      <c r="G4628" s="1">
        <v>44909</v>
      </c>
      <c r="H4628" s="1">
        <v>44799</v>
      </c>
      <c r="I4628" t="s">
        <v>189</v>
      </c>
      <c r="L4628" t="s">
        <v>12463</v>
      </c>
      <c r="M4628" t="s">
        <v>239</v>
      </c>
      <c r="Q4628" t="s">
        <v>260</v>
      </c>
      <c r="R4628" t="s">
        <v>261</v>
      </c>
      <c r="S4628" t="s">
        <v>261</v>
      </c>
      <c r="T4628" t="s">
        <v>261</v>
      </c>
      <c r="U4628" t="s">
        <v>261</v>
      </c>
      <c r="V4628" t="s">
        <v>262</v>
      </c>
      <c r="W4628" t="s">
        <v>261</v>
      </c>
      <c r="X4628" t="s">
        <v>261</v>
      </c>
      <c r="Y4628" t="s">
        <v>261</v>
      </c>
      <c r="AA4628" t="s">
        <v>409</v>
      </c>
      <c r="AB4628" t="s">
        <v>409</v>
      </c>
      <c r="AC4628" t="s">
        <v>409</v>
      </c>
      <c r="AD4628" t="s">
        <v>261</v>
      </c>
      <c r="AH4628" t="s">
        <v>262</v>
      </c>
      <c r="AI4628" t="s">
        <v>262</v>
      </c>
      <c r="AJ4628" t="s">
        <v>261</v>
      </c>
      <c r="AK4628" t="s">
        <v>261</v>
      </c>
      <c r="AM4628" t="s">
        <v>262</v>
      </c>
      <c r="AN4628" t="s">
        <v>12464</v>
      </c>
    </row>
    <row r="4629" spans="1:40" x14ac:dyDescent="0.35">
      <c r="A4629">
        <v>7072672</v>
      </c>
      <c r="B4629" t="s">
        <v>12465</v>
      </c>
      <c r="C4629" t="str">
        <f>"9783030998103"</f>
        <v>9783030998103</v>
      </c>
      <c r="D4629" t="str">
        <f>"9783030998110"</f>
        <v>9783030998110</v>
      </c>
      <c r="E4629" t="s">
        <v>2289</v>
      </c>
      <c r="F4629" t="s">
        <v>2290</v>
      </c>
      <c r="G4629" s="1">
        <v>44815</v>
      </c>
      <c r="H4629" s="1">
        <v>44799</v>
      </c>
      <c r="I4629" t="s">
        <v>189</v>
      </c>
      <c r="K4629" t="s">
        <v>12466</v>
      </c>
      <c r="L4629" t="s">
        <v>12467</v>
      </c>
    </row>
    <row r="4630" spans="1:40" x14ac:dyDescent="0.35">
      <c r="A4630">
        <v>7072787</v>
      </c>
      <c r="B4630" t="s">
        <v>12468</v>
      </c>
      <c r="C4630" t="str">
        <f>"9780472133154"</f>
        <v>9780472133154</v>
      </c>
      <c r="D4630" t="str">
        <f>"9780472903115"</f>
        <v>9780472903115</v>
      </c>
      <c r="E4630" t="s">
        <v>2090</v>
      </c>
      <c r="F4630" t="s">
        <v>2090</v>
      </c>
      <c r="G4630" s="1">
        <v>44804</v>
      </c>
      <c r="H4630" s="1">
        <v>44799</v>
      </c>
      <c r="I4630" t="s">
        <v>189</v>
      </c>
      <c r="L4630" t="s">
        <v>12469</v>
      </c>
      <c r="M4630" t="s">
        <v>578</v>
      </c>
      <c r="Q4630" t="s">
        <v>260</v>
      </c>
      <c r="R4630" t="s">
        <v>261</v>
      </c>
      <c r="S4630" t="s">
        <v>261</v>
      </c>
      <c r="T4630" t="s">
        <v>261</v>
      </c>
      <c r="U4630" t="s">
        <v>261</v>
      </c>
      <c r="V4630" t="s">
        <v>262</v>
      </c>
      <c r="W4630" t="s">
        <v>261</v>
      </c>
      <c r="X4630" t="s">
        <v>261</v>
      </c>
      <c r="Y4630" t="s">
        <v>261</v>
      </c>
      <c r="AA4630" t="s">
        <v>409</v>
      </c>
      <c r="AB4630" t="s">
        <v>409</v>
      </c>
      <c r="AC4630" t="s">
        <v>409</v>
      </c>
      <c r="AD4630" t="s">
        <v>261</v>
      </c>
      <c r="AH4630" t="s">
        <v>262</v>
      </c>
      <c r="AI4630" t="s">
        <v>262</v>
      </c>
      <c r="AJ4630" t="s">
        <v>261</v>
      </c>
      <c r="AK4630" t="s">
        <v>261</v>
      </c>
      <c r="AM4630" t="s">
        <v>262</v>
      </c>
      <c r="AN4630" t="s">
        <v>12470</v>
      </c>
    </row>
    <row r="4631" spans="1:40" x14ac:dyDescent="0.35">
      <c r="A4631">
        <v>7073222</v>
      </c>
      <c r="B4631" t="s">
        <v>12471</v>
      </c>
      <c r="C4631" t="str">
        <f>"9783031074370"</f>
        <v>9783031074370</v>
      </c>
      <c r="D4631" t="str">
        <f>"9783031074387"</f>
        <v>9783031074387</v>
      </c>
      <c r="E4631" t="s">
        <v>2289</v>
      </c>
      <c r="F4631" t="s">
        <v>2290</v>
      </c>
      <c r="G4631" s="1">
        <v>44823</v>
      </c>
      <c r="H4631" s="1">
        <v>44799</v>
      </c>
      <c r="I4631" t="s">
        <v>189</v>
      </c>
      <c r="L4631" t="s">
        <v>12472</v>
      </c>
    </row>
    <row r="4632" spans="1:40" x14ac:dyDescent="0.35">
      <c r="A4632">
        <v>7073231</v>
      </c>
      <c r="B4632" t="s">
        <v>12473</v>
      </c>
      <c r="C4632" t="str">
        <f>"9783658388560"</f>
        <v>9783658388560</v>
      </c>
      <c r="D4632" t="str">
        <f>"9783658388577"</f>
        <v>9783658388577</v>
      </c>
      <c r="E4632" t="s">
        <v>3972</v>
      </c>
      <c r="F4632" t="s">
        <v>3972</v>
      </c>
      <c r="G4632" s="1">
        <v>44824</v>
      </c>
      <c r="H4632" s="1">
        <v>44799</v>
      </c>
      <c r="I4632" t="s">
        <v>189</v>
      </c>
      <c r="K4632" t="s">
        <v>5513</v>
      </c>
      <c r="L4632" t="s">
        <v>12474</v>
      </c>
      <c r="M4632" t="s">
        <v>249</v>
      </c>
      <c r="N4632" t="s">
        <v>12475</v>
      </c>
      <c r="Q4632" t="s">
        <v>408</v>
      </c>
      <c r="R4632" t="s">
        <v>261</v>
      </c>
      <c r="S4632" t="s">
        <v>261</v>
      </c>
      <c r="T4632" t="s">
        <v>261</v>
      </c>
      <c r="U4632" t="s">
        <v>261</v>
      </c>
      <c r="V4632" t="s">
        <v>262</v>
      </c>
      <c r="W4632" t="s">
        <v>261</v>
      </c>
      <c r="X4632" t="s">
        <v>261</v>
      </c>
      <c r="Y4632" t="s">
        <v>261</v>
      </c>
      <c r="Z4632" t="s">
        <v>409</v>
      </c>
      <c r="AA4632" t="s">
        <v>409</v>
      </c>
      <c r="AB4632" t="s">
        <v>409</v>
      </c>
      <c r="AC4632" t="s">
        <v>409</v>
      </c>
      <c r="AD4632" t="s">
        <v>261</v>
      </c>
      <c r="AH4632" t="s">
        <v>262</v>
      </c>
      <c r="AI4632" t="s">
        <v>262</v>
      </c>
      <c r="AJ4632" t="s">
        <v>261</v>
      </c>
      <c r="AK4632" t="s">
        <v>261</v>
      </c>
      <c r="AM4632" t="s">
        <v>262</v>
      </c>
      <c r="AN4632" t="s">
        <v>12476</v>
      </c>
    </row>
    <row r="4633" spans="1:40" x14ac:dyDescent="0.35">
      <c r="A4633">
        <v>7073373</v>
      </c>
      <c r="B4633" t="s">
        <v>12477</v>
      </c>
      <c r="C4633" t="str">
        <f>"9783031051593"</f>
        <v>9783031051593</v>
      </c>
      <c r="D4633" t="str">
        <f>"9783031051609"</f>
        <v>9783031051609</v>
      </c>
      <c r="E4633" t="s">
        <v>2289</v>
      </c>
      <c r="F4633" t="s">
        <v>2290</v>
      </c>
      <c r="G4633" s="1">
        <v>44787</v>
      </c>
      <c r="H4633" s="1">
        <v>44799</v>
      </c>
      <c r="I4633" t="s">
        <v>189</v>
      </c>
      <c r="L4633" t="s">
        <v>12478</v>
      </c>
    </row>
    <row r="4634" spans="1:40" x14ac:dyDescent="0.35">
      <c r="A4634">
        <v>7073378</v>
      </c>
      <c r="B4634" t="s">
        <v>12479</v>
      </c>
      <c r="C4634" t="str">
        <f>"9783658389574"</f>
        <v>9783658389574</v>
      </c>
      <c r="D4634" t="str">
        <f>"9783658389581"</f>
        <v>9783658389581</v>
      </c>
      <c r="E4634" t="s">
        <v>3972</v>
      </c>
      <c r="F4634" t="s">
        <v>3972</v>
      </c>
      <c r="G4634" s="1">
        <v>44841</v>
      </c>
      <c r="H4634" s="1">
        <v>44799</v>
      </c>
      <c r="I4634" t="s">
        <v>189</v>
      </c>
      <c r="L4634" t="s">
        <v>12480</v>
      </c>
      <c r="M4634" t="s">
        <v>249</v>
      </c>
      <c r="N4634" t="s">
        <v>6008</v>
      </c>
      <c r="Q4634" t="s">
        <v>408</v>
      </c>
      <c r="R4634" t="s">
        <v>261</v>
      </c>
      <c r="S4634" t="s">
        <v>261</v>
      </c>
      <c r="T4634" t="s">
        <v>261</v>
      </c>
      <c r="U4634" t="s">
        <v>261</v>
      </c>
      <c r="V4634" t="s">
        <v>262</v>
      </c>
      <c r="W4634" t="s">
        <v>261</v>
      </c>
      <c r="X4634" t="s">
        <v>261</v>
      </c>
      <c r="Y4634" t="s">
        <v>261</v>
      </c>
      <c r="Z4634" t="s">
        <v>409</v>
      </c>
      <c r="AA4634" t="s">
        <v>409</v>
      </c>
      <c r="AB4634" t="s">
        <v>409</v>
      </c>
      <c r="AC4634" t="s">
        <v>409</v>
      </c>
      <c r="AD4634" t="s">
        <v>261</v>
      </c>
      <c r="AH4634" t="s">
        <v>262</v>
      </c>
      <c r="AI4634" t="s">
        <v>262</v>
      </c>
      <c r="AJ4634" t="s">
        <v>261</v>
      </c>
      <c r="AK4634" t="s">
        <v>261</v>
      </c>
      <c r="AM4634" t="s">
        <v>262</v>
      </c>
      <c r="AN4634" t="s">
        <v>12481</v>
      </c>
    </row>
    <row r="4635" spans="1:40" x14ac:dyDescent="0.35">
      <c r="A4635">
        <v>7074114</v>
      </c>
      <c r="B4635" t="s">
        <v>12482</v>
      </c>
      <c r="C4635" t="str">
        <f>"9781438490113"</f>
        <v>9781438490113</v>
      </c>
      <c r="D4635" t="str">
        <f>"9781438490120"</f>
        <v>9781438490120</v>
      </c>
      <c r="E4635" t="s">
        <v>2073</v>
      </c>
      <c r="F4635" t="s">
        <v>2074</v>
      </c>
      <c r="G4635" s="1">
        <v>44805</v>
      </c>
      <c r="H4635" s="1">
        <v>44799</v>
      </c>
      <c r="I4635" t="s">
        <v>189</v>
      </c>
      <c r="J4635">
        <v>1</v>
      </c>
      <c r="K4635" t="s">
        <v>2075</v>
      </c>
      <c r="L4635" t="s">
        <v>12483</v>
      </c>
      <c r="M4635" t="s">
        <v>323</v>
      </c>
      <c r="Q4635" t="s">
        <v>260</v>
      </c>
      <c r="R4635" t="s">
        <v>261</v>
      </c>
      <c r="S4635" t="s">
        <v>261</v>
      </c>
      <c r="T4635" t="s">
        <v>261</v>
      </c>
      <c r="U4635" t="s">
        <v>261</v>
      </c>
      <c r="V4635" t="s">
        <v>262</v>
      </c>
      <c r="W4635" t="s">
        <v>261</v>
      </c>
      <c r="X4635" t="s">
        <v>261</v>
      </c>
      <c r="Y4635" t="s">
        <v>261</v>
      </c>
      <c r="Z4635" t="s">
        <v>409</v>
      </c>
      <c r="AA4635" t="s">
        <v>409</v>
      </c>
      <c r="AB4635" t="s">
        <v>409</v>
      </c>
      <c r="AC4635" t="s">
        <v>409</v>
      </c>
      <c r="AD4635" t="s">
        <v>261</v>
      </c>
      <c r="AH4635" t="s">
        <v>262</v>
      </c>
      <c r="AI4635" t="s">
        <v>262</v>
      </c>
      <c r="AJ4635" t="s">
        <v>261</v>
      </c>
      <c r="AK4635" t="s">
        <v>261</v>
      </c>
      <c r="AM4635" t="s">
        <v>262</v>
      </c>
      <c r="AN4635" t="s">
        <v>12484</v>
      </c>
    </row>
    <row r="4636" spans="1:40" x14ac:dyDescent="0.35">
      <c r="A4636">
        <v>7074392</v>
      </c>
      <c r="B4636" t="s">
        <v>12485</v>
      </c>
      <c r="C4636" t="str">
        <f>"9783030985264"</f>
        <v>9783030985264</v>
      </c>
      <c r="D4636" t="str">
        <f>"9783030985271"</f>
        <v>9783030985271</v>
      </c>
      <c r="E4636" t="s">
        <v>2289</v>
      </c>
      <c r="F4636" t="s">
        <v>2663</v>
      </c>
      <c r="G4636" s="1">
        <v>44821</v>
      </c>
      <c r="H4636" s="1">
        <v>44799</v>
      </c>
      <c r="I4636" t="s">
        <v>189</v>
      </c>
      <c r="K4636" t="s">
        <v>12486</v>
      </c>
      <c r="L4636" t="s">
        <v>12487</v>
      </c>
    </row>
    <row r="4637" spans="1:40" x14ac:dyDescent="0.35">
      <c r="A4637">
        <v>7074833</v>
      </c>
      <c r="B4637" t="s">
        <v>12488</v>
      </c>
      <c r="C4637" t="str">
        <f>"9783031110603"</f>
        <v>9783031110603</v>
      </c>
      <c r="D4637" t="str">
        <f>"9783031110610"</f>
        <v>9783031110610</v>
      </c>
      <c r="E4637" t="s">
        <v>2289</v>
      </c>
      <c r="F4637" t="s">
        <v>2290</v>
      </c>
      <c r="G4637" s="1">
        <v>44790</v>
      </c>
      <c r="H4637" s="1">
        <v>44799</v>
      </c>
      <c r="I4637" t="s">
        <v>189</v>
      </c>
      <c r="K4637" t="s">
        <v>1208</v>
      </c>
      <c r="L4637" t="s">
        <v>12489</v>
      </c>
    </row>
    <row r="4638" spans="1:40" x14ac:dyDescent="0.35">
      <c r="A4638">
        <v>7074842</v>
      </c>
      <c r="B4638" t="s">
        <v>12490</v>
      </c>
      <c r="C4638" t="str">
        <f>"9789027211477"</f>
        <v>9789027211477</v>
      </c>
      <c r="D4638" t="str">
        <f>"9789027257536"</f>
        <v>9789027257536</v>
      </c>
      <c r="E4638" t="s">
        <v>1372</v>
      </c>
      <c r="F4638" t="s">
        <v>1372</v>
      </c>
      <c r="G4638" s="1">
        <v>44819</v>
      </c>
      <c r="H4638" s="1">
        <v>44799</v>
      </c>
      <c r="I4638" t="s">
        <v>189</v>
      </c>
      <c r="J4638">
        <v>1</v>
      </c>
      <c r="K4638" t="s">
        <v>12491</v>
      </c>
      <c r="L4638" t="s">
        <v>12492</v>
      </c>
    </row>
    <row r="4639" spans="1:40" x14ac:dyDescent="0.35">
      <c r="A4639">
        <v>7075905</v>
      </c>
      <c r="B4639" t="s">
        <v>12493</v>
      </c>
      <c r="C4639" t="str">
        <f>""</f>
        <v/>
      </c>
      <c r="D4639" t="str">
        <f>"9789179293901"</f>
        <v>9789179293901</v>
      </c>
      <c r="E4639" t="s">
        <v>2975</v>
      </c>
      <c r="F4639" t="s">
        <v>2975</v>
      </c>
      <c r="G4639" s="1">
        <v>44817</v>
      </c>
      <c r="H4639" s="1">
        <v>44799</v>
      </c>
      <c r="I4639" t="s">
        <v>189</v>
      </c>
      <c r="J4639">
        <v>1</v>
      </c>
      <c r="L4639" t="s">
        <v>12494</v>
      </c>
      <c r="Q4639" t="s">
        <v>260</v>
      </c>
      <c r="R4639" t="s">
        <v>261</v>
      </c>
      <c r="S4639" t="s">
        <v>261</v>
      </c>
      <c r="T4639" t="s">
        <v>261</v>
      </c>
      <c r="U4639" t="s">
        <v>261</v>
      </c>
      <c r="V4639" t="s">
        <v>262</v>
      </c>
      <c r="W4639" t="s">
        <v>261</v>
      </c>
      <c r="X4639" t="s">
        <v>261</v>
      </c>
      <c r="Y4639" t="s">
        <v>261</v>
      </c>
      <c r="AD4639" t="s">
        <v>261</v>
      </c>
      <c r="AH4639" t="s">
        <v>262</v>
      </c>
      <c r="AI4639" t="s">
        <v>261</v>
      </c>
      <c r="AJ4639" t="s">
        <v>261</v>
      </c>
      <c r="AK4639" t="s">
        <v>261</v>
      </c>
      <c r="AM4639" t="s">
        <v>262</v>
      </c>
      <c r="AN4639" t="s">
        <v>12495</v>
      </c>
    </row>
    <row r="4640" spans="1:40" x14ac:dyDescent="0.35">
      <c r="A4640">
        <v>7076024</v>
      </c>
      <c r="B4640" t="s">
        <v>12496</v>
      </c>
      <c r="C4640" t="str">
        <f>"9783030992057"</f>
        <v>9783030992057</v>
      </c>
      <c r="D4640" t="str">
        <f>"9783030992064"</f>
        <v>9783030992064</v>
      </c>
      <c r="E4640" t="s">
        <v>2289</v>
      </c>
      <c r="F4640" t="s">
        <v>2290</v>
      </c>
      <c r="G4640" s="1">
        <v>44840</v>
      </c>
      <c r="H4640" s="1">
        <v>44799</v>
      </c>
      <c r="I4640" t="s">
        <v>189</v>
      </c>
      <c r="K4640" t="s">
        <v>8459</v>
      </c>
      <c r="L4640" t="s">
        <v>12497</v>
      </c>
    </row>
    <row r="4641" spans="1:40" x14ac:dyDescent="0.35">
      <c r="A4641">
        <v>7076026</v>
      </c>
      <c r="B4641" t="s">
        <v>12498</v>
      </c>
      <c r="C4641" t="str">
        <f>"9783031065491"</f>
        <v>9783031065491</v>
      </c>
      <c r="D4641" t="str">
        <f>"9783031065507"</f>
        <v>9783031065507</v>
      </c>
      <c r="E4641" t="s">
        <v>2289</v>
      </c>
      <c r="F4641" t="s">
        <v>2290</v>
      </c>
      <c r="G4641" s="1">
        <v>44827</v>
      </c>
      <c r="H4641" s="1">
        <v>44799</v>
      </c>
      <c r="I4641" t="s">
        <v>189</v>
      </c>
      <c r="K4641" t="s">
        <v>5996</v>
      </c>
      <c r="L4641" t="s">
        <v>12499</v>
      </c>
    </row>
    <row r="4642" spans="1:40" x14ac:dyDescent="0.35">
      <c r="A4642">
        <v>7076046</v>
      </c>
      <c r="B4642" t="s">
        <v>12500</v>
      </c>
      <c r="C4642" t="str">
        <f>"9783658382056"</f>
        <v>9783658382056</v>
      </c>
      <c r="D4642" t="str">
        <f>"9783658382063"</f>
        <v>9783658382063</v>
      </c>
      <c r="E4642" t="s">
        <v>3972</v>
      </c>
      <c r="F4642" t="s">
        <v>3972</v>
      </c>
      <c r="G4642" s="1">
        <v>44831</v>
      </c>
      <c r="H4642" s="1">
        <v>44799</v>
      </c>
      <c r="I4642" t="s">
        <v>189</v>
      </c>
      <c r="L4642" t="s">
        <v>12501</v>
      </c>
      <c r="M4642" t="s">
        <v>249</v>
      </c>
      <c r="N4642" t="s">
        <v>12502</v>
      </c>
      <c r="Q4642" t="s">
        <v>408</v>
      </c>
      <c r="R4642" t="s">
        <v>261</v>
      </c>
      <c r="S4642" t="s">
        <v>261</v>
      </c>
      <c r="T4642" t="s">
        <v>261</v>
      </c>
      <c r="U4642" t="s">
        <v>261</v>
      </c>
      <c r="V4642" t="s">
        <v>262</v>
      </c>
      <c r="W4642" t="s">
        <v>261</v>
      </c>
      <c r="X4642" t="s">
        <v>261</v>
      </c>
      <c r="Y4642" t="s">
        <v>261</v>
      </c>
      <c r="Z4642" t="s">
        <v>409</v>
      </c>
      <c r="AA4642" t="s">
        <v>409</v>
      </c>
      <c r="AB4642" t="s">
        <v>409</v>
      </c>
      <c r="AC4642" t="s">
        <v>409</v>
      </c>
      <c r="AD4642" t="s">
        <v>261</v>
      </c>
      <c r="AH4642" t="s">
        <v>262</v>
      </c>
      <c r="AI4642" t="s">
        <v>262</v>
      </c>
      <c r="AJ4642" t="s">
        <v>261</v>
      </c>
      <c r="AK4642" t="s">
        <v>261</v>
      </c>
      <c r="AM4642" t="s">
        <v>262</v>
      </c>
      <c r="AN4642" t="s">
        <v>12503</v>
      </c>
    </row>
    <row r="4643" spans="1:40" x14ac:dyDescent="0.35">
      <c r="A4643">
        <v>7076050</v>
      </c>
      <c r="B4643" t="s">
        <v>12504</v>
      </c>
      <c r="C4643" t="str">
        <f>"9783031044830"</f>
        <v>9783031044830</v>
      </c>
      <c r="D4643" t="str">
        <f>"9783031044847"</f>
        <v>9783031044847</v>
      </c>
      <c r="E4643" t="s">
        <v>2289</v>
      </c>
      <c r="F4643" t="s">
        <v>2290</v>
      </c>
      <c r="G4643" s="1">
        <v>44828</v>
      </c>
      <c r="H4643" s="1">
        <v>44799</v>
      </c>
      <c r="I4643" t="s">
        <v>189</v>
      </c>
      <c r="L4643" t="s">
        <v>12505</v>
      </c>
    </row>
    <row r="4644" spans="1:40" x14ac:dyDescent="0.35">
      <c r="A4644">
        <v>7076090</v>
      </c>
      <c r="B4644" t="s">
        <v>12506</v>
      </c>
      <c r="C4644" t="str">
        <f>"9780472075522"</f>
        <v>9780472075522</v>
      </c>
      <c r="D4644" t="str">
        <f>"9780472902903"</f>
        <v>9780472902903</v>
      </c>
      <c r="E4644" t="s">
        <v>2090</v>
      </c>
      <c r="F4644" t="s">
        <v>2090</v>
      </c>
      <c r="G4644" s="1">
        <v>44844</v>
      </c>
      <c r="H4644" s="1">
        <v>44799</v>
      </c>
      <c r="I4644" t="s">
        <v>189</v>
      </c>
      <c r="L4644" t="s">
        <v>12507</v>
      </c>
      <c r="M4644" t="s">
        <v>210</v>
      </c>
      <c r="Q4644" t="s">
        <v>260</v>
      </c>
      <c r="R4644" t="s">
        <v>261</v>
      </c>
      <c r="S4644" t="s">
        <v>261</v>
      </c>
      <c r="T4644" t="s">
        <v>261</v>
      </c>
      <c r="U4644" t="s">
        <v>261</v>
      </c>
      <c r="V4644" t="s">
        <v>262</v>
      </c>
      <c r="W4644" t="s">
        <v>261</v>
      </c>
      <c r="X4644" t="s">
        <v>261</v>
      </c>
      <c r="Y4644" t="s">
        <v>261</v>
      </c>
      <c r="AA4644" t="s">
        <v>409</v>
      </c>
      <c r="AB4644" t="s">
        <v>409</v>
      </c>
      <c r="AC4644" t="s">
        <v>409</v>
      </c>
      <c r="AD4644" t="s">
        <v>261</v>
      </c>
      <c r="AH4644" t="s">
        <v>262</v>
      </c>
      <c r="AI4644" t="s">
        <v>262</v>
      </c>
      <c r="AJ4644" t="s">
        <v>261</v>
      </c>
      <c r="AK4644" t="s">
        <v>261</v>
      </c>
      <c r="AM4644" t="s">
        <v>262</v>
      </c>
      <c r="AN4644" t="s">
        <v>12508</v>
      </c>
    </row>
    <row r="4645" spans="1:40" x14ac:dyDescent="0.35">
      <c r="A4645">
        <v>7076296</v>
      </c>
      <c r="B4645" t="s">
        <v>12509</v>
      </c>
      <c r="C4645" t="str">
        <f>""</f>
        <v/>
      </c>
      <c r="D4645" t="str">
        <f>"9783110776485"</f>
        <v>9783110776485</v>
      </c>
      <c r="E4645" t="s">
        <v>415</v>
      </c>
      <c r="F4645" t="s">
        <v>415</v>
      </c>
      <c r="G4645" s="1">
        <v>44824</v>
      </c>
      <c r="H4645" s="1">
        <v>44799</v>
      </c>
      <c r="I4645" t="s">
        <v>189</v>
      </c>
      <c r="J4645">
        <v>1</v>
      </c>
      <c r="K4645" t="s">
        <v>2442</v>
      </c>
      <c r="L4645" t="s">
        <v>12510</v>
      </c>
      <c r="M4645" t="s">
        <v>1831</v>
      </c>
      <c r="O4645" s="2">
        <v>91091767</v>
      </c>
      <c r="Q4645" t="s">
        <v>260</v>
      </c>
      <c r="R4645" t="s">
        <v>261</v>
      </c>
      <c r="S4645" t="s">
        <v>261</v>
      </c>
      <c r="T4645" t="s">
        <v>261</v>
      </c>
      <c r="U4645" t="s">
        <v>261</v>
      </c>
      <c r="V4645" t="s">
        <v>262</v>
      </c>
      <c r="W4645" t="s">
        <v>261</v>
      </c>
      <c r="X4645" t="s">
        <v>261</v>
      </c>
      <c r="Y4645" t="s">
        <v>261</v>
      </c>
      <c r="Z4645" t="s">
        <v>409</v>
      </c>
      <c r="AA4645" t="s">
        <v>409</v>
      </c>
      <c r="AB4645" t="s">
        <v>409</v>
      </c>
      <c r="AC4645" t="s">
        <v>409</v>
      </c>
      <c r="AD4645" t="s">
        <v>261</v>
      </c>
      <c r="AH4645" t="s">
        <v>262</v>
      </c>
      <c r="AI4645" t="s">
        <v>262</v>
      </c>
      <c r="AJ4645" t="s">
        <v>261</v>
      </c>
      <c r="AK4645" t="s">
        <v>261</v>
      </c>
      <c r="AM4645" t="s">
        <v>262</v>
      </c>
      <c r="AN4645" t="s">
        <v>12511</v>
      </c>
    </row>
    <row r="4646" spans="1:40" x14ac:dyDescent="0.35">
      <c r="A4646">
        <v>7076299</v>
      </c>
      <c r="B4646" t="s">
        <v>12512</v>
      </c>
      <c r="C4646" t="str">
        <f>""</f>
        <v/>
      </c>
      <c r="D4646" t="str">
        <f>"9783110618150"</f>
        <v>9783110618150</v>
      </c>
      <c r="E4646" t="s">
        <v>415</v>
      </c>
      <c r="F4646" t="s">
        <v>415</v>
      </c>
      <c r="G4646" s="1">
        <v>44810</v>
      </c>
      <c r="H4646" s="1">
        <v>44799</v>
      </c>
      <c r="I4646" t="s">
        <v>189</v>
      </c>
      <c r="J4646">
        <v>1</v>
      </c>
      <c r="K4646" t="s">
        <v>3034</v>
      </c>
      <c r="L4646" t="s">
        <v>12513</v>
      </c>
    </row>
    <row r="4647" spans="1:40" x14ac:dyDescent="0.35">
      <c r="A4647">
        <v>7076300</v>
      </c>
      <c r="B4647" t="s">
        <v>12514</v>
      </c>
      <c r="C4647" t="str">
        <f>""</f>
        <v/>
      </c>
      <c r="D4647" t="str">
        <f>"9783110726404"</f>
        <v>9783110726404</v>
      </c>
      <c r="E4647" t="s">
        <v>415</v>
      </c>
      <c r="F4647" t="s">
        <v>415</v>
      </c>
      <c r="G4647" s="1">
        <v>44810</v>
      </c>
      <c r="H4647" s="1">
        <v>44799</v>
      </c>
      <c r="I4647" t="s">
        <v>189</v>
      </c>
      <c r="J4647">
        <v>1</v>
      </c>
      <c r="L4647" t="s">
        <v>12515</v>
      </c>
      <c r="M4647" t="s">
        <v>219</v>
      </c>
      <c r="Q4647" t="s">
        <v>408</v>
      </c>
      <c r="R4647" t="s">
        <v>261</v>
      </c>
      <c r="S4647" t="s">
        <v>261</v>
      </c>
      <c r="T4647" t="s">
        <v>261</v>
      </c>
      <c r="U4647" t="s">
        <v>261</v>
      </c>
      <c r="V4647" t="s">
        <v>262</v>
      </c>
      <c r="W4647" t="s">
        <v>261</v>
      </c>
      <c r="X4647" t="s">
        <v>261</v>
      </c>
      <c r="Y4647" t="s">
        <v>261</v>
      </c>
      <c r="Z4647" t="s">
        <v>409</v>
      </c>
      <c r="AA4647" t="s">
        <v>409</v>
      </c>
      <c r="AB4647" t="s">
        <v>409</v>
      </c>
      <c r="AC4647" t="s">
        <v>409</v>
      </c>
      <c r="AD4647" t="s">
        <v>261</v>
      </c>
      <c r="AH4647" t="s">
        <v>262</v>
      </c>
      <c r="AI4647" t="s">
        <v>262</v>
      </c>
      <c r="AJ4647" t="s">
        <v>261</v>
      </c>
      <c r="AK4647" t="s">
        <v>261</v>
      </c>
      <c r="AM4647" t="s">
        <v>262</v>
      </c>
      <c r="AN4647" t="s">
        <v>12516</v>
      </c>
    </row>
    <row r="4648" spans="1:40" x14ac:dyDescent="0.35">
      <c r="A4648">
        <v>7076308</v>
      </c>
      <c r="B4648" t="s">
        <v>12517</v>
      </c>
      <c r="C4648" t="str">
        <f>""</f>
        <v/>
      </c>
      <c r="D4648" t="str">
        <f>"9783110698046"</f>
        <v>9783110698046</v>
      </c>
      <c r="E4648" t="s">
        <v>415</v>
      </c>
      <c r="F4648" t="s">
        <v>415</v>
      </c>
      <c r="G4648" s="1">
        <v>44810</v>
      </c>
      <c r="H4648" s="1">
        <v>44799</v>
      </c>
      <c r="I4648" t="s">
        <v>189</v>
      </c>
      <c r="J4648">
        <v>1</v>
      </c>
      <c r="K4648" t="s">
        <v>12518</v>
      </c>
      <c r="L4648" t="s">
        <v>12519</v>
      </c>
    </row>
    <row r="4649" spans="1:40" x14ac:dyDescent="0.35">
      <c r="A4649">
        <v>7076310</v>
      </c>
      <c r="B4649" t="s">
        <v>12520</v>
      </c>
      <c r="C4649" t="str">
        <f>""</f>
        <v/>
      </c>
      <c r="D4649" t="str">
        <f>"9783110695090"</f>
        <v>9783110695090</v>
      </c>
      <c r="E4649" t="s">
        <v>415</v>
      </c>
      <c r="F4649" t="s">
        <v>415</v>
      </c>
      <c r="G4649" s="1">
        <v>44810</v>
      </c>
      <c r="H4649" s="1">
        <v>44799</v>
      </c>
      <c r="I4649" t="s">
        <v>189</v>
      </c>
      <c r="J4649">
        <v>1</v>
      </c>
      <c r="K4649" t="s">
        <v>11201</v>
      </c>
      <c r="L4649" t="s">
        <v>12521</v>
      </c>
    </row>
    <row r="4650" spans="1:40" x14ac:dyDescent="0.35">
      <c r="A4650">
        <v>7076311</v>
      </c>
      <c r="B4650" t="s">
        <v>12522</v>
      </c>
      <c r="C4650" t="str">
        <f>""</f>
        <v/>
      </c>
      <c r="D4650" t="str">
        <f>"9783110780574"</f>
        <v>9783110780574</v>
      </c>
      <c r="E4650" t="s">
        <v>415</v>
      </c>
      <c r="F4650" t="s">
        <v>415</v>
      </c>
      <c r="G4650" s="1">
        <v>44810</v>
      </c>
      <c r="H4650" s="1">
        <v>44799</v>
      </c>
      <c r="I4650" t="s">
        <v>189</v>
      </c>
      <c r="J4650">
        <v>1</v>
      </c>
      <c r="K4650" t="s">
        <v>11808</v>
      </c>
      <c r="L4650" t="s">
        <v>12523</v>
      </c>
      <c r="M4650" t="s">
        <v>219</v>
      </c>
      <c r="O4650" t="s">
        <v>12524</v>
      </c>
      <c r="Q4650" t="s">
        <v>260</v>
      </c>
      <c r="R4650" t="s">
        <v>261</v>
      </c>
      <c r="S4650" t="s">
        <v>261</v>
      </c>
      <c r="T4650" t="s">
        <v>261</v>
      </c>
      <c r="U4650" t="s">
        <v>261</v>
      </c>
      <c r="V4650" t="s">
        <v>262</v>
      </c>
      <c r="W4650" t="s">
        <v>261</v>
      </c>
      <c r="X4650" t="s">
        <v>261</v>
      </c>
      <c r="Y4650" t="s">
        <v>261</v>
      </c>
      <c r="Z4650" t="s">
        <v>409</v>
      </c>
      <c r="AA4650" t="s">
        <v>409</v>
      </c>
      <c r="AB4650" t="s">
        <v>409</v>
      </c>
      <c r="AC4650" t="s">
        <v>409</v>
      </c>
      <c r="AD4650" t="s">
        <v>261</v>
      </c>
      <c r="AH4650" t="s">
        <v>262</v>
      </c>
      <c r="AI4650" t="s">
        <v>262</v>
      </c>
      <c r="AJ4650" t="s">
        <v>261</v>
      </c>
      <c r="AK4650" t="s">
        <v>261</v>
      </c>
      <c r="AM4650" t="s">
        <v>262</v>
      </c>
      <c r="AN4650" t="s">
        <v>12525</v>
      </c>
    </row>
    <row r="4651" spans="1:40" x14ac:dyDescent="0.35">
      <c r="A4651">
        <v>7076319</v>
      </c>
      <c r="B4651" t="s">
        <v>12526</v>
      </c>
      <c r="C4651" t="str">
        <f>""</f>
        <v/>
      </c>
      <c r="D4651" t="str">
        <f>"9783110754469"</f>
        <v>9783110754469</v>
      </c>
      <c r="E4651" t="s">
        <v>415</v>
      </c>
      <c r="F4651" t="s">
        <v>415</v>
      </c>
      <c r="G4651" s="1">
        <v>44810</v>
      </c>
      <c r="H4651" s="1">
        <v>44799</v>
      </c>
      <c r="I4651" t="s">
        <v>189</v>
      </c>
      <c r="J4651">
        <v>1</v>
      </c>
      <c r="K4651" t="s">
        <v>12439</v>
      </c>
      <c r="L4651" t="s">
        <v>12527</v>
      </c>
    </row>
    <row r="4652" spans="1:40" x14ac:dyDescent="0.35">
      <c r="A4652">
        <v>7076321</v>
      </c>
      <c r="B4652" t="s">
        <v>12528</v>
      </c>
      <c r="C4652" t="str">
        <f>""</f>
        <v/>
      </c>
      <c r="D4652" t="str">
        <f>"9783110786965"</f>
        <v>9783110786965</v>
      </c>
      <c r="E4652" t="s">
        <v>415</v>
      </c>
      <c r="F4652" t="s">
        <v>415</v>
      </c>
      <c r="G4652" s="1">
        <v>44810</v>
      </c>
      <c r="H4652" s="1">
        <v>44799</v>
      </c>
      <c r="I4652" t="s">
        <v>189</v>
      </c>
      <c r="J4652">
        <v>1</v>
      </c>
      <c r="K4652" t="s">
        <v>3910</v>
      </c>
      <c r="L4652" t="s">
        <v>12529</v>
      </c>
    </row>
    <row r="4653" spans="1:40" x14ac:dyDescent="0.35">
      <c r="A4653">
        <v>7076323</v>
      </c>
      <c r="B4653" t="s">
        <v>12530</v>
      </c>
      <c r="C4653" t="str">
        <f>""</f>
        <v/>
      </c>
      <c r="D4653" t="str">
        <f>"9783110772388"</f>
        <v>9783110772388</v>
      </c>
      <c r="E4653" t="s">
        <v>415</v>
      </c>
      <c r="F4653" t="s">
        <v>665</v>
      </c>
      <c r="G4653" s="1">
        <v>44760</v>
      </c>
      <c r="H4653" s="1">
        <v>44799</v>
      </c>
      <c r="I4653" t="s">
        <v>189</v>
      </c>
      <c r="J4653">
        <v>1</v>
      </c>
      <c r="K4653" t="s">
        <v>666</v>
      </c>
      <c r="L4653" t="s">
        <v>12531</v>
      </c>
    </row>
    <row r="4654" spans="1:40" x14ac:dyDescent="0.35">
      <c r="A4654">
        <v>7076325</v>
      </c>
      <c r="B4654" t="s">
        <v>12532</v>
      </c>
      <c r="C4654" t="str">
        <f>""</f>
        <v/>
      </c>
      <c r="D4654" t="str">
        <f>"9783110744552"</f>
        <v>9783110744552</v>
      </c>
      <c r="E4654" t="s">
        <v>415</v>
      </c>
      <c r="F4654" t="s">
        <v>415</v>
      </c>
      <c r="G4654" s="1">
        <v>44810</v>
      </c>
      <c r="H4654" s="1">
        <v>44799</v>
      </c>
      <c r="I4654" t="s">
        <v>189</v>
      </c>
      <c r="J4654">
        <v>1</v>
      </c>
      <c r="L4654" t="s">
        <v>12533</v>
      </c>
    </row>
    <row r="4655" spans="1:40" x14ac:dyDescent="0.35">
      <c r="A4655">
        <v>7076327</v>
      </c>
      <c r="B4655" t="s">
        <v>12534</v>
      </c>
      <c r="C4655" t="str">
        <f>""</f>
        <v/>
      </c>
      <c r="D4655" t="str">
        <f>"9783110757101"</f>
        <v>9783110757101</v>
      </c>
      <c r="E4655" t="s">
        <v>415</v>
      </c>
      <c r="F4655" t="s">
        <v>665</v>
      </c>
      <c r="G4655" s="1">
        <v>44810</v>
      </c>
      <c r="H4655" s="1">
        <v>44799</v>
      </c>
      <c r="I4655" t="s">
        <v>189</v>
      </c>
      <c r="J4655">
        <v>1</v>
      </c>
      <c r="K4655" t="s">
        <v>10563</v>
      </c>
      <c r="L4655" t="s">
        <v>12535</v>
      </c>
    </row>
    <row r="4656" spans="1:40" x14ac:dyDescent="0.35">
      <c r="A4656">
        <v>7076547</v>
      </c>
      <c r="B4656" t="s">
        <v>12536</v>
      </c>
      <c r="C4656" t="str">
        <f>""</f>
        <v/>
      </c>
      <c r="D4656" t="str">
        <f>"9789179294403"</f>
        <v>9789179294403</v>
      </c>
      <c r="E4656" t="s">
        <v>2975</v>
      </c>
      <c r="F4656" t="s">
        <v>2975</v>
      </c>
      <c r="G4656" s="1">
        <v>44792</v>
      </c>
      <c r="H4656" s="1">
        <v>44799</v>
      </c>
      <c r="I4656" t="s">
        <v>189</v>
      </c>
      <c r="J4656">
        <v>1</v>
      </c>
      <c r="L4656" t="s">
        <v>12537</v>
      </c>
      <c r="Q4656" t="s">
        <v>260</v>
      </c>
      <c r="R4656" t="s">
        <v>261</v>
      </c>
      <c r="S4656" t="s">
        <v>261</v>
      </c>
      <c r="T4656" t="s">
        <v>261</v>
      </c>
      <c r="U4656" t="s">
        <v>261</v>
      </c>
      <c r="V4656" t="s">
        <v>262</v>
      </c>
      <c r="W4656" t="s">
        <v>261</v>
      </c>
      <c r="X4656" t="s">
        <v>261</v>
      </c>
      <c r="Y4656" t="s">
        <v>261</v>
      </c>
      <c r="AD4656" t="s">
        <v>261</v>
      </c>
      <c r="AH4656" t="s">
        <v>262</v>
      </c>
      <c r="AI4656" t="s">
        <v>261</v>
      </c>
      <c r="AJ4656" t="s">
        <v>261</v>
      </c>
      <c r="AK4656" t="s">
        <v>261</v>
      </c>
      <c r="AM4656" t="s">
        <v>262</v>
      </c>
      <c r="AN4656" t="s">
        <v>12538</v>
      </c>
    </row>
    <row r="4657" spans="1:40" x14ac:dyDescent="0.35">
      <c r="A4657">
        <v>7076549</v>
      </c>
      <c r="B4657" t="s">
        <v>12539</v>
      </c>
      <c r="C4657" t="str">
        <f>""</f>
        <v/>
      </c>
      <c r="D4657" t="str">
        <f>"9789179293956"</f>
        <v>9789179293956</v>
      </c>
      <c r="E4657" t="s">
        <v>2975</v>
      </c>
      <c r="F4657" t="s">
        <v>2975</v>
      </c>
      <c r="G4657" s="1">
        <v>44791</v>
      </c>
      <c r="H4657" s="1">
        <v>44799</v>
      </c>
      <c r="I4657" t="s">
        <v>189</v>
      </c>
      <c r="J4657">
        <v>1</v>
      </c>
      <c r="L4657" t="s">
        <v>12540</v>
      </c>
      <c r="Q4657" t="s">
        <v>260</v>
      </c>
      <c r="R4657" t="s">
        <v>261</v>
      </c>
      <c r="S4657" t="s">
        <v>261</v>
      </c>
      <c r="T4657" t="s">
        <v>261</v>
      </c>
      <c r="U4657" t="s">
        <v>261</v>
      </c>
      <c r="V4657" t="s">
        <v>262</v>
      </c>
      <c r="W4657" t="s">
        <v>261</v>
      </c>
      <c r="X4657" t="s">
        <v>261</v>
      </c>
      <c r="Y4657" t="s">
        <v>261</v>
      </c>
      <c r="AD4657" t="s">
        <v>261</v>
      </c>
      <c r="AH4657" t="s">
        <v>262</v>
      </c>
      <c r="AI4657" t="s">
        <v>261</v>
      </c>
      <c r="AJ4657" t="s">
        <v>261</v>
      </c>
      <c r="AK4657" t="s">
        <v>261</v>
      </c>
      <c r="AM4657" t="s">
        <v>262</v>
      </c>
      <c r="AN4657" t="s">
        <v>12541</v>
      </c>
    </row>
    <row r="4658" spans="1:40" x14ac:dyDescent="0.35">
      <c r="A4658">
        <v>7076551</v>
      </c>
      <c r="B4658" t="s">
        <v>12542</v>
      </c>
      <c r="C4658" t="str">
        <f>""</f>
        <v/>
      </c>
      <c r="D4658" t="str">
        <f>"9789179294151"</f>
        <v>9789179294151</v>
      </c>
      <c r="E4658" t="s">
        <v>2975</v>
      </c>
      <c r="F4658" t="s">
        <v>2975</v>
      </c>
      <c r="G4658" s="1">
        <v>44789</v>
      </c>
      <c r="H4658" s="1">
        <v>44799</v>
      </c>
      <c r="I4658" t="s">
        <v>189</v>
      </c>
      <c r="J4658">
        <v>1</v>
      </c>
      <c r="L4658" t="s">
        <v>12543</v>
      </c>
      <c r="Q4658" t="s">
        <v>260</v>
      </c>
      <c r="R4658" t="s">
        <v>261</v>
      </c>
      <c r="S4658" t="s">
        <v>261</v>
      </c>
      <c r="T4658" t="s">
        <v>261</v>
      </c>
      <c r="U4658" t="s">
        <v>261</v>
      </c>
      <c r="V4658" t="s">
        <v>262</v>
      </c>
      <c r="W4658" t="s">
        <v>261</v>
      </c>
      <c r="X4658" t="s">
        <v>261</v>
      </c>
      <c r="Y4658" t="s">
        <v>261</v>
      </c>
      <c r="AD4658" t="s">
        <v>261</v>
      </c>
      <c r="AH4658" t="s">
        <v>262</v>
      </c>
      <c r="AI4658" t="s">
        <v>261</v>
      </c>
      <c r="AJ4658" t="s">
        <v>261</v>
      </c>
      <c r="AK4658" t="s">
        <v>261</v>
      </c>
      <c r="AM4658" t="s">
        <v>262</v>
      </c>
      <c r="AN4658" t="s">
        <v>12544</v>
      </c>
    </row>
    <row r="4659" spans="1:40" x14ac:dyDescent="0.35">
      <c r="A4659">
        <v>7076755</v>
      </c>
      <c r="B4659" t="s">
        <v>12545</v>
      </c>
      <c r="C4659" t="str">
        <f>"9783031065699"</f>
        <v>9783031065699</v>
      </c>
      <c r="D4659" t="str">
        <f>"9783031065705"</f>
        <v>9783031065705</v>
      </c>
      <c r="E4659" t="s">
        <v>2289</v>
      </c>
      <c r="F4659" t="s">
        <v>2663</v>
      </c>
      <c r="G4659" s="1">
        <v>44857</v>
      </c>
      <c r="H4659" s="1">
        <v>44817</v>
      </c>
      <c r="I4659" t="s">
        <v>189</v>
      </c>
      <c r="L4659" t="s">
        <v>12546</v>
      </c>
    </row>
    <row r="4660" spans="1:40" x14ac:dyDescent="0.35">
      <c r="A4660">
        <v>7076794</v>
      </c>
      <c r="B4660" t="s">
        <v>12547</v>
      </c>
      <c r="C4660" t="str">
        <f>"9783658380250"</f>
        <v>9783658380250</v>
      </c>
      <c r="D4660" t="str">
        <f>"9783658380267"</f>
        <v>9783658380267</v>
      </c>
      <c r="E4660" t="s">
        <v>3972</v>
      </c>
      <c r="F4660" t="s">
        <v>3998</v>
      </c>
      <c r="G4660" s="1">
        <v>44796</v>
      </c>
      <c r="H4660" s="1">
        <v>44817</v>
      </c>
      <c r="I4660" t="s">
        <v>189</v>
      </c>
      <c r="L4660" t="s">
        <v>12548</v>
      </c>
    </row>
    <row r="4661" spans="1:40" x14ac:dyDescent="0.35">
      <c r="A4661">
        <v>7077172</v>
      </c>
      <c r="B4661" t="s">
        <v>12549</v>
      </c>
      <c r="C4661" t="str">
        <f>"9783031158445"</f>
        <v>9783031158445</v>
      </c>
      <c r="D4661" t="str">
        <f>"9783031158452"</f>
        <v>9783031158452</v>
      </c>
      <c r="E4661" t="s">
        <v>2289</v>
      </c>
      <c r="F4661" t="s">
        <v>2290</v>
      </c>
      <c r="G4661" s="1">
        <v>44797</v>
      </c>
      <c r="H4661" s="1">
        <v>44817</v>
      </c>
      <c r="I4661" t="s">
        <v>189</v>
      </c>
      <c r="K4661" t="s">
        <v>5734</v>
      </c>
      <c r="L4661" t="s">
        <v>12550</v>
      </c>
    </row>
    <row r="4662" spans="1:40" x14ac:dyDescent="0.35">
      <c r="A4662">
        <v>7077625</v>
      </c>
      <c r="B4662" t="s">
        <v>12551</v>
      </c>
      <c r="C4662" t="str">
        <f>"9783031061264"</f>
        <v>9783031061264</v>
      </c>
      <c r="D4662" t="str">
        <f>"9783031061271"</f>
        <v>9783031061271</v>
      </c>
      <c r="E4662" t="s">
        <v>2289</v>
      </c>
      <c r="F4662" t="s">
        <v>2290</v>
      </c>
      <c r="G4662" s="1">
        <v>44798</v>
      </c>
      <c r="H4662" s="1">
        <v>44817</v>
      </c>
      <c r="I4662" t="s">
        <v>189</v>
      </c>
      <c r="K4662" t="s">
        <v>12552</v>
      </c>
      <c r="L4662" t="s">
        <v>12553</v>
      </c>
    </row>
    <row r="4663" spans="1:40" x14ac:dyDescent="0.35">
      <c r="A4663">
        <v>7077634</v>
      </c>
      <c r="B4663" t="s">
        <v>12554</v>
      </c>
      <c r="C4663" t="str">
        <f>"9783658383862"</f>
        <v>9783658383862</v>
      </c>
      <c r="D4663" t="str">
        <f>"9783658383879"</f>
        <v>9783658383879</v>
      </c>
      <c r="E4663" t="s">
        <v>3972</v>
      </c>
      <c r="F4663" t="s">
        <v>4048</v>
      </c>
      <c r="G4663" s="1">
        <v>44829</v>
      </c>
      <c r="H4663" s="1">
        <v>44817</v>
      </c>
      <c r="I4663" t="s">
        <v>189</v>
      </c>
      <c r="K4663" t="s">
        <v>6089</v>
      </c>
      <c r="L4663" t="s">
        <v>12555</v>
      </c>
      <c r="M4663" t="s">
        <v>1318</v>
      </c>
      <c r="N4663" t="s">
        <v>6091</v>
      </c>
      <c r="Q4663" t="s">
        <v>408</v>
      </c>
      <c r="R4663" t="s">
        <v>261</v>
      </c>
      <c r="S4663" t="s">
        <v>261</v>
      </c>
      <c r="T4663" t="s">
        <v>261</v>
      </c>
      <c r="U4663" t="s">
        <v>261</v>
      </c>
      <c r="V4663" t="s">
        <v>262</v>
      </c>
      <c r="W4663" t="s">
        <v>261</v>
      </c>
      <c r="X4663" t="s">
        <v>261</v>
      </c>
      <c r="Y4663" t="s">
        <v>261</v>
      </c>
      <c r="Z4663" t="s">
        <v>409</v>
      </c>
      <c r="AA4663" t="s">
        <v>409</v>
      </c>
      <c r="AB4663" t="s">
        <v>409</v>
      </c>
      <c r="AC4663" t="s">
        <v>409</v>
      </c>
      <c r="AD4663" t="s">
        <v>261</v>
      </c>
      <c r="AH4663" t="s">
        <v>262</v>
      </c>
      <c r="AI4663" t="s">
        <v>262</v>
      </c>
      <c r="AJ4663" t="s">
        <v>261</v>
      </c>
      <c r="AK4663" t="s">
        <v>261</v>
      </c>
      <c r="AM4663" t="s">
        <v>262</v>
      </c>
      <c r="AN4663" t="s">
        <v>12556</v>
      </c>
    </row>
    <row r="4664" spans="1:40" x14ac:dyDescent="0.35">
      <c r="A4664">
        <v>7077649</v>
      </c>
      <c r="B4664" t="s">
        <v>12557</v>
      </c>
      <c r="C4664" t="str">
        <f>"9783031114656"</f>
        <v>9783031114656</v>
      </c>
      <c r="D4664" t="str">
        <f>"9783031114663"</f>
        <v>9783031114663</v>
      </c>
      <c r="E4664" t="s">
        <v>2289</v>
      </c>
      <c r="F4664" t="s">
        <v>2290</v>
      </c>
      <c r="G4664" s="1">
        <v>44829</v>
      </c>
      <c r="H4664" s="1">
        <v>44817</v>
      </c>
      <c r="I4664" t="s">
        <v>189</v>
      </c>
      <c r="K4664" t="s">
        <v>1208</v>
      </c>
      <c r="L4664" t="s">
        <v>12558</v>
      </c>
      <c r="M4664" t="s">
        <v>210</v>
      </c>
      <c r="N4664" t="s">
        <v>4706</v>
      </c>
      <c r="Q4664" t="s">
        <v>260</v>
      </c>
      <c r="R4664" t="s">
        <v>261</v>
      </c>
      <c r="S4664" t="s">
        <v>261</v>
      </c>
      <c r="T4664" t="s">
        <v>261</v>
      </c>
      <c r="U4664" t="s">
        <v>261</v>
      </c>
      <c r="V4664" t="s">
        <v>262</v>
      </c>
      <c r="W4664" t="s">
        <v>261</v>
      </c>
      <c r="X4664" t="s">
        <v>261</v>
      </c>
      <c r="Y4664" t="s">
        <v>261</v>
      </c>
      <c r="Z4664" t="s">
        <v>409</v>
      </c>
      <c r="AA4664" t="s">
        <v>409</v>
      </c>
      <c r="AB4664" t="s">
        <v>409</v>
      </c>
      <c r="AC4664" t="s">
        <v>409</v>
      </c>
      <c r="AD4664" t="s">
        <v>261</v>
      </c>
      <c r="AH4664" t="s">
        <v>262</v>
      </c>
      <c r="AI4664" t="s">
        <v>262</v>
      </c>
      <c r="AJ4664" t="s">
        <v>261</v>
      </c>
      <c r="AK4664" t="s">
        <v>261</v>
      </c>
      <c r="AM4664" t="s">
        <v>262</v>
      </c>
      <c r="AN4664" t="s">
        <v>12559</v>
      </c>
    </row>
    <row r="4665" spans="1:40" x14ac:dyDescent="0.35">
      <c r="A4665">
        <v>7077834</v>
      </c>
      <c r="B4665" t="s">
        <v>12560</v>
      </c>
      <c r="C4665" t="str">
        <f>"9789811937620"</f>
        <v>9789811937620</v>
      </c>
      <c r="D4665" t="str">
        <f>"9789811937637"</f>
        <v>9789811937637</v>
      </c>
      <c r="E4665" t="s">
        <v>2290</v>
      </c>
      <c r="F4665" t="s">
        <v>2290</v>
      </c>
      <c r="G4665" s="1">
        <v>44835</v>
      </c>
      <c r="H4665" s="1">
        <v>44817</v>
      </c>
      <c r="I4665" t="s">
        <v>189</v>
      </c>
      <c r="K4665" t="s">
        <v>9719</v>
      </c>
      <c r="L4665" t="s">
        <v>12561</v>
      </c>
    </row>
    <row r="4666" spans="1:40" x14ac:dyDescent="0.35">
      <c r="A4666">
        <v>7078021</v>
      </c>
      <c r="B4666" t="s">
        <v>12562</v>
      </c>
      <c r="C4666" t="str">
        <f>"9783658383008"</f>
        <v>9783658383008</v>
      </c>
      <c r="D4666" t="str">
        <f>"9783658383015"</f>
        <v>9783658383015</v>
      </c>
      <c r="E4666" t="s">
        <v>3972</v>
      </c>
      <c r="F4666" t="s">
        <v>3972</v>
      </c>
      <c r="G4666" s="1">
        <v>44842</v>
      </c>
      <c r="H4666" s="1">
        <v>44817</v>
      </c>
      <c r="I4666" t="s">
        <v>189</v>
      </c>
      <c r="K4666" t="s">
        <v>12563</v>
      </c>
      <c r="L4666" t="s">
        <v>12564</v>
      </c>
      <c r="M4666" t="s">
        <v>329</v>
      </c>
    </row>
    <row r="4667" spans="1:40" x14ac:dyDescent="0.35">
      <c r="A4667">
        <v>7078087</v>
      </c>
      <c r="B4667" t="s">
        <v>12565</v>
      </c>
      <c r="C4667" t="str">
        <f>"9789811927829"</f>
        <v>9789811927829</v>
      </c>
      <c r="D4667" t="str">
        <f>"9789811927836"</f>
        <v>9789811927836</v>
      </c>
      <c r="E4667" t="s">
        <v>2290</v>
      </c>
      <c r="F4667" t="s">
        <v>2290</v>
      </c>
      <c r="G4667" s="1">
        <v>44821</v>
      </c>
      <c r="H4667" s="1">
        <v>44817</v>
      </c>
      <c r="I4667" t="s">
        <v>189</v>
      </c>
      <c r="K4667" t="s">
        <v>5155</v>
      </c>
      <c r="L4667" t="s">
        <v>12566</v>
      </c>
      <c r="M4667" t="s">
        <v>535</v>
      </c>
    </row>
    <row r="4668" spans="1:40" x14ac:dyDescent="0.35">
      <c r="A4668">
        <v>7078129</v>
      </c>
      <c r="B4668" t="s">
        <v>12567</v>
      </c>
      <c r="C4668" t="str">
        <f>""</f>
        <v/>
      </c>
      <c r="D4668" t="str">
        <f>"9783110734522"</f>
        <v>9783110734522</v>
      </c>
      <c r="E4668" t="s">
        <v>415</v>
      </c>
      <c r="F4668" t="s">
        <v>415</v>
      </c>
      <c r="G4668" s="1">
        <v>44795</v>
      </c>
      <c r="H4668" s="1">
        <v>44817</v>
      </c>
      <c r="I4668" t="s">
        <v>189</v>
      </c>
      <c r="J4668">
        <v>1</v>
      </c>
      <c r="K4668" t="s">
        <v>11662</v>
      </c>
      <c r="L4668" t="s">
        <v>12568</v>
      </c>
      <c r="M4668" t="s">
        <v>199</v>
      </c>
      <c r="Q4668" t="s">
        <v>408</v>
      </c>
      <c r="R4668" t="s">
        <v>261</v>
      </c>
      <c r="S4668" t="s">
        <v>261</v>
      </c>
      <c r="T4668" t="s">
        <v>261</v>
      </c>
      <c r="U4668" t="s">
        <v>261</v>
      </c>
      <c r="V4668" t="s">
        <v>262</v>
      </c>
      <c r="W4668" t="s">
        <v>261</v>
      </c>
      <c r="X4668" t="s">
        <v>261</v>
      </c>
      <c r="Y4668" t="s">
        <v>261</v>
      </c>
      <c r="Z4668" t="s">
        <v>409</v>
      </c>
      <c r="AA4668" t="s">
        <v>409</v>
      </c>
      <c r="AB4668" t="s">
        <v>409</v>
      </c>
      <c r="AC4668" t="s">
        <v>409</v>
      </c>
      <c r="AD4668" t="s">
        <v>261</v>
      </c>
      <c r="AH4668" t="s">
        <v>262</v>
      </c>
      <c r="AI4668" t="s">
        <v>262</v>
      </c>
      <c r="AJ4668" t="s">
        <v>261</v>
      </c>
      <c r="AK4668" t="s">
        <v>261</v>
      </c>
      <c r="AM4668" t="s">
        <v>262</v>
      </c>
      <c r="AN4668" t="s">
        <v>12569</v>
      </c>
    </row>
    <row r="4669" spans="1:40" x14ac:dyDescent="0.35">
      <c r="A4669">
        <v>7078255</v>
      </c>
      <c r="B4669" t="s">
        <v>12570</v>
      </c>
      <c r="C4669" t="str">
        <f>""</f>
        <v/>
      </c>
      <c r="D4669" t="str">
        <f>"9789179294229"</f>
        <v>9789179294229</v>
      </c>
      <c r="E4669" t="s">
        <v>2975</v>
      </c>
      <c r="F4669" t="s">
        <v>2975</v>
      </c>
      <c r="G4669" s="1">
        <v>44796</v>
      </c>
      <c r="H4669" s="1">
        <v>44817</v>
      </c>
      <c r="I4669" t="s">
        <v>189</v>
      </c>
      <c r="J4669">
        <v>1</v>
      </c>
      <c r="L4669" t="s">
        <v>12571</v>
      </c>
      <c r="Q4669" t="s">
        <v>260</v>
      </c>
      <c r="R4669" t="s">
        <v>261</v>
      </c>
      <c r="S4669" t="s">
        <v>261</v>
      </c>
      <c r="T4669" t="s">
        <v>261</v>
      </c>
      <c r="U4669" t="s">
        <v>261</v>
      </c>
      <c r="V4669" t="s">
        <v>262</v>
      </c>
      <c r="W4669" t="s">
        <v>261</v>
      </c>
      <c r="X4669" t="s">
        <v>261</v>
      </c>
      <c r="Y4669" t="s">
        <v>261</v>
      </c>
      <c r="AD4669" t="s">
        <v>261</v>
      </c>
      <c r="AH4669" t="s">
        <v>262</v>
      </c>
      <c r="AI4669" t="s">
        <v>261</v>
      </c>
      <c r="AJ4669" t="s">
        <v>261</v>
      </c>
      <c r="AK4669" t="s">
        <v>261</v>
      </c>
      <c r="AM4669" t="s">
        <v>262</v>
      </c>
      <c r="AN4669" t="s">
        <v>12572</v>
      </c>
    </row>
    <row r="4670" spans="1:40" x14ac:dyDescent="0.35">
      <c r="A4670">
        <v>7078256</v>
      </c>
      <c r="B4670" t="s">
        <v>12573</v>
      </c>
      <c r="C4670" t="str">
        <f>""</f>
        <v/>
      </c>
      <c r="D4670" t="str">
        <f>"9789179293987"</f>
        <v>9789179293987</v>
      </c>
      <c r="E4670" t="s">
        <v>2975</v>
      </c>
      <c r="F4670" t="s">
        <v>2975</v>
      </c>
      <c r="G4670" s="1">
        <v>44796</v>
      </c>
      <c r="H4670" s="1">
        <v>44817</v>
      </c>
      <c r="I4670" t="s">
        <v>189</v>
      </c>
      <c r="J4670">
        <v>1</v>
      </c>
      <c r="L4670" t="s">
        <v>12574</v>
      </c>
      <c r="Q4670" t="s">
        <v>260</v>
      </c>
      <c r="R4670" t="s">
        <v>261</v>
      </c>
      <c r="S4670" t="s">
        <v>261</v>
      </c>
      <c r="T4670" t="s">
        <v>261</v>
      </c>
      <c r="U4670" t="s">
        <v>261</v>
      </c>
      <c r="V4670" t="s">
        <v>262</v>
      </c>
      <c r="W4670" t="s">
        <v>261</v>
      </c>
      <c r="X4670" t="s">
        <v>261</v>
      </c>
      <c r="Y4670" t="s">
        <v>261</v>
      </c>
      <c r="AD4670" t="s">
        <v>261</v>
      </c>
      <c r="AH4670" t="s">
        <v>262</v>
      </c>
      <c r="AI4670" t="s">
        <v>261</v>
      </c>
      <c r="AJ4670" t="s">
        <v>261</v>
      </c>
      <c r="AK4670" t="s">
        <v>261</v>
      </c>
      <c r="AM4670" t="s">
        <v>262</v>
      </c>
      <c r="AN4670" t="s">
        <v>12575</v>
      </c>
    </row>
    <row r="4671" spans="1:40" x14ac:dyDescent="0.35">
      <c r="A4671">
        <v>7078310</v>
      </c>
      <c r="B4671" t="s">
        <v>12576</v>
      </c>
      <c r="C4671" t="str">
        <f>"9783031092848"</f>
        <v>9783031092848</v>
      </c>
      <c r="D4671" t="str">
        <f>"9783031092855"</f>
        <v>9783031092855</v>
      </c>
      <c r="E4671" t="s">
        <v>2289</v>
      </c>
      <c r="F4671" t="s">
        <v>2663</v>
      </c>
      <c r="G4671" s="1">
        <v>44803</v>
      </c>
      <c r="H4671" s="1">
        <v>44817</v>
      </c>
      <c r="I4671" t="s">
        <v>189</v>
      </c>
      <c r="K4671" t="s">
        <v>12577</v>
      </c>
      <c r="L4671" t="s">
        <v>12578</v>
      </c>
      <c r="M4671" t="s">
        <v>389</v>
      </c>
      <c r="N4671" t="s">
        <v>4734</v>
      </c>
      <c r="O4671" t="s">
        <v>12579</v>
      </c>
      <c r="Q4671" t="s">
        <v>260</v>
      </c>
      <c r="R4671" t="s">
        <v>261</v>
      </c>
      <c r="S4671" t="s">
        <v>261</v>
      </c>
      <c r="T4671" t="s">
        <v>261</v>
      </c>
      <c r="U4671" t="s">
        <v>261</v>
      </c>
      <c r="V4671" t="s">
        <v>262</v>
      </c>
      <c r="W4671" t="s">
        <v>261</v>
      </c>
      <c r="X4671" t="s">
        <v>261</v>
      </c>
      <c r="Y4671" t="s">
        <v>261</v>
      </c>
      <c r="Z4671" t="s">
        <v>409</v>
      </c>
      <c r="AA4671" t="s">
        <v>409</v>
      </c>
      <c r="AB4671" t="s">
        <v>409</v>
      </c>
      <c r="AC4671" t="s">
        <v>409</v>
      </c>
      <c r="AD4671" t="s">
        <v>261</v>
      </c>
      <c r="AH4671" t="s">
        <v>262</v>
      </c>
      <c r="AI4671" t="s">
        <v>262</v>
      </c>
      <c r="AJ4671" t="s">
        <v>261</v>
      </c>
      <c r="AK4671" t="s">
        <v>261</v>
      </c>
      <c r="AM4671" t="s">
        <v>262</v>
      </c>
      <c r="AN4671" t="s">
        <v>12580</v>
      </c>
    </row>
    <row r="4672" spans="1:40" x14ac:dyDescent="0.35">
      <c r="A4672">
        <v>7079081</v>
      </c>
      <c r="B4672" t="s">
        <v>12581</v>
      </c>
      <c r="C4672" t="str">
        <f>"9783031090073"</f>
        <v>9783031090073</v>
      </c>
      <c r="D4672" t="str">
        <f>"9783031090080"</f>
        <v>9783031090080</v>
      </c>
      <c r="E4672" t="s">
        <v>2289</v>
      </c>
      <c r="F4672" t="s">
        <v>2290</v>
      </c>
      <c r="G4672" s="1">
        <v>44804</v>
      </c>
      <c r="H4672" s="1">
        <v>44817</v>
      </c>
      <c r="I4672" t="s">
        <v>189</v>
      </c>
      <c r="K4672" t="s">
        <v>12582</v>
      </c>
      <c r="L4672" t="s">
        <v>12583</v>
      </c>
    </row>
    <row r="4673" spans="1:40" x14ac:dyDescent="0.35">
      <c r="A4673">
        <v>7079584</v>
      </c>
      <c r="B4673" t="s">
        <v>12584</v>
      </c>
      <c r="C4673" t="str">
        <f>"9789811947582"</f>
        <v>9789811947582</v>
      </c>
      <c r="D4673" t="str">
        <f>"9789811947599"</f>
        <v>9789811947599</v>
      </c>
      <c r="E4673" t="s">
        <v>2290</v>
      </c>
      <c r="F4673" t="s">
        <v>2290</v>
      </c>
      <c r="G4673" s="1">
        <v>44803</v>
      </c>
      <c r="H4673" s="1">
        <v>44817</v>
      </c>
      <c r="I4673" t="s">
        <v>189</v>
      </c>
      <c r="K4673" t="s">
        <v>10302</v>
      </c>
      <c r="L4673" t="s">
        <v>12585</v>
      </c>
      <c r="M4673" t="s">
        <v>249</v>
      </c>
      <c r="N4673" t="s">
        <v>6008</v>
      </c>
      <c r="Q4673" t="s">
        <v>260</v>
      </c>
      <c r="R4673" t="s">
        <v>261</v>
      </c>
      <c r="S4673" t="s">
        <v>261</v>
      </c>
      <c r="T4673" t="s">
        <v>261</v>
      </c>
      <c r="U4673" t="s">
        <v>261</v>
      </c>
      <c r="V4673" t="s">
        <v>262</v>
      </c>
      <c r="W4673" t="s">
        <v>261</v>
      </c>
      <c r="X4673" t="s">
        <v>261</v>
      </c>
      <c r="Y4673" t="s">
        <v>261</v>
      </c>
      <c r="Z4673" t="s">
        <v>409</v>
      </c>
      <c r="AA4673" t="s">
        <v>409</v>
      </c>
      <c r="AB4673" t="s">
        <v>409</v>
      </c>
      <c r="AC4673" t="s">
        <v>409</v>
      </c>
      <c r="AD4673" t="s">
        <v>261</v>
      </c>
      <c r="AH4673" t="s">
        <v>262</v>
      </c>
      <c r="AI4673" t="s">
        <v>261</v>
      </c>
      <c r="AJ4673" t="s">
        <v>261</v>
      </c>
      <c r="AK4673" t="s">
        <v>261</v>
      </c>
      <c r="AM4673" t="s">
        <v>262</v>
      </c>
      <c r="AN4673" t="s">
        <v>12586</v>
      </c>
    </row>
    <row r="4674" spans="1:40" x14ac:dyDescent="0.35">
      <c r="A4674">
        <v>7079588</v>
      </c>
      <c r="B4674" t="s">
        <v>12587</v>
      </c>
      <c r="C4674" t="str">
        <f>"9783031130700"</f>
        <v>9783031130700</v>
      </c>
      <c r="D4674" t="str">
        <f>"9783031130717"</f>
        <v>9783031130717</v>
      </c>
      <c r="E4674" t="s">
        <v>2289</v>
      </c>
      <c r="F4674" t="s">
        <v>2663</v>
      </c>
      <c r="G4674" s="1">
        <v>44804</v>
      </c>
      <c r="H4674" s="1">
        <v>44817</v>
      </c>
      <c r="I4674" t="s">
        <v>189</v>
      </c>
      <c r="L4674" t="s">
        <v>12588</v>
      </c>
      <c r="M4674" t="s">
        <v>329</v>
      </c>
      <c r="N4674" t="s">
        <v>12589</v>
      </c>
      <c r="O4674" t="s">
        <v>12590</v>
      </c>
      <c r="Q4674" t="s">
        <v>260</v>
      </c>
      <c r="R4674" t="s">
        <v>261</v>
      </c>
      <c r="S4674" t="s">
        <v>261</v>
      </c>
      <c r="T4674" t="s">
        <v>261</v>
      </c>
      <c r="U4674" t="s">
        <v>261</v>
      </c>
      <c r="V4674" t="s">
        <v>262</v>
      </c>
      <c r="W4674" t="s">
        <v>261</v>
      </c>
      <c r="X4674" t="s">
        <v>261</v>
      </c>
      <c r="Y4674" t="s">
        <v>261</v>
      </c>
      <c r="Z4674" t="s">
        <v>409</v>
      </c>
      <c r="AA4674" t="s">
        <v>409</v>
      </c>
      <c r="AB4674" t="s">
        <v>409</v>
      </c>
      <c r="AC4674" t="s">
        <v>409</v>
      </c>
      <c r="AD4674" t="s">
        <v>261</v>
      </c>
      <c r="AH4674" t="s">
        <v>262</v>
      </c>
      <c r="AI4674" t="s">
        <v>261</v>
      </c>
      <c r="AJ4674" t="s">
        <v>261</v>
      </c>
      <c r="AK4674" t="s">
        <v>261</v>
      </c>
      <c r="AM4674" t="s">
        <v>262</v>
      </c>
      <c r="AN4674" t="s">
        <v>12591</v>
      </c>
    </row>
    <row r="4675" spans="1:40" x14ac:dyDescent="0.35">
      <c r="A4675">
        <v>7079591</v>
      </c>
      <c r="B4675" t="s">
        <v>12592</v>
      </c>
      <c r="C4675" t="str">
        <f>"9783658368173"</f>
        <v>9783658368173</v>
      </c>
      <c r="D4675" t="str">
        <f>"9783658368180"</f>
        <v>9783658368180</v>
      </c>
      <c r="E4675" t="s">
        <v>3972</v>
      </c>
      <c r="F4675" t="s">
        <v>3998</v>
      </c>
      <c r="G4675" s="1">
        <v>44805</v>
      </c>
      <c r="H4675" s="1">
        <v>44817</v>
      </c>
      <c r="I4675" t="s">
        <v>189</v>
      </c>
      <c r="K4675" t="s">
        <v>12593</v>
      </c>
      <c r="L4675" t="s">
        <v>12594</v>
      </c>
      <c r="M4675" t="s">
        <v>249</v>
      </c>
      <c r="N4675" t="s">
        <v>12595</v>
      </c>
      <c r="Q4675" t="s">
        <v>260</v>
      </c>
      <c r="R4675" t="s">
        <v>261</v>
      </c>
      <c r="S4675" t="s">
        <v>261</v>
      </c>
      <c r="T4675" t="s">
        <v>261</v>
      </c>
      <c r="U4675" t="s">
        <v>261</v>
      </c>
      <c r="V4675" t="s">
        <v>262</v>
      </c>
      <c r="W4675" t="s">
        <v>261</v>
      </c>
      <c r="X4675" t="s">
        <v>261</v>
      </c>
      <c r="Y4675" t="s">
        <v>261</v>
      </c>
      <c r="Z4675" t="s">
        <v>409</v>
      </c>
      <c r="AA4675" t="s">
        <v>409</v>
      </c>
      <c r="AB4675" t="s">
        <v>409</v>
      </c>
      <c r="AC4675" t="s">
        <v>409</v>
      </c>
      <c r="AD4675" t="s">
        <v>261</v>
      </c>
      <c r="AH4675" t="s">
        <v>262</v>
      </c>
      <c r="AI4675" t="s">
        <v>261</v>
      </c>
      <c r="AJ4675" t="s">
        <v>261</v>
      </c>
      <c r="AK4675" t="s">
        <v>261</v>
      </c>
      <c r="AM4675" t="s">
        <v>262</v>
      </c>
      <c r="AN4675" t="s">
        <v>12596</v>
      </c>
    </row>
    <row r="4676" spans="1:40" x14ac:dyDescent="0.35">
      <c r="A4676">
        <v>7079600</v>
      </c>
      <c r="B4676" t="s">
        <v>12597</v>
      </c>
      <c r="C4676" t="str">
        <f>"9789811926105"</f>
        <v>9789811926105</v>
      </c>
      <c r="D4676" t="str">
        <f>"9789811926112"</f>
        <v>9789811926112</v>
      </c>
      <c r="E4676" t="s">
        <v>2662</v>
      </c>
      <c r="F4676" t="s">
        <v>2663</v>
      </c>
      <c r="G4676" s="1">
        <v>44836</v>
      </c>
      <c r="H4676" s="1">
        <v>44817</v>
      </c>
      <c r="I4676" t="s">
        <v>189</v>
      </c>
      <c r="K4676" t="s">
        <v>12598</v>
      </c>
      <c r="L4676" t="s">
        <v>12599</v>
      </c>
      <c r="M4676" t="s">
        <v>210</v>
      </c>
      <c r="N4676" t="s">
        <v>12600</v>
      </c>
      <c r="Q4676" t="s">
        <v>260</v>
      </c>
      <c r="R4676" t="s">
        <v>261</v>
      </c>
      <c r="S4676" t="s">
        <v>261</v>
      </c>
      <c r="T4676" t="s">
        <v>261</v>
      </c>
      <c r="U4676" t="s">
        <v>261</v>
      </c>
      <c r="V4676" t="s">
        <v>262</v>
      </c>
      <c r="W4676" t="s">
        <v>261</v>
      </c>
      <c r="X4676" t="s">
        <v>261</v>
      </c>
      <c r="Y4676" t="s">
        <v>261</v>
      </c>
      <c r="Z4676" t="s">
        <v>409</v>
      </c>
      <c r="AA4676" t="s">
        <v>409</v>
      </c>
      <c r="AB4676" t="s">
        <v>409</v>
      </c>
      <c r="AC4676" t="s">
        <v>409</v>
      </c>
      <c r="AD4676" t="s">
        <v>261</v>
      </c>
      <c r="AH4676" t="s">
        <v>262</v>
      </c>
      <c r="AI4676" t="s">
        <v>262</v>
      </c>
      <c r="AJ4676" t="s">
        <v>261</v>
      </c>
      <c r="AK4676" t="s">
        <v>261</v>
      </c>
      <c r="AM4676" t="s">
        <v>262</v>
      </c>
      <c r="AN4676" t="s">
        <v>12601</v>
      </c>
    </row>
    <row r="4677" spans="1:40" x14ac:dyDescent="0.35">
      <c r="A4677">
        <v>7079636</v>
      </c>
      <c r="B4677" t="s">
        <v>12602</v>
      </c>
      <c r="C4677" t="str">
        <f>"9783030976057"</f>
        <v>9783030976057</v>
      </c>
      <c r="D4677" t="str">
        <f>"9783030976064"</f>
        <v>9783030976064</v>
      </c>
      <c r="E4677" t="s">
        <v>2289</v>
      </c>
      <c r="F4677" t="s">
        <v>2290</v>
      </c>
      <c r="G4677" s="1">
        <v>44836</v>
      </c>
      <c r="H4677" s="1">
        <v>44817</v>
      </c>
      <c r="I4677" t="s">
        <v>189</v>
      </c>
      <c r="L4677" t="s">
        <v>12603</v>
      </c>
    </row>
    <row r="4678" spans="1:40" x14ac:dyDescent="0.35">
      <c r="A4678">
        <v>7079666</v>
      </c>
      <c r="B4678" t="s">
        <v>12604</v>
      </c>
      <c r="C4678" t="str">
        <f>"9789811951770"</f>
        <v>9789811951770</v>
      </c>
      <c r="D4678" t="str">
        <f>"9789811951787"</f>
        <v>9789811951787</v>
      </c>
      <c r="E4678" t="s">
        <v>2290</v>
      </c>
      <c r="F4678" t="s">
        <v>2290</v>
      </c>
      <c r="G4678" s="1">
        <v>44804</v>
      </c>
      <c r="H4678" s="1">
        <v>44817</v>
      </c>
      <c r="I4678" t="s">
        <v>189</v>
      </c>
      <c r="K4678" t="s">
        <v>8428</v>
      </c>
      <c r="L4678" t="s">
        <v>12605</v>
      </c>
    </row>
    <row r="4679" spans="1:40" x14ac:dyDescent="0.35">
      <c r="A4679">
        <v>7080101</v>
      </c>
      <c r="B4679" t="s">
        <v>12606</v>
      </c>
      <c r="C4679" t="str">
        <f>"9783030978259"</f>
        <v>9783030978259</v>
      </c>
      <c r="D4679" t="str">
        <f>"9783030978266"</f>
        <v>9783030978266</v>
      </c>
      <c r="E4679" t="s">
        <v>2289</v>
      </c>
      <c r="F4679" t="s">
        <v>2290</v>
      </c>
      <c r="G4679" s="1">
        <v>44857</v>
      </c>
      <c r="H4679" s="1">
        <v>44817</v>
      </c>
      <c r="I4679" t="s">
        <v>189</v>
      </c>
      <c r="K4679" t="s">
        <v>4871</v>
      </c>
      <c r="L4679" t="s">
        <v>12607</v>
      </c>
    </row>
    <row r="4680" spans="1:40" x14ac:dyDescent="0.35">
      <c r="A4680">
        <v>7080111</v>
      </c>
      <c r="B4680" t="s">
        <v>12608</v>
      </c>
      <c r="C4680" t="str">
        <f>"9783031118395"</f>
        <v>9783031118395</v>
      </c>
      <c r="D4680" t="str">
        <f>"9783031118401"</f>
        <v>9783031118401</v>
      </c>
      <c r="E4680" t="s">
        <v>2289</v>
      </c>
      <c r="F4680" t="s">
        <v>2290</v>
      </c>
      <c r="G4680" s="1">
        <v>44842</v>
      </c>
      <c r="H4680" s="1">
        <v>44817</v>
      </c>
      <c r="I4680" t="s">
        <v>189</v>
      </c>
      <c r="K4680" t="s">
        <v>5128</v>
      </c>
      <c r="L4680" t="s">
        <v>12609</v>
      </c>
    </row>
    <row r="4681" spans="1:40" x14ac:dyDescent="0.35">
      <c r="A4681">
        <v>7080146</v>
      </c>
      <c r="B4681" t="s">
        <v>12610</v>
      </c>
      <c r="C4681" t="str">
        <f>"9783031097119"</f>
        <v>9783031097119</v>
      </c>
      <c r="D4681" t="str">
        <f>"9783031097126"</f>
        <v>9783031097126</v>
      </c>
      <c r="E4681" t="s">
        <v>2289</v>
      </c>
      <c r="F4681" t="s">
        <v>2290</v>
      </c>
      <c r="G4681" s="1">
        <v>44837</v>
      </c>
      <c r="H4681" s="1">
        <v>44817</v>
      </c>
      <c r="I4681" t="s">
        <v>189</v>
      </c>
      <c r="K4681" t="s">
        <v>12611</v>
      </c>
      <c r="L4681" t="s">
        <v>12612</v>
      </c>
      <c r="M4681" t="s">
        <v>249</v>
      </c>
      <c r="N4681" t="s">
        <v>5250</v>
      </c>
      <c r="Q4681" t="s">
        <v>260</v>
      </c>
      <c r="R4681" t="s">
        <v>261</v>
      </c>
      <c r="S4681" t="s">
        <v>261</v>
      </c>
      <c r="T4681" t="s">
        <v>261</v>
      </c>
      <c r="U4681" t="s">
        <v>261</v>
      </c>
      <c r="V4681" t="s">
        <v>262</v>
      </c>
      <c r="W4681" t="s">
        <v>261</v>
      </c>
      <c r="X4681" t="s">
        <v>261</v>
      </c>
      <c r="Y4681" t="s">
        <v>261</v>
      </c>
      <c r="Z4681" t="s">
        <v>409</v>
      </c>
      <c r="AA4681" t="s">
        <v>409</v>
      </c>
      <c r="AB4681" t="s">
        <v>409</v>
      </c>
      <c r="AC4681" t="s">
        <v>409</v>
      </c>
      <c r="AD4681" t="s">
        <v>261</v>
      </c>
      <c r="AH4681" t="s">
        <v>262</v>
      </c>
      <c r="AI4681" t="s">
        <v>262</v>
      </c>
      <c r="AJ4681" t="s">
        <v>261</v>
      </c>
      <c r="AK4681" t="s">
        <v>261</v>
      </c>
      <c r="AM4681" t="s">
        <v>262</v>
      </c>
      <c r="AN4681" t="s">
        <v>12613</v>
      </c>
    </row>
    <row r="4682" spans="1:40" x14ac:dyDescent="0.35">
      <c r="A4682">
        <v>7080214</v>
      </c>
      <c r="B4682" t="s">
        <v>12614</v>
      </c>
      <c r="C4682" t="str">
        <f>"9783031159107"</f>
        <v>9783031159107</v>
      </c>
      <c r="D4682" t="str">
        <f>"9783031159114"</f>
        <v>9783031159114</v>
      </c>
      <c r="E4682" t="s">
        <v>2289</v>
      </c>
      <c r="F4682" t="s">
        <v>2290</v>
      </c>
      <c r="G4682" s="1">
        <v>44807</v>
      </c>
      <c r="H4682" s="1">
        <v>44817</v>
      </c>
      <c r="I4682" t="s">
        <v>189</v>
      </c>
      <c r="K4682" t="s">
        <v>4008</v>
      </c>
      <c r="L4682" t="s">
        <v>6985</v>
      </c>
    </row>
    <row r="4683" spans="1:40" x14ac:dyDescent="0.35">
      <c r="A4683">
        <v>7080425</v>
      </c>
      <c r="B4683" t="s">
        <v>12615</v>
      </c>
      <c r="C4683" t="str">
        <f>""</f>
        <v/>
      </c>
      <c r="D4683" t="str">
        <f>"9789179294021"</f>
        <v>9789179294021</v>
      </c>
      <c r="E4683" t="s">
        <v>2975</v>
      </c>
      <c r="F4683" t="s">
        <v>2975</v>
      </c>
      <c r="G4683" s="1">
        <v>44803</v>
      </c>
      <c r="H4683" s="1">
        <v>44817</v>
      </c>
      <c r="I4683" t="s">
        <v>189</v>
      </c>
      <c r="J4683">
        <v>1</v>
      </c>
      <c r="L4683" t="s">
        <v>12616</v>
      </c>
      <c r="Q4683" t="s">
        <v>260</v>
      </c>
      <c r="R4683" t="s">
        <v>261</v>
      </c>
      <c r="S4683" t="s">
        <v>261</v>
      </c>
      <c r="T4683" t="s">
        <v>261</v>
      </c>
      <c r="U4683" t="s">
        <v>261</v>
      </c>
      <c r="V4683" t="s">
        <v>262</v>
      </c>
      <c r="W4683" t="s">
        <v>261</v>
      </c>
      <c r="X4683" t="s">
        <v>261</v>
      </c>
      <c r="Y4683" t="s">
        <v>261</v>
      </c>
      <c r="AD4683" t="s">
        <v>261</v>
      </c>
      <c r="AH4683" t="s">
        <v>262</v>
      </c>
      <c r="AI4683" t="s">
        <v>261</v>
      </c>
      <c r="AJ4683" t="s">
        <v>261</v>
      </c>
      <c r="AK4683" t="s">
        <v>261</v>
      </c>
      <c r="AM4683" t="s">
        <v>262</v>
      </c>
      <c r="AN4683" t="s">
        <v>12617</v>
      </c>
    </row>
    <row r="4684" spans="1:40" x14ac:dyDescent="0.35">
      <c r="A4684">
        <v>7080426</v>
      </c>
      <c r="B4684" t="s">
        <v>12618</v>
      </c>
      <c r="C4684" t="str">
        <f>""</f>
        <v/>
      </c>
      <c r="D4684" t="str">
        <f>"9789179292386"</f>
        <v>9789179292386</v>
      </c>
      <c r="E4684" t="s">
        <v>2975</v>
      </c>
      <c r="F4684" t="s">
        <v>2975</v>
      </c>
      <c r="G4684" s="1">
        <v>44805</v>
      </c>
      <c r="H4684" s="1">
        <v>44817</v>
      </c>
      <c r="I4684" t="s">
        <v>189</v>
      </c>
      <c r="J4684">
        <v>1</v>
      </c>
      <c r="L4684" t="s">
        <v>12619</v>
      </c>
      <c r="Q4684" t="s">
        <v>260</v>
      </c>
      <c r="R4684" t="s">
        <v>261</v>
      </c>
      <c r="S4684" t="s">
        <v>261</v>
      </c>
      <c r="T4684" t="s">
        <v>261</v>
      </c>
      <c r="U4684" t="s">
        <v>261</v>
      </c>
      <c r="V4684" t="s">
        <v>262</v>
      </c>
      <c r="W4684" t="s">
        <v>261</v>
      </c>
      <c r="X4684" t="s">
        <v>261</v>
      </c>
      <c r="Y4684" t="s">
        <v>261</v>
      </c>
      <c r="AD4684" t="s">
        <v>261</v>
      </c>
      <c r="AH4684" t="s">
        <v>262</v>
      </c>
      <c r="AI4684" t="s">
        <v>261</v>
      </c>
      <c r="AJ4684" t="s">
        <v>261</v>
      </c>
      <c r="AK4684" t="s">
        <v>261</v>
      </c>
      <c r="AM4684" t="s">
        <v>262</v>
      </c>
      <c r="AN4684" t="s">
        <v>12620</v>
      </c>
    </row>
    <row r="4685" spans="1:40" x14ac:dyDescent="0.35">
      <c r="A4685">
        <v>7080714</v>
      </c>
      <c r="B4685" t="s">
        <v>12621</v>
      </c>
      <c r="C4685" t="str">
        <f>"9783031132308"</f>
        <v>9783031132308</v>
      </c>
      <c r="D4685" t="str">
        <f>"9783031132315"</f>
        <v>9783031132315</v>
      </c>
      <c r="E4685" t="s">
        <v>2289</v>
      </c>
      <c r="F4685" t="s">
        <v>2663</v>
      </c>
      <c r="G4685" s="1">
        <v>44856</v>
      </c>
      <c r="H4685" s="1">
        <v>44817</v>
      </c>
      <c r="I4685" t="s">
        <v>189</v>
      </c>
      <c r="K4685" t="s">
        <v>12622</v>
      </c>
      <c r="L4685" t="s">
        <v>12623</v>
      </c>
    </row>
    <row r="4686" spans="1:40" x14ac:dyDescent="0.35">
      <c r="A4686">
        <v>7080726</v>
      </c>
      <c r="B4686" t="s">
        <v>12624</v>
      </c>
      <c r="C4686" t="str">
        <f>"9783031106644"</f>
        <v>9783031106644</v>
      </c>
      <c r="D4686" t="str">
        <f>"9783031106651"</f>
        <v>9783031106651</v>
      </c>
      <c r="E4686" t="s">
        <v>2289</v>
      </c>
      <c r="F4686" t="s">
        <v>2663</v>
      </c>
      <c r="G4686" s="1">
        <v>44810</v>
      </c>
      <c r="H4686" s="1">
        <v>44817</v>
      </c>
      <c r="I4686" t="s">
        <v>189</v>
      </c>
      <c r="L4686" t="s">
        <v>12625</v>
      </c>
      <c r="M4686" t="s">
        <v>210</v>
      </c>
    </row>
    <row r="4687" spans="1:40" x14ac:dyDescent="0.35">
      <c r="A4687">
        <v>7081046</v>
      </c>
      <c r="B4687" t="s">
        <v>12626</v>
      </c>
      <c r="C4687" t="str">
        <f>"9783031046827"</f>
        <v>9783031046827</v>
      </c>
      <c r="D4687" t="str">
        <f>"9783031046834"</f>
        <v>9783031046834</v>
      </c>
      <c r="E4687" t="s">
        <v>2289</v>
      </c>
      <c r="F4687" t="s">
        <v>2290</v>
      </c>
      <c r="G4687" s="1">
        <v>44811</v>
      </c>
      <c r="H4687" s="1">
        <v>44817</v>
      </c>
      <c r="I4687" t="s">
        <v>189</v>
      </c>
      <c r="L4687" t="s">
        <v>12627</v>
      </c>
      <c r="M4687" t="s">
        <v>847</v>
      </c>
    </row>
    <row r="4688" spans="1:40" x14ac:dyDescent="0.35">
      <c r="A4688">
        <v>7081892</v>
      </c>
      <c r="B4688" t="s">
        <v>12628</v>
      </c>
      <c r="C4688" t="str">
        <f>"9783031135651"</f>
        <v>9783031135651</v>
      </c>
      <c r="D4688" t="str">
        <f>"9783031135668"</f>
        <v>9783031135668</v>
      </c>
      <c r="E4688" t="s">
        <v>2289</v>
      </c>
      <c r="F4688" t="s">
        <v>2290</v>
      </c>
      <c r="G4688" s="1">
        <v>44812</v>
      </c>
      <c r="H4688" s="1">
        <v>44817</v>
      </c>
      <c r="I4688" t="s">
        <v>189</v>
      </c>
      <c r="L4688" t="s">
        <v>12629</v>
      </c>
      <c r="M4688" t="s">
        <v>1318</v>
      </c>
      <c r="N4688" t="s">
        <v>6091</v>
      </c>
      <c r="Q4688" t="s">
        <v>260</v>
      </c>
      <c r="R4688" t="s">
        <v>261</v>
      </c>
      <c r="S4688" t="s">
        <v>261</v>
      </c>
      <c r="T4688" t="s">
        <v>261</v>
      </c>
      <c r="U4688" t="s">
        <v>261</v>
      </c>
      <c r="V4688" t="s">
        <v>262</v>
      </c>
      <c r="W4688" t="s">
        <v>261</v>
      </c>
      <c r="X4688" t="s">
        <v>261</v>
      </c>
      <c r="Y4688" t="s">
        <v>261</v>
      </c>
      <c r="Z4688" t="s">
        <v>409</v>
      </c>
      <c r="AA4688" t="s">
        <v>409</v>
      </c>
      <c r="AB4688" t="s">
        <v>409</v>
      </c>
      <c r="AC4688" t="s">
        <v>409</v>
      </c>
      <c r="AD4688" t="s">
        <v>261</v>
      </c>
      <c r="AH4688" t="s">
        <v>262</v>
      </c>
      <c r="AI4688" t="s">
        <v>262</v>
      </c>
      <c r="AJ4688" t="s">
        <v>261</v>
      </c>
      <c r="AK4688" t="s">
        <v>261</v>
      </c>
      <c r="AM4688" t="s">
        <v>262</v>
      </c>
      <c r="AN4688" t="s">
        <v>12630</v>
      </c>
    </row>
    <row r="4689" spans="1:40" x14ac:dyDescent="0.35">
      <c r="A4689">
        <v>7083155</v>
      </c>
      <c r="B4689" t="s">
        <v>12631</v>
      </c>
      <c r="C4689" t="str">
        <f>"9783030986353"</f>
        <v>9783030986353</v>
      </c>
      <c r="D4689" t="str">
        <f>"9783030986360"</f>
        <v>9783030986360</v>
      </c>
      <c r="E4689" t="s">
        <v>2289</v>
      </c>
      <c r="F4689" t="s">
        <v>2290</v>
      </c>
      <c r="G4689" s="1">
        <v>44849</v>
      </c>
      <c r="H4689" s="1">
        <v>44817</v>
      </c>
      <c r="I4689" t="s">
        <v>189</v>
      </c>
      <c r="L4689" t="s">
        <v>65</v>
      </c>
    </row>
    <row r="4690" spans="1:40" x14ac:dyDescent="0.35">
      <c r="A4690">
        <v>7083217</v>
      </c>
      <c r="B4690" t="s">
        <v>12632</v>
      </c>
      <c r="C4690" t="str">
        <f>"9783030860646"</f>
        <v>9783030860646</v>
      </c>
      <c r="D4690" t="str">
        <f>"9783030860653"</f>
        <v>9783030860653</v>
      </c>
      <c r="E4690" t="s">
        <v>2289</v>
      </c>
      <c r="F4690" t="s">
        <v>2290</v>
      </c>
      <c r="G4690" s="1">
        <v>44849</v>
      </c>
      <c r="H4690" s="1">
        <v>44817</v>
      </c>
      <c r="I4690" t="s">
        <v>189</v>
      </c>
      <c r="L4690" t="s">
        <v>12633</v>
      </c>
    </row>
    <row r="4691" spans="1:40" x14ac:dyDescent="0.35">
      <c r="A4691">
        <v>7084580</v>
      </c>
      <c r="B4691" t="s">
        <v>12634</v>
      </c>
      <c r="C4691" t="str">
        <f>"9783031058622"</f>
        <v>9783031058622</v>
      </c>
      <c r="D4691" t="str">
        <f>"9783031058639"</f>
        <v>9783031058639</v>
      </c>
      <c r="E4691" t="s">
        <v>2289</v>
      </c>
      <c r="F4691" t="s">
        <v>2290</v>
      </c>
      <c r="G4691" s="1">
        <v>44851</v>
      </c>
      <c r="H4691" s="1">
        <v>44883</v>
      </c>
      <c r="I4691" t="s">
        <v>189</v>
      </c>
      <c r="K4691" t="s">
        <v>12635</v>
      </c>
      <c r="L4691" t="s">
        <v>12636</v>
      </c>
    </row>
    <row r="4692" spans="1:40" x14ac:dyDescent="0.35">
      <c r="A4692">
        <v>7084979</v>
      </c>
      <c r="B4692" t="s">
        <v>12637</v>
      </c>
      <c r="C4692" t="str">
        <f>"9783031127137"</f>
        <v>9783031127137</v>
      </c>
      <c r="D4692" t="str">
        <f>"9783031127144"</f>
        <v>9783031127144</v>
      </c>
      <c r="E4692" t="s">
        <v>2289</v>
      </c>
      <c r="F4692" t="s">
        <v>2290</v>
      </c>
      <c r="G4692" s="1">
        <v>44818</v>
      </c>
      <c r="H4692" s="1">
        <v>44883</v>
      </c>
      <c r="I4692" t="s">
        <v>189</v>
      </c>
      <c r="L4692" t="s">
        <v>12638</v>
      </c>
      <c r="M4692" t="s">
        <v>316</v>
      </c>
      <c r="N4692" t="s">
        <v>12639</v>
      </c>
      <c r="Q4692" t="s">
        <v>260</v>
      </c>
      <c r="R4692" t="s">
        <v>261</v>
      </c>
      <c r="S4692" t="s">
        <v>261</v>
      </c>
      <c r="T4692" t="s">
        <v>261</v>
      </c>
      <c r="U4692" t="s">
        <v>261</v>
      </c>
      <c r="V4692" t="s">
        <v>262</v>
      </c>
      <c r="W4692" t="s">
        <v>261</v>
      </c>
      <c r="X4692" t="s">
        <v>261</v>
      </c>
      <c r="Y4692" t="s">
        <v>261</v>
      </c>
      <c r="Z4692" t="s">
        <v>409</v>
      </c>
      <c r="AA4692" t="s">
        <v>409</v>
      </c>
      <c r="AB4692" t="s">
        <v>409</v>
      </c>
      <c r="AC4692" t="s">
        <v>409</v>
      </c>
      <c r="AD4692" t="s">
        <v>261</v>
      </c>
      <c r="AH4692" t="s">
        <v>262</v>
      </c>
      <c r="AI4692" t="s">
        <v>262</v>
      </c>
      <c r="AJ4692" t="s">
        <v>261</v>
      </c>
      <c r="AK4692" t="s">
        <v>261</v>
      </c>
      <c r="AM4692" t="s">
        <v>262</v>
      </c>
      <c r="AN4692" t="s">
        <v>12640</v>
      </c>
    </row>
    <row r="4693" spans="1:40" x14ac:dyDescent="0.35">
      <c r="A4693">
        <v>7084980</v>
      </c>
      <c r="B4693" t="s">
        <v>12641</v>
      </c>
      <c r="C4693" t="str">
        <f>"9783031106941"</f>
        <v>9783031106941</v>
      </c>
      <c r="D4693" t="str">
        <f>"9783031106958"</f>
        <v>9783031106958</v>
      </c>
      <c r="E4693" t="s">
        <v>2289</v>
      </c>
      <c r="F4693" t="s">
        <v>2663</v>
      </c>
      <c r="G4693" s="1">
        <v>44853</v>
      </c>
      <c r="H4693" s="1">
        <v>44883</v>
      </c>
      <c r="I4693" t="s">
        <v>189</v>
      </c>
      <c r="L4693" t="s">
        <v>12642</v>
      </c>
      <c r="M4693" t="s">
        <v>210</v>
      </c>
      <c r="N4693" t="s">
        <v>12643</v>
      </c>
      <c r="Q4693" t="s">
        <v>260</v>
      </c>
      <c r="R4693" t="s">
        <v>261</v>
      </c>
      <c r="S4693" t="s">
        <v>261</v>
      </c>
      <c r="T4693" t="s">
        <v>261</v>
      </c>
      <c r="U4693" t="s">
        <v>261</v>
      </c>
      <c r="V4693" t="s">
        <v>262</v>
      </c>
      <c r="W4693" t="s">
        <v>261</v>
      </c>
      <c r="X4693" t="s">
        <v>261</v>
      </c>
      <c r="Y4693" t="s">
        <v>261</v>
      </c>
      <c r="Z4693" t="s">
        <v>409</v>
      </c>
      <c r="AA4693" t="s">
        <v>409</v>
      </c>
      <c r="AB4693" t="s">
        <v>409</v>
      </c>
      <c r="AC4693" t="s">
        <v>409</v>
      </c>
      <c r="AD4693" t="s">
        <v>261</v>
      </c>
      <c r="AH4693" t="s">
        <v>262</v>
      </c>
      <c r="AI4693" t="s">
        <v>262</v>
      </c>
      <c r="AJ4693" t="s">
        <v>261</v>
      </c>
      <c r="AK4693" t="s">
        <v>261</v>
      </c>
      <c r="AM4693" t="s">
        <v>262</v>
      </c>
      <c r="AN4693" t="s">
        <v>12644</v>
      </c>
    </row>
    <row r="4694" spans="1:40" x14ac:dyDescent="0.35">
      <c r="A4694">
        <v>7087512</v>
      </c>
      <c r="B4694" t="s">
        <v>12645</v>
      </c>
      <c r="C4694" t="str">
        <f>"9783031084232"</f>
        <v>9783031084232</v>
      </c>
      <c r="D4694" t="str">
        <f>"9783031084249"</f>
        <v>9783031084249</v>
      </c>
      <c r="E4694" t="s">
        <v>2289</v>
      </c>
      <c r="F4694" t="s">
        <v>2290</v>
      </c>
      <c r="G4694" s="1">
        <v>44818</v>
      </c>
      <c r="H4694" s="1">
        <v>44883</v>
      </c>
      <c r="I4694" t="s">
        <v>189</v>
      </c>
      <c r="K4694" t="s">
        <v>8437</v>
      </c>
      <c r="L4694" t="s">
        <v>12646</v>
      </c>
    </row>
    <row r="4695" spans="1:40" x14ac:dyDescent="0.35">
      <c r="A4695">
        <v>7087531</v>
      </c>
      <c r="B4695" t="s">
        <v>12647</v>
      </c>
      <c r="C4695" t="str">
        <f>"9783031135118"</f>
        <v>9783031135118</v>
      </c>
      <c r="D4695" t="str">
        <f>"9783031135125"</f>
        <v>9783031135125</v>
      </c>
      <c r="E4695" t="s">
        <v>2289</v>
      </c>
      <c r="F4695" t="s">
        <v>2290</v>
      </c>
      <c r="G4695" s="1">
        <v>44850</v>
      </c>
      <c r="H4695" s="1">
        <v>44883</v>
      </c>
      <c r="I4695" t="s">
        <v>189</v>
      </c>
      <c r="K4695" t="s">
        <v>4227</v>
      </c>
      <c r="L4695" t="s">
        <v>12648</v>
      </c>
    </row>
    <row r="4696" spans="1:40" x14ac:dyDescent="0.35">
      <c r="A4696">
        <v>7097613</v>
      </c>
      <c r="B4696" t="s">
        <v>12649</v>
      </c>
      <c r="C4696" t="str">
        <f>"9783732865703"</f>
        <v>9783732865703</v>
      </c>
      <c r="D4696" t="str">
        <f>"9783839465707"</f>
        <v>9783839465707</v>
      </c>
      <c r="E4696" t="s">
        <v>7532</v>
      </c>
      <c r="F4696" t="s">
        <v>7533</v>
      </c>
      <c r="G4696" s="1">
        <v>44805</v>
      </c>
      <c r="H4696" s="1">
        <v>44831</v>
      </c>
      <c r="I4696" t="s">
        <v>189</v>
      </c>
      <c r="J4696">
        <v>1</v>
      </c>
      <c r="K4696" t="s">
        <v>12650</v>
      </c>
      <c r="L4696" t="s">
        <v>12651</v>
      </c>
    </row>
    <row r="4697" spans="1:40" x14ac:dyDescent="0.35">
      <c r="A4697">
        <v>7097802</v>
      </c>
      <c r="B4697" t="s">
        <v>12652</v>
      </c>
      <c r="C4697" t="str">
        <f>"9783031134937"</f>
        <v>9783031134937</v>
      </c>
      <c r="D4697" t="str">
        <f>"9783031134944"</f>
        <v>9783031134944</v>
      </c>
      <c r="E4697" t="s">
        <v>2289</v>
      </c>
      <c r="F4697" t="s">
        <v>2290</v>
      </c>
      <c r="G4697" s="1">
        <v>44824</v>
      </c>
      <c r="H4697" s="1">
        <v>44883</v>
      </c>
      <c r="I4697" t="s">
        <v>189</v>
      </c>
      <c r="L4697" t="s">
        <v>12653</v>
      </c>
    </row>
    <row r="4698" spans="1:40" x14ac:dyDescent="0.35">
      <c r="A4698">
        <v>7100628</v>
      </c>
      <c r="B4698" t="s">
        <v>12654</v>
      </c>
      <c r="C4698" t="str">
        <f>""</f>
        <v/>
      </c>
      <c r="D4698" t="str">
        <f>"9789179293840"</f>
        <v>9789179293840</v>
      </c>
      <c r="E4698" t="s">
        <v>2975</v>
      </c>
      <c r="F4698" t="s">
        <v>2975</v>
      </c>
      <c r="G4698" s="1">
        <v>44827</v>
      </c>
      <c r="H4698" s="1">
        <v>44839</v>
      </c>
      <c r="I4698" t="s">
        <v>189</v>
      </c>
      <c r="J4698">
        <v>1</v>
      </c>
      <c r="L4698" t="s">
        <v>12655</v>
      </c>
      <c r="Q4698" t="s">
        <v>260</v>
      </c>
      <c r="R4698" t="s">
        <v>261</v>
      </c>
      <c r="S4698" t="s">
        <v>261</v>
      </c>
      <c r="T4698" t="s">
        <v>261</v>
      </c>
      <c r="U4698" t="s">
        <v>261</v>
      </c>
      <c r="V4698" t="s">
        <v>262</v>
      </c>
      <c r="W4698" t="s">
        <v>261</v>
      </c>
      <c r="X4698" t="s">
        <v>261</v>
      </c>
      <c r="Y4698" t="s">
        <v>261</v>
      </c>
      <c r="AD4698" t="s">
        <v>261</v>
      </c>
      <c r="AH4698" t="s">
        <v>262</v>
      </c>
      <c r="AI4698" t="s">
        <v>261</v>
      </c>
      <c r="AJ4698" t="s">
        <v>261</v>
      </c>
      <c r="AK4698" t="s">
        <v>261</v>
      </c>
      <c r="AM4698" t="s">
        <v>262</v>
      </c>
      <c r="AN4698" t="s">
        <v>12656</v>
      </c>
    </row>
    <row r="4699" spans="1:40" x14ac:dyDescent="0.35">
      <c r="A4699">
        <v>7100629</v>
      </c>
      <c r="B4699" t="s">
        <v>12657</v>
      </c>
      <c r="C4699" t="str">
        <f>""</f>
        <v/>
      </c>
      <c r="D4699" t="str">
        <f>"9789179294205"</f>
        <v>9789179294205</v>
      </c>
      <c r="E4699" t="s">
        <v>2975</v>
      </c>
      <c r="F4699" t="s">
        <v>2975</v>
      </c>
      <c r="G4699" s="1">
        <v>44827</v>
      </c>
      <c r="H4699" s="1">
        <v>44839</v>
      </c>
      <c r="I4699" t="s">
        <v>189</v>
      </c>
      <c r="J4699">
        <v>1</v>
      </c>
      <c r="L4699" t="s">
        <v>12658</v>
      </c>
      <c r="Q4699" t="s">
        <v>260</v>
      </c>
      <c r="R4699" t="s">
        <v>261</v>
      </c>
      <c r="S4699" t="s">
        <v>261</v>
      </c>
      <c r="T4699" t="s">
        <v>261</v>
      </c>
      <c r="U4699" t="s">
        <v>261</v>
      </c>
      <c r="V4699" t="s">
        <v>262</v>
      </c>
      <c r="W4699" t="s">
        <v>261</v>
      </c>
      <c r="X4699" t="s">
        <v>261</v>
      </c>
      <c r="Y4699" t="s">
        <v>261</v>
      </c>
      <c r="AD4699" t="s">
        <v>261</v>
      </c>
      <c r="AH4699" t="s">
        <v>262</v>
      </c>
      <c r="AI4699" t="s">
        <v>261</v>
      </c>
      <c r="AJ4699" t="s">
        <v>261</v>
      </c>
      <c r="AK4699" t="s">
        <v>261</v>
      </c>
      <c r="AM4699" t="s">
        <v>262</v>
      </c>
      <c r="AN4699" t="s">
        <v>12659</v>
      </c>
    </row>
    <row r="4700" spans="1:40" x14ac:dyDescent="0.35">
      <c r="A4700">
        <v>7100830</v>
      </c>
      <c r="B4700" t="s">
        <v>12660</v>
      </c>
      <c r="C4700" t="str">
        <f>"9783428000098"</f>
        <v>9783428000098</v>
      </c>
      <c r="D4700" t="str">
        <f>"9783428400096"</f>
        <v>9783428400096</v>
      </c>
      <c r="E4700" t="s">
        <v>12661</v>
      </c>
      <c r="F4700" t="s">
        <v>12661</v>
      </c>
      <c r="G4700" s="1">
        <v>44811</v>
      </c>
      <c r="H4700" s="1">
        <v>44840</v>
      </c>
      <c r="I4700" t="s">
        <v>189</v>
      </c>
      <c r="J4700">
        <v>1</v>
      </c>
      <c r="K4700" t="s">
        <v>12662</v>
      </c>
      <c r="L4700" t="s">
        <v>12663</v>
      </c>
    </row>
    <row r="4701" spans="1:40" x14ac:dyDescent="0.35">
      <c r="A4701">
        <v>7100831</v>
      </c>
      <c r="B4701" t="s">
        <v>12664</v>
      </c>
      <c r="C4701" t="str">
        <f>"9783428000302"</f>
        <v>9783428000302</v>
      </c>
      <c r="D4701" t="str">
        <f>"9783428400300"</f>
        <v>9783428400300</v>
      </c>
      <c r="E4701" t="s">
        <v>12661</v>
      </c>
      <c r="F4701" t="s">
        <v>12661</v>
      </c>
      <c r="G4701" s="1">
        <v>44811</v>
      </c>
      <c r="H4701" s="1">
        <v>44840</v>
      </c>
      <c r="I4701" t="s">
        <v>189</v>
      </c>
      <c r="J4701">
        <v>1</v>
      </c>
      <c r="K4701" t="s">
        <v>12662</v>
      </c>
      <c r="L4701" t="s">
        <v>12663</v>
      </c>
      <c r="M4701" t="s">
        <v>389</v>
      </c>
    </row>
    <row r="4702" spans="1:40" x14ac:dyDescent="0.35">
      <c r="A4702">
        <v>7100832</v>
      </c>
      <c r="B4702" t="s">
        <v>12665</v>
      </c>
      <c r="C4702" t="str">
        <f>"9783428000869"</f>
        <v>9783428000869</v>
      </c>
      <c r="D4702" t="str">
        <f>"9783428400867"</f>
        <v>9783428400867</v>
      </c>
      <c r="E4702" t="s">
        <v>12661</v>
      </c>
      <c r="F4702" t="s">
        <v>12661</v>
      </c>
      <c r="G4702" s="1">
        <v>44811</v>
      </c>
      <c r="H4702" s="1">
        <v>44840</v>
      </c>
      <c r="I4702" t="s">
        <v>189</v>
      </c>
      <c r="J4702">
        <v>1</v>
      </c>
      <c r="K4702" t="s">
        <v>12662</v>
      </c>
      <c r="L4702" t="s">
        <v>12666</v>
      </c>
      <c r="M4702" t="s">
        <v>282</v>
      </c>
      <c r="Q4702" t="s">
        <v>408</v>
      </c>
      <c r="R4702" t="s">
        <v>261</v>
      </c>
      <c r="S4702" t="s">
        <v>261</v>
      </c>
      <c r="T4702" t="s">
        <v>261</v>
      </c>
      <c r="U4702" t="s">
        <v>262</v>
      </c>
      <c r="V4702" t="s">
        <v>262</v>
      </c>
      <c r="W4702" t="s">
        <v>261</v>
      </c>
      <c r="X4702" t="s">
        <v>262</v>
      </c>
      <c r="Y4702" t="s">
        <v>261</v>
      </c>
      <c r="AB4702" t="s">
        <v>409</v>
      </c>
      <c r="AC4702" t="s">
        <v>409</v>
      </c>
      <c r="AD4702" t="s">
        <v>261</v>
      </c>
      <c r="AH4702" t="s">
        <v>262</v>
      </c>
      <c r="AI4702" t="s">
        <v>262</v>
      </c>
      <c r="AJ4702" t="s">
        <v>261</v>
      </c>
      <c r="AK4702" t="s">
        <v>261</v>
      </c>
      <c r="AM4702" t="s">
        <v>262</v>
      </c>
      <c r="AN4702" t="s">
        <v>12667</v>
      </c>
    </row>
    <row r="4703" spans="1:40" x14ac:dyDescent="0.35">
      <c r="A4703">
        <v>7100833</v>
      </c>
      <c r="B4703" t="s">
        <v>12668</v>
      </c>
      <c r="C4703" t="str">
        <f>"9783428000890"</f>
        <v>9783428000890</v>
      </c>
      <c r="D4703" t="str">
        <f>"9783428400898"</f>
        <v>9783428400898</v>
      </c>
      <c r="E4703" t="s">
        <v>12661</v>
      </c>
      <c r="F4703" t="s">
        <v>12661</v>
      </c>
      <c r="G4703" s="1">
        <v>44811</v>
      </c>
      <c r="H4703" s="1">
        <v>44840</v>
      </c>
      <c r="I4703" t="s">
        <v>189</v>
      </c>
      <c r="J4703">
        <v>1</v>
      </c>
      <c r="K4703" t="s">
        <v>12662</v>
      </c>
      <c r="L4703" t="s">
        <v>12669</v>
      </c>
    </row>
    <row r="4704" spans="1:40" x14ac:dyDescent="0.35">
      <c r="A4704">
        <v>7100834</v>
      </c>
      <c r="B4704" t="s">
        <v>12670</v>
      </c>
      <c r="C4704" t="str">
        <f>"9783428002429"</f>
        <v>9783428002429</v>
      </c>
      <c r="D4704" t="str">
        <f>"9783428402427"</f>
        <v>9783428402427</v>
      </c>
      <c r="E4704" t="s">
        <v>12661</v>
      </c>
      <c r="F4704" t="s">
        <v>12661</v>
      </c>
      <c r="G4704" s="1">
        <v>44811</v>
      </c>
      <c r="H4704" s="1">
        <v>44840</v>
      </c>
      <c r="I4704" t="s">
        <v>189</v>
      </c>
      <c r="J4704">
        <v>1</v>
      </c>
      <c r="K4704" t="s">
        <v>12662</v>
      </c>
      <c r="L4704" t="s">
        <v>12671</v>
      </c>
      <c r="M4704" t="s">
        <v>282</v>
      </c>
      <c r="Q4704" t="s">
        <v>408</v>
      </c>
      <c r="R4704" t="s">
        <v>261</v>
      </c>
      <c r="S4704" t="s">
        <v>261</v>
      </c>
      <c r="T4704" t="s">
        <v>261</v>
      </c>
      <c r="U4704" t="s">
        <v>262</v>
      </c>
      <c r="V4704" t="s">
        <v>262</v>
      </c>
      <c r="W4704" t="s">
        <v>261</v>
      </c>
      <c r="X4704" t="s">
        <v>262</v>
      </c>
      <c r="Y4704" t="s">
        <v>261</v>
      </c>
      <c r="AB4704" t="s">
        <v>409</v>
      </c>
      <c r="AC4704" t="s">
        <v>409</v>
      </c>
      <c r="AD4704" t="s">
        <v>261</v>
      </c>
      <c r="AH4704" t="s">
        <v>262</v>
      </c>
      <c r="AI4704" t="s">
        <v>262</v>
      </c>
      <c r="AJ4704" t="s">
        <v>261</v>
      </c>
      <c r="AK4704" t="s">
        <v>261</v>
      </c>
      <c r="AM4704" t="s">
        <v>262</v>
      </c>
      <c r="AN4704" t="s">
        <v>12672</v>
      </c>
    </row>
    <row r="4705" spans="1:40" x14ac:dyDescent="0.35">
      <c r="A4705">
        <v>7100835</v>
      </c>
      <c r="B4705" t="s">
        <v>12673</v>
      </c>
      <c r="C4705" t="str">
        <f>"9783428003082"</f>
        <v>9783428003082</v>
      </c>
      <c r="D4705" t="str">
        <f>"9783428403080"</f>
        <v>9783428403080</v>
      </c>
      <c r="E4705" t="s">
        <v>12661</v>
      </c>
      <c r="F4705" t="s">
        <v>12661</v>
      </c>
      <c r="G4705" s="1">
        <v>44811</v>
      </c>
      <c r="H4705" s="1">
        <v>44840</v>
      </c>
      <c r="I4705" t="s">
        <v>189</v>
      </c>
      <c r="J4705">
        <v>1</v>
      </c>
      <c r="K4705" t="s">
        <v>12662</v>
      </c>
      <c r="L4705" t="s">
        <v>12674</v>
      </c>
      <c r="M4705" t="s">
        <v>249</v>
      </c>
      <c r="Q4705" t="s">
        <v>408</v>
      </c>
      <c r="R4705" t="s">
        <v>261</v>
      </c>
      <c r="S4705" t="s">
        <v>261</v>
      </c>
      <c r="T4705" t="s">
        <v>261</v>
      </c>
      <c r="U4705" t="s">
        <v>262</v>
      </c>
      <c r="V4705" t="s">
        <v>262</v>
      </c>
      <c r="W4705" t="s">
        <v>261</v>
      </c>
      <c r="X4705" t="s">
        <v>262</v>
      </c>
      <c r="Y4705" t="s">
        <v>261</v>
      </c>
      <c r="AB4705" t="s">
        <v>409</v>
      </c>
      <c r="AC4705" t="s">
        <v>409</v>
      </c>
      <c r="AD4705" t="s">
        <v>261</v>
      </c>
      <c r="AH4705" t="s">
        <v>262</v>
      </c>
      <c r="AI4705" t="s">
        <v>262</v>
      </c>
      <c r="AJ4705" t="s">
        <v>261</v>
      </c>
      <c r="AK4705" t="s">
        <v>261</v>
      </c>
      <c r="AM4705" t="s">
        <v>262</v>
      </c>
      <c r="AN4705" t="s">
        <v>12675</v>
      </c>
    </row>
    <row r="4706" spans="1:40" x14ac:dyDescent="0.35">
      <c r="A4706">
        <v>7100836</v>
      </c>
      <c r="B4706" t="s">
        <v>12676</v>
      </c>
      <c r="C4706" t="str">
        <f>"9783428003372"</f>
        <v>9783428003372</v>
      </c>
      <c r="D4706" t="str">
        <f>"9783428403370"</f>
        <v>9783428403370</v>
      </c>
      <c r="E4706" t="s">
        <v>12661</v>
      </c>
      <c r="F4706" t="s">
        <v>12661</v>
      </c>
      <c r="G4706" s="1">
        <v>44811</v>
      </c>
      <c r="H4706" s="1">
        <v>44840</v>
      </c>
      <c r="I4706" t="s">
        <v>189</v>
      </c>
      <c r="J4706">
        <v>1</v>
      </c>
      <c r="K4706" t="s">
        <v>12662</v>
      </c>
      <c r="L4706" t="s">
        <v>12663</v>
      </c>
      <c r="M4706" t="s">
        <v>329</v>
      </c>
    </row>
    <row r="4707" spans="1:40" x14ac:dyDescent="0.35">
      <c r="A4707">
        <v>7100837</v>
      </c>
      <c r="B4707" t="s">
        <v>12677</v>
      </c>
      <c r="C4707" t="str">
        <f>"9783428003426"</f>
        <v>9783428003426</v>
      </c>
      <c r="D4707" t="str">
        <f>"9783428403424"</f>
        <v>9783428403424</v>
      </c>
      <c r="E4707" t="s">
        <v>12661</v>
      </c>
      <c r="F4707" t="s">
        <v>12661</v>
      </c>
      <c r="G4707" s="1">
        <v>44811</v>
      </c>
      <c r="H4707" s="1">
        <v>44840</v>
      </c>
      <c r="I4707" t="s">
        <v>189</v>
      </c>
      <c r="J4707">
        <v>1</v>
      </c>
      <c r="K4707" t="s">
        <v>12662</v>
      </c>
      <c r="L4707" t="s">
        <v>12678</v>
      </c>
      <c r="M4707" t="s">
        <v>249</v>
      </c>
    </row>
    <row r="4708" spans="1:40" x14ac:dyDescent="0.35">
      <c r="A4708">
        <v>7100838</v>
      </c>
      <c r="B4708" t="s">
        <v>12679</v>
      </c>
      <c r="C4708" t="str">
        <f>"9783428003693"</f>
        <v>9783428003693</v>
      </c>
      <c r="D4708" t="str">
        <f>"9783428403691"</f>
        <v>9783428403691</v>
      </c>
      <c r="E4708" t="s">
        <v>12661</v>
      </c>
      <c r="F4708" t="s">
        <v>12661</v>
      </c>
      <c r="G4708" s="1">
        <v>44811</v>
      </c>
      <c r="H4708" s="1">
        <v>44840</v>
      </c>
      <c r="I4708" t="s">
        <v>189</v>
      </c>
      <c r="J4708">
        <v>1</v>
      </c>
      <c r="K4708" t="s">
        <v>12662</v>
      </c>
      <c r="L4708" t="s">
        <v>12678</v>
      </c>
      <c r="M4708" t="s">
        <v>210</v>
      </c>
    </row>
    <row r="4709" spans="1:40" x14ac:dyDescent="0.35">
      <c r="A4709">
        <v>7100839</v>
      </c>
      <c r="B4709" t="s">
        <v>12680</v>
      </c>
      <c r="C4709" t="str">
        <f>"9783428003761"</f>
        <v>9783428003761</v>
      </c>
      <c r="D4709" t="str">
        <f>"9783428403769"</f>
        <v>9783428403769</v>
      </c>
      <c r="E4709" t="s">
        <v>12661</v>
      </c>
      <c r="F4709" t="s">
        <v>12661</v>
      </c>
      <c r="G4709" s="1">
        <v>44811</v>
      </c>
      <c r="H4709" s="1">
        <v>44840</v>
      </c>
      <c r="I4709" t="s">
        <v>189</v>
      </c>
      <c r="J4709">
        <v>1</v>
      </c>
      <c r="K4709" t="s">
        <v>12662</v>
      </c>
      <c r="L4709" t="s">
        <v>12663</v>
      </c>
      <c r="M4709" t="s">
        <v>389</v>
      </c>
    </row>
    <row r="4710" spans="1:40" x14ac:dyDescent="0.35">
      <c r="A4710">
        <v>7100840</v>
      </c>
      <c r="B4710" t="s">
        <v>12681</v>
      </c>
      <c r="C4710" t="str">
        <f>"9783428003792"</f>
        <v>9783428003792</v>
      </c>
      <c r="D4710" t="str">
        <f>"9783428403790"</f>
        <v>9783428403790</v>
      </c>
      <c r="E4710" t="s">
        <v>12661</v>
      </c>
      <c r="F4710" t="s">
        <v>12661</v>
      </c>
      <c r="G4710" s="1">
        <v>44811</v>
      </c>
      <c r="H4710" s="1">
        <v>44840</v>
      </c>
      <c r="I4710" t="s">
        <v>189</v>
      </c>
      <c r="J4710">
        <v>1</v>
      </c>
      <c r="K4710" t="s">
        <v>12662</v>
      </c>
      <c r="L4710" t="s">
        <v>12682</v>
      </c>
    </row>
    <row r="4711" spans="1:40" x14ac:dyDescent="0.35">
      <c r="A4711">
        <v>7100841</v>
      </c>
      <c r="B4711" t="s">
        <v>12683</v>
      </c>
      <c r="C4711" t="str">
        <f>"9783428004003"</f>
        <v>9783428004003</v>
      </c>
      <c r="D4711" t="str">
        <f>"9783428404001"</f>
        <v>9783428404001</v>
      </c>
      <c r="E4711" t="s">
        <v>12661</v>
      </c>
      <c r="F4711" t="s">
        <v>12661</v>
      </c>
      <c r="G4711" s="1">
        <v>44811</v>
      </c>
      <c r="H4711" s="1">
        <v>44840</v>
      </c>
      <c r="I4711" t="s">
        <v>189</v>
      </c>
      <c r="J4711">
        <v>1</v>
      </c>
      <c r="K4711" t="s">
        <v>12662</v>
      </c>
      <c r="L4711" t="s">
        <v>12669</v>
      </c>
    </row>
    <row r="4712" spans="1:40" x14ac:dyDescent="0.35">
      <c r="A4712">
        <v>7100842</v>
      </c>
      <c r="B4712" t="s">
        <v>12684</v>
      </c>
      <c r="C4712" t="str">
        <f>"9783428004928"</f>
        <v>9783428004928</v>
      </c>
      <c r="D4712" t="str">
        <f>"9783428404926"</f>
        <v>9783428404926</v>
      </c>
      <c r="E4712" t="s">
        <v>12661</v>
      </c>
      <c r="F4712" t="s">
        <v>12661</v>
      </c>
      <c r="G4712" s="1">
        <v>44811</v>
      </c>
      <c r="H4712" s="1">
        <v>44840</v>
      </c>
      <c r="I4712" t="s">
        <v>189</v>
      </c>
      <c r="J4712">
        <v>1</v>
      </c>
      <c r="K4712" t="s">
        <v>12662</v>
      </c>
      <c r="L4712" t="s">
        <v>12671</v>
      </c>
      <c r="M4712" t="s">
        <v>210</v>
      </c>
    </row>
    <row r="4713" spans="1:40" x14ac:dyDescent="0.35">
      <c r="A4713">
        <v>7100843</v>
      </c>
      <c r="B4713" t="s">
        <v>12685</v>
      </c>
      <c r="C4713" t="str">
        <f>"9783428005420"</f>
        <v>9783428005420</v>
      </c>
      <c r="D4713" t="str">
        <f>"9783428405428"</f>
        <v>9783428405428</v>
      </c>
      <c r="E4713" t="s">
        <v>12661</v>
      </c>
      <c r="F4713" t="s">
        <v>12661</v>
      </c>
      <c r="G4713" s="1">
        <v>44811</v>
      </c>
      <c r="H4713" s="1">
        <v>44840</v>
      </c>
      <c r="I4713" t="s">
        <v>189</v>
      </c>
      <c r="J4713">
        <v>1</v>
      </c>
      <c r="K4713" t="s">
        <v>12662</v>
      </c>
      <c r="L4713" t="s">
        <v>12686</v>
      </c>
      <c r="M4713" t="s">
        <v>210</v>
      </c>
      <c r="Q4713" t="s">
        <v>408</v>
      </c>
      <c r="R4713" t="s">
        <v>261</v>
      </c>
      <c r="S4713" t="s">
        <v>261</v>
      </c>
      <c r="T4713" t="s">
        <v>261</v>
      </c>
      <c r="U4713" t="s">
        <v>262</v>
      </c>
      <c r="V4713" t="s">
        <v>262</v>
      </c>
      <c r="W4713" t="s">
        <v>261</v>
      </c>
      <c r="X4713" t="s">
        <v>262</v>
      </c>
      <c r="Y4713" t="s">
        <v>261</v>
      </c>
      <c r="AB4713" t="s">
        <v>409</v>
      </c>
      <c r="AC4713" t="s">
        <v>409</v>
      </c>
      <c r="AD4713" t="s">
        <v>261</v>
      </c>
      <c r="AH4713" t="s">
        <v>262</v>
      </c>
      <c r="AI4713" t="s">
        <v>262</v>
      </c>
      <c r="AJ4713" t="s">
        <v>261</v>
      </c>
      <c r="AK4713" t="s">
        <v>261</v>
      </c>
      <c r="AM4713" t="s">
        <v>262</v>
      </c>
      <c r="AN4713" t="s">
        <v>12687</v>
      </c>
    </row>
    <row r="4714" spans="1:40" x14ac:dyDescent="0.35">
      <c r="A4714">
        <v>7100844</v>
      </c>
      <c r="B4714" t="s">
        <v>12688</v>
      </c>
      <c r="C4714" t="str">
        <f>"9783428006083"</f>
        <v>9783428006083</v>
      </c>
      <c r="D4714" t="str">
        <f>"9783428406081"</f>
        <v>9783428406081</v>
      </c>
      <c r="E4714" t="s">
        <v>12661</v>
      </c>
      <c r="F4714" t="s">
        <v>12661</v>
      </c>
      <c r="G4714" s="1">
        <v>44811</v>
      </c>
      <c r="H4714" s="1">
        <v>44840</v>
      </c>
      <c r="I4714" t="s">
        <v>189</v>
      </c>
      <c r="J4714">
        <v>1</v>
      </c>
      <c r="K4714" t="s">
        <v>12662</v>
      </c>
      <c r="L4714" t="s">
        <v>12671</v>
      </c>
      <c r="M4714" t="s">
        <v>282</v>
      </c>
      <c r="Q4714" t="s">
        <v>408</v>
      </c>
      <c r="R4714" t="s">
        <v>261</v>
      </c>
      <c r="S4714" t="s">
        <v>261</v>
      </c>
      <c r="T4714" t="s">
        <v>261</v>
      </c>
      <c r="U4714" t="s">
        <v>262</v>
      </c>
      <c r="V4714" t="s">
        <v>262</v>
      </c>
      <c r="W4714" t="s">
        <v>261</v>
      </c>
      <c r="X4714" t="s">
        <v>262</v>
      </c>
      <c r="Y4714" t="s">
        <v>261</v>
      </c>
      <c r="AB4714" t="s">
        <v>409</v>
      </c>
      <c r="AC4714" t="s">
        <v>409</v>
      </c>
      <c r="AD4714" t="s">
        <v>261</v>
      </c>
      <c r="AH4714" t="s">
        <v>262</v>
      </c>
      <c r="AI4714" t="s">
        <v>262</v>
      </c>
      <c r="AJ4714" t="s">
        <v>261</v>
      </c>
      <c r="AK4714" t="s">
        <v>261</v>
      </c>
      <c r="AM4714" t="s">
        <v>262</v>
      </c>
      <c r="AN4714" t="s">
        <v>12689</v>
      </c>
    </row>
    <row r="4715" spans="1:40" x14ac:dyDescent="0.35">
      <c r="A4715">
        <v>7100845</v>
      </c>
      <c r="B4715" t="s">
        <v>12690</v>
      </c>
      <c r="C4715" t="str">
        <f>"9783428007431"</f>
        <v>9783428007431</v>
      </c>
      <c r="D4715" t="str">
        <f>"9783428407439"</f>
        <v>9783428407439</v>
      </c>
      <c r="E4715" t="s">
        <v>12661</v>
      </c>
      <c r="F4715" t="s">
        <v>12661</v>
      </c>
      <c r="G4715" s="1">
        <v>44811</v>
      </c>
      <c r="H4715" s="1">
        <v>44840</v>
      </c>
      <c r="I4715" t="s">
        <v>189</v>
      </c>
      <c r="J4715">
        <v>1</v>
      </c>
      <c r="K4715" t="s">
        <v>12662</v>
      </c>
      <c r="L4715" t="s">
        <v>12674</v>
      </c>
    </row>
    <row r="4716" spans="1:40" x14ac:dyDescent="0.35">
      <c r="A4716">
        <v>7100846</v>
      </c>
      <c r="B4716" t="s">
        <v>12691</v>
      </c>
      <c r="C4716" t="str">
        <f>"9783428008094"</f>
        <v>9783428008094</v>
      </c>
      <c r="D4716" t="str">
        <f>"9783428408092"</f>
        <v>9783428408092</v>
      </c>
      <c r="E4716" t="s">
        <v>12661</v>
      </c>
      <c r="F4716" t="s">
        <v>12661</v>
      </c>
      <c r="G4716" s="1">
        <v>44811</v>
      </c>
      <c r="H4716" s="1">
        <v>44840</v>
      </c>
      <c r="I4716" t="s">
        <v>189</v>
      </c>
      <c r="J4716">
        <v>1</v>
      </c>
      <c r="K4716" t="s">
        <v>12662</v>
      </c>
      <c r="L4716" t="s">
        <v>12663</v>
      </c>
    </row>
    <row r="4717" spans="1:40" x14ac:dyDescent="0.35">
      <c r="A4717">
        <v>7100847</v>
      </c>
      <c r="B4717" t="s">
        <v>12692</v>
      </c>
      <c r="C4717" t="str">
        <f>"9783428008131"</f>
        <v>9783428008131</v>
      </c>
      <c r="D4717" t="str">
        <f>"9783428408139"</f>
        <v>9783428408139</v>
      </c>
      <c r="E4717" t="s">
        <v>12661</v>
      </c>
      <c r="F4717" t="s">
        <v>12661</v>
      </c>
      <c r="G4717" s="1">
        <v>44811</v>
      </c>
      <c r="H4717" s="1">
        <v>44840</v>
      </c>
      <c r="I4717" t="s">
        <v>189</v>
      </c>
      <c r="J4717">
        <v>1</v>
      </c>
      <c r="K4717" t="s">
        <v>12662</v>
      </c>
      <c r="L4717" t="s">
        <v>12663</v>
      </c>
      <c r="M4717" t="s">
        <v>329</v>
      </c>
    </row>
    <row r="4718" spans="1:40" x14ac:dyDescent="0.35">
      <c r="A4718">
        <v>7100848</v>
      </c>
      <c r="B4718" t="s">
        <v>12693</v>
      </c>
      <c r="C4718" t="str">
        <f>"9783428008452"</f>
        <v>9783428008452</v>
      </c>
      <c r="D4718" t="str">
        <f>"9783428408450"</f>
        <v>9783428408450</v>
      </c>
      <c r="E4718" t="s">
        <v>12661</v>
      </c>
      <c r="F4718" t="s">
        <v>12661</v>
      </c>
      <c r="G4718" s="1">
        <v>44811</v>
      </c>
      <c r="H4718" s="1">
        <v>44840</v>
      </c>
      <c r="I4718" t="s">
        <v>189</v>
      </c>
      <c r="J4718">
        <v>1</v>
      </c>
      <c r="K4718" t="s">
        <v>12662</v>
      </c>
      <c r="L4718" t="s">
        <v>12666</v>
      </c>
    </row>
    <row r="4719" spans="1:40" x14ac:dyDescent="0.35">
      <c r="A4719">
        <v>7100849</v>
      </c>
      <c r="B4719" t="s">
        <v>12694</v>
      </c>
      <c r="C4719" t="str">
        <f>"9783428010097"</f>
        <v>9783428010097</v>
      </c>
      <c r="D4719" t="str">
        <f>"9783428410095"</f>
        <v>9783428410095</v>
      </c>
      <c r="E4719" t="s">
        <v>12661</v>
      </c>
      <c r="F4719" t="s">
        <v>12661</v>
      </c>
      <c r="G4719" s="1">
        <v>44811</v>
      </c>
      <c r="H4719" s="1">
        <v>44840</v>
      </c>
      <c r="I4719" t="s">
        <v>189</v>
      </c>
      <c r="J4719">
        <v>1</v>
      </c>
      <c r="K4719" t="s">
        <v>12662</v>
      </c>
      <c r="L4719" t="s">
        <v>12678</v>
      </c>
      <c r="M4719" t="s">
        <v>282</v>
      </c>
      <c r="Q4719" t="s">
        <v>408</v>
      </c>
      <c r="R4719" t="s">
        <v>261</v>
      </c>
      <c r="S4719" t="s">
        <v>261</v>
      </c>
      <c r="T4719" t="s">
        <v>261</v>
      </c>
      <c r="U4719" t="s">
        <v>262</v>
      </c>
      <c r="V4719" t="s">
        <v>262</v>
      </c>
      <c r="W4719" t="s">
        <v>261</v>
      </c>
      <c r="X4719" t="s">
        <v>262</v>
      </c>
      <c r="Y4719" t="s">
        <v>261</v>
      </c>
      <c r="AB4719" t="s">
        <v>409</v>
      </c>
      <c r="AC4719" t="s">
        <v>409</v>
      </c>
      <c r="AD4719" t="s">
        <v>261</v>
      </c>
      <c r="AH4719" t="s">
        <v>262</v>
      </c>
      <c r="AI4719" t="s">
        <v>262</v>
      </c>
      <c r="AJ4719" t="s">
        <v>261</v>
      </c>
      <c r="AK4719" t="s">
        <v>261</v>
      </c>
      <c r="AM4719" t="s">
        <v>262</v>
      </c>
      <c r="AN4719" t="s">
        <v>12695</v>
      </c>
    </row>
    <row r="4720" spans="1:40" x14ac:dyDescent="0.35">
      <c r="A4720">
        <v>7100850</v>
      </c>
      <c r="B4720" t="s">
        <v>12696</v>
      </c>
      <c r="C4720" t="str">
        <f>"9783428010585"</f>
        <v>9783428010585</v>
      </c>
      <c r="D4720" t="str">
        <f>"9783428410583"</f>
        <v>9783428410583</v>
      </c>
      <c r="E4720" t="s">
        <v>12661</v>
      </c>
      <c r="F4720" t="s">
        <v>12661</v>
      </c>
      <c r="G4720" s="1">
        <v>44811</v>
      </c>
      <c r="H4720" s="1">
        <v>44840</v>
      </c>
      <c r="I4720" t="s">
        <v>189</v>
      </c>
      <c r="J4720">
        <v>1</v>
      </c>
      <c r="K4720" t="s">
        <v>12662</v>
      </c>
      <c r="L4720" t="s">
        <v>12663</v>
      </c>
      <c r="M4720" t="s">
        <v>389</v>
      </c>
    </row>
    <row r="4721" spans="1:40" x14ac:dyDescent="0.35">
      <c r="A4721">
        <v>7100851</v>
      </c>
      <c r="B4721" t="s">
        <v>12697</v>
      </c>
      <c r="C4721" t="str">
        <f>"9783428011872"</f>
        <v>9783428011872</v>
      </c>
      <c r="D4721" t="str">
        <f>"9783428411870"</f>
        <v>9783428411870</v>
      </c>
      <c r="E4721" t="s">
        <v>12661</v>
      </c>
      <c r="F4721" t="s">
        <v>12661</v>
      </c>
      <c r="G4721" s="1">
        <v>44811</v>
      </c>
      <c r="H4721" s="1">
        <v>44840</v>
      </c>
      <c r="I4721" t="s">
        <v>189</v>
      </c>
      <c r="J4721">
        <v>1</v>
      </c>
      <c r="K4721" t="s">
        <v>12662</v>
      </c>
      <c r="L4721" t="s">
        <v>12674</v>
      </c>
    </row>
    <row r="4722" spans="1:40" x14ac:dyDescent="0.35">
      <c r="A4722">
        <v>7100852</v>
      </c>
      <c r="B4722" t="s">
        <v>12698</v>
      </c>
      <c r="C4722" t="str">
        <f>"9783428011896"</f>
        <v>9783428011896</v>
      </c>
      <c r="D4722" t="str">
        <f>"9783428411894"</f>
        <v>9783428411894</v>
      </c>
      <c r="E4722" t="s">
        <v>12661</v>
      </c>
      <c r="F4722" t="s">
        <v>12661</v>
      </c>
      <c r="G4722" s="1">
        <v>44811</v>
      </c>
      <c r="H4722" s="1">
        <v>44840</v>
      </c>
      <c r="I4722" t="s">
        <v>189</v>
      </c>
      <c r="J4722">
        <v>1</v>
      </c>
      <c r="K4722" t="s">
        <v>12662</v>
      </c>
      <c r="L4722" t="s">
        <v>12699</v>
      </c>
      <c r="M4722" t="s">
        <v>282</v>
      </c>
      <c r="Q4722" t="s">
        <v>408</v>
      </c>
      <c r="R4722" t="s">
        <v>261</v>
      </c>
      <c r="S4722" t="s">
        <v>261</v>
      </c>
      <c r="T4722" t="s">
        <v>261</v>
      </c>
      <c r="U4722" t="s">
        <v>262</v>
      </c>
      <c r="V4722" t="s">
        <v>262</v>
      </c>
      <c r="W4722" t="s">
        <v>261</v>
      </c>
      <c r="X4722" t="s">
        <v>262</v>
      </c>
      <c r="Y4722" t="s">
        <v>261</v>
      </c>
      <c r="AB4722" t="s">
        <v>409</v>
      </c>
      <c r="AC4722" t="s">
        <v>409</v>
      </c>
      <c r="AD4722" t="s">
        <v>261</v>
      </c>
      <c r="AH4722" t="s">
        <v>262</v>
      </c>
      <c r="AI4722" t="s">
        <v>262</v>
      </c>
      <c r="AJ4722" t="s">
        <v>261</v>
      </c>
      <c r="AK4722" t="s">
        <v>261</v>
      </c>
      <c r="AM4722" t="s">
        <v>262</v>
      </c>
      <c r="AN4722" t="s">
        <v>12700</v>
      </c>
    </row>
    <row r="4723" spans="1:40" x14ac:dyDescent="0.35">
      <c r="A4723">
        <v>7100853</v>
      </c>
      <c r="B4723" t="s">
        <v>12701</v>
      </c>
      <c r="C4723" t="str">
        <f>"9783428011902"</f>
        <v>9783428011902</v>
      </c>
      <c r="D4723" t="str">
        <f>"9783428411900"</f>
        <v>9783428411900</v>
      </c>
      <c r="E4723" t="s">
        <v>12661</v>
      </c>
      <c r="F4723" t="s">
        <v>12661</v>
      </c>
      <c r="G4723" s="1">
        <v>44811</v>
      </c>
      <c r="H4723" s="1">
        <v>44840</v>
      </c>
      <c r="I4723" t="s">
        <v>189</v>
      </c>
      <c r="J4723">
        <v>1</v>
      </c>
      <c r="K4723" t="s">
        <v>12662</v>
      </c>
      <c r="L4723" t="s">
        <v>12671</v>
      </c>
      <c r="M4723" t="s">
        <v>249</v>
      </c>
    </row>
    <row r="4724" spans="1:40" x14ac:dyDescent="0.35">
      <c r="A4724">
        <v>7100854</v>
      </c>
      <c r="B4724" t="s">
        <v>12702</v>
      </c>
      <c r="C4724" t="str">
        <f>"9783428011919"</f>
        <v>9783428011919</v>
      </c>
      <c r="D4724" t="str">
        <f>"9783428411917"</f>
        <v>9783428411917</v>
      </c>
      <c r="E4724" t="s">
        <v>12661</v>
      </c>
      <c r="F4724" t="s">
        <v>12661</v>
      </c>
      <c r="G4724" s="1">
        <v>44811</v>
      </c>
      <c r="H4724" s="1">
        <v>44840</v>
      </c>
      <c r="I4724" t="s">
        <v>189</v>
      </c>
      <c r="J4724">
        <v>1</v>
      </c>
      <c r="K4724" t="s">
        <v>12662</v>
      </c>
      <c r="L4724" t="s">
        <v>12703</v>
      </c>
      <c r="M4724" t="s">
        <v>389</v>
      </c>
    </row>
    <row r="4725" spans="1:40" x14ac:dyDescent="0.35">
      <c r="A4725">
        <v>7100855</v>
      </c>
      <c r="B4725" t="s">
        <v>12704</v>
      </c>
      <c r="C4725" t="str">
        <f>"9783428011964"</f>
        <v>9783428011964</v>
      </c>
      <c r="D4725" t="str">
        <f>"9783428411962"</f>
        <v>9783428411962</v>
      </c>
      <c r="E4725" t="s">
        <v>12661</v>
      </c>
      <c r="F4725" t="s">
        <v>12661</v>
      </c>
      <c r="G4725" s="1">
        <v>44811</v>
      </c>
      <c r="H4725" s="1">
        <v>44840</v>
      </c>
      <c r="I4725" t="s">
        <v>189</v>
      </c>
      <c r="J4725">
        <v>1</v>
      </c>
      <c r="K4725" t="s">
        <v>12662</v>
      </c>
      <c r="L4725" t="s">
        <v>12686</v>
      </c>
      <c r="M4725" t="s">
        <v>210</v>
      </c>
      <c r="Q4725" t="s">
        <v>408</v>
      </c>
      <c r="R4725" t="s">
        <v>261</v>
      </c>
      <c r="S4725" t="s">
        <v>261</v>
      </c>
      <c r="T4725" t="s">
        <v>261</v>
      </c>
      <c r="U4725" t="s">
        <v>262</v>
      </c>
      <c r="V4725" t="s">
        <v>262</v>
      </c>
      <c r="W4725" t="s">
        <v>261</v>
      </c>
      <c r="X4725" t="s">
        <v>262</v>
      </c>
      <c r="Y4725" t="s">
        <v>261</v>
      </c>
      <c r="AB4725" t="s">
        <v>409</v>
      </c>
      <c r="AC4725" t="s">
        <v>409</v>
      </c>
      <c r="AD4725" t="s">
        <v>261</v>
      </c>
      <c r="AH4725" t="s">
        <v>262</v>
      </c>
      <c r="AI4725" t="s">
        <v>262</v>
      </c>
      <c r="AJ4725" t="s">
        <v>261</v>
      </c>
      <c r="AK4725" t="s">
        <v>261</v>
      </c>
      <c r="AM4725" t="s">
        <v>262</v>
      </c>
      <c r="AN4725" t="s">
        <v>12705</v>
      </c>
    </row>
    <row r="4726" spans="1:40" x14ac:dyDescent="0.35">
      <c r="A4726">
        <v>7100856</v>
      </c>
      <c r="B4726" t="s">
        <v>12706</v>
      </c>
      <c r="C4726" t="str">
        <f>"9783428011988"</f>
        <v>9783428011988</v>
      </c>
      <c r="D4726" t="str">
        <f>"9783428411986"</f>
        <v>9783428411986</v>
      </c>
      <c r="E4726" t="s">
        <v>12661</v>
      </c>
      <c r="F4726" t="s">
        <v>12661</v>
      </c>
      <c r="G4726" s="1">
        <v>44811</v>
      </c>
      <c r="H4726" s="1">
        <v>44840</v>
      </c>
      <c r="I4726" t="s">
        <v>189</v>
      </c>
      <c r="J4726">
        <v>1</v>
      </c>
      <c r="K4726" t="s">
        <v>12662</v>
      </c>
      <c r="L4726" t="s">
        <v>12707</v>
      </c>
      <c r="M4726" t="s">
        <v>210</v>
      </c>
    </row>
    <row r="4727" spans="1:40" x14ac:dyDescent="0.35">
      <c r="A4727">
        <v>7100857</v>
      </c>
      <c r="B4727" t="s">
        <v>12708</v>
      </c>
      <c r="C4727" t="str">
        <f>"9783428013395"</f>
        <v>9783428013395</v>
      </c>
      <c r="D4727" t="str">
        <f>"9783428413393"</f>
        <v>9783428413393</v>
      </c>
      <c r="E4727" t="s">
        <v>12661</v>
      </c>
      <c r="F4727" t="s">
        <v>12661</v>
      </c>
      <c r="G4727" s="1">
        <v>44811</v>
      </c>
      <c r="H4727" s="1">
        <v>44840</v>
      </c>
      <c r="I4727" t="s">
        <v>189</v>
      </c>
      <c r="J4727">
        <v>1</v>
      </c>
      <c r="K4727" t="s">
        <v>12662</v>
      </c>
      <c r="L4727" t="s">
        <v>12663</v>
      </c>
    </row>
    <row r="4728" spans="1:40" x14ac:dyDescent="0.35">
      <c r="A4728">
        <v>7100858</v>
      </c>
      <c r="B4728" t="s">
        <v>12709</v>
      </c>
      <c r="C4728" t="str">
        <f>"9783428012268"</f>
        <v>9783428012268</v>
      </c>
      <c r="D4728" t="str">
        <f>"9783428412266"</f>
        <v>9783428412266</v>
      </c>
      <c r="E4728" t="s">
        <v>12661</v>
      </c>
      <c r="F4728" t="s">
        <v>12661</v>
      </c>
      <c r="G4728" s="1">
        <v>44811</v>
      </c>
      <c r="H4728" s="1">
        <v>44840</v>
      </c>
      <c r="I4728" t="s">
        <v>189</v>
      </c>
      <c r="J4728">
        <v>1</v>
      </c>
      <c r="K4728" t="s">
        <v>12662</v>
      </c>
      <c r="L4728" t="s">
        <v>12663</v>
      </c>
      <c r="M4728" t="s">
        <v>389</v>
      </c>
    </row>
    <row r="4729" spans="1:40" x14ac:dyDescent="0.35">
      <c r="A4729">
        <v>7100859</v>
      </c>
      <c r="B4729" t="s">
        <v>12710</v>
      </c>
      <c r="C4729" t="str">
        <f>"9783428014002"</f>
        <v>9783428014002</v>
      </c>
      <c r="D4729" t="str">
        <f>"9783428414000"</f>
        <v>9783428414000</v>
      </c>
      <c r="E4729" t="s">
        <v>12661</v>
      </c>
      <c r="F4729" t="s">
        <v>12661</v>
      </c>
      <c r="G4729" s="1">
        <v>44811</v>
      </c>
      <c r="H4729" s="1">
        <v>44840</v>
      </c>
      <c r="I4729" t="s">
        <v>189</v>
      </c>
      <c r="J4729">
        <v>1</v>
      </c>
      <c r="K4729" t="s">
        <v>12662</v>
      </c>
      <c r="L4729" t="s">
        <v>12711</v>
      </c>
    </row>
    <row r="4730" spans="1:40" x14ac:dyDescent="0.35">
      <c r="A4730">
        <v>7100860</v>
      </c>
      <c r="B4730" t="s">
        <v>12712</v>
      </c>
      <c r="C4730" t="str">
        <f>"9783428014040"</f>
        <v>9783428014040</v>
      </c>
      <c r="D4730" t="str">
        <f>"9783428414048"</f>
        <v>9783428414048</v>
      </c>
      <c r="E4730" t="s">
        <v>12661</v>
      </c>
      <c r="F4730" t="s">
        <v>12661</v>
      </c>
      <c r="G4730" s="1">
        <v>44811</v>
      </c>
      <c r="H4730" s="1">
        <v>44840</v>
      </c>
      <c r="I4730" t="s">
        <v>189</v>
      </c>
      <c r="J4730">
        <v>1</v>
      </c>
      <c r="K4730" t="s">
        <v>12662</v>
      </c>
      <c r="L4730" t="s">
        <v>12663</v>
      </c>
      <c r="M4730" t="s">
        <v>329</v>
      </c>
    </row>
    <row r="4731" spans="1:40" x14ac:dyDescent="0.35">
      <c r="A4731">
        <v>7100861</v>
      </c>
      <c r="B4731" t="s">
        <v>12713</v>
      </c>
      <c r="C4731" t="str">
        <f>"9783428014668"</f>
        <v>9783428014668</v>
      </c>
      <c r="D4731" t="str">
        <f>"9783428414666"</f>
        <v>9783428414666</v>
      </c>
      <c r="E4731" t="s">
        <v>12661</v>
      </c>
      <c r="F4731" t="s">
        <v>12661</v>
      </c>
      <c r="G4731" s="1">
        <v>44811</v>
      </c>
      <c r="H4731" s="1">
        <v>44840</v>
      </c>
      <c r="I4731" t="s">
        <v>189</v>
      </c>
      <c r="J4731">
        <v>1</v>
      </c>
      <c r="K4731" t="s">
        <v>12662</v>
      </c>
      <c r="L4731" t="s">
        <v>12707</v>
      </c>
      <c r="M4731" t="s">
        <v>249</v>
      </c>
      <c r="Q4731" t="s">
        <v>408</v>
      </c>
      <c r="R4731" t="s">
        <v>261</v>
      </c>
      <c r="S4731" t="s">
        <v>261</v>
      </c>
      <c r="T4731" t="s">
        <v>261</v>
      </c>
      <c r="U4731" t="s">
        <v>262</v>
      </c>
      <c r="V4731" t="s">
        <v>262</v>
      </c>
      <c r="W4731" t="s">
        <v>261</v>
      </c>
      <c r="X4731" t="s">
        <v>262</v>
      </c>
      <c r="Y4731" t="s">
        <v>261</v>
      </c>
      <c r="AB4731" t="s">
        <v>409</v>
      </c>
      <c r="AC4731" t="s">
        <v>409</v>
      </c>
      <c r="AD4731" t="s">
        <v>261</v>
      </c>
      <c r="AH4731" t="s">
        <v>262</v>
      </c>
      <c r="AI4731" t="s">
        <v>262</v>
      </c>
      <c r="AJ4731" t="s">
        <v>261</v>
      </c>
      <c r="AK4731" t="s">
        <v>261</v>
      </c>
      <c r="AM4731" t="s">
        <v>262</v>
      </c>
      <c r="AN4731" t="s">
        <v>12714</v>
      </c>
    </row>
    <row r="4732" spans="1:40" x14ac:dyDescent="0.35">
      <c r="A4732">
        <v>7100862</v>
      </c>
      <c r="B4732" t="s">
        <v>12715</v>
      </c>
      <c r="C4732" t="str">
        <f>"9783428015078"</f>
        <v>9783428015078</v>
      </c>
      <c r="D4732" t="str">
        <f>"9783428415076"</f>
        <v>9783428415076</v>
      </c>
      <c r="E4732" t="s">
        <v>12661</v>
      </c>
      <c r="F4732" t="s">
        <v>12661</v>
      </c>
      <c r="G4732" s="1">
        <v>44805</v>
      </c>
      <c r="H4732" s="1">
        <v>44840</v>
      </c>
      <c r="I4732" t="s">
        <v>189</v>
      </c>
      <c r="J4732">
        <v>1</v>
      </c>
      <c r="K4732" t="s">
        <v>12662</v>
      </c>
      <c r="L4732" t="s">
        <v>12716</v>
      </c>
      <c r="M4732" t="s">
        <v>282</v>
      </c>
    </row>
    <row r="4733" spans="1:40" x14ac:dyDescent="0.35">
      <c r="A4733">
        <v>7100863</v>
      </c>
      <c r="B4733" t="s">
        <v>12717</v>
      </c>
      <c r="C4733" t="str">
        <f>"9783428015351"</f>
        <v>9783428015351</v>
      </c>
      <c r="D4733" t="str">
        <f>"9783428415359"</f>
        <v>9783428415359</v>
      </c>
      <c r="E4733" t="s">
        <v>12661</v>
      </c>
      <c r="F4733" t="s">
        <v>12661</v>
      </c>
      <c r="G4733" s="1">
        <v>44805</v>
      </c>
      <c r="H4733" s="1">
        <v>44840</v>
      </c>
      <c r="I4733" t="s">
        <v>189</v>
      </c>
      <c r="J4733">
        <v>1</v>
      </c>
      <c r="K4733" t="s">
        <v>12662</v>
      </c>
      <c r="L4733" t="s">
        <v>12718</v>
      </c>
      <c r="M4733" t="s">
        <v>329</v>
      </c>
    </row>
    <row r="4734" spans="1:40" x14ac:dyDescent="0.35">
      <c r="A4734">
        <v>7100864</v>
      </c>
      <c r="B4734" t="s">
        <v>12719</v>
      </c>
      <c r="C4734" t="str">
        <f>"9783428015085"</f>
        <v>9783428015085</v>
      </c>
      <c r="D4734" t="str">
        <f>"9783428415083"</f>
        <v>9783428415083</v>
      </c>
      <c r="E4734" t="s">
        <v>12661</v>
      </c>
      <c r="F4734" t="s">
        <v>12661</v>
      </c>
      <c r="G4734" s="1">
        <v>44805</v>
      </c>
      <c r="H4734" s="1">
        <v>44840</v>
      </c>
      <c r="I4734" t="s">
        <v>189</v>
      </c>
      <c r="J4734">
        <v>1</v>
      </c>
      <c r="K4734" t="s">
        <v>12662</v>
      </c>
      <c r="L4734" t="s">
        <v>12716</v>
      </c>
      <c r="M4734" t="s">
        <v>210</v>
      </c>
    </row>
    <row r="4735" spans="1:40" x14ac:dyDescent="0.35">
      <c r="A4735">
        <v>7100865</v>
      </c>
      <c r="B4735" t="s">
        <v>12720</v>
      </c>
      <c r="C4735" t="str">
        <f>"9783428015672"</f>
        <v>9783428015672</v>
      </c>
      <c r="D4735" t="str">
        <f>"9783428415670"</f>
        <v>9783428415670</v>
      </c>
      <c r="E4735" t="s">
        <v>12661</v>
      </c>
      <c r="F4735" t="s">
        <v>12661</v>
      </c>
      <c r="G4735" s="1">
        <v>44805</v>
      </c>
      <c r="H4735" s="1">
        <v>44840</v>
      </c>
      <c r="I4735" t="s">
        <v>189</v>
      </c>
      <c r="J4735">
        <v>1</v>
      </c>
      <c r="K4735" t="s">
        <v>12662</v>
      </c>
      <c r="L4735" t="s">
        <v>12718</v>
      </c>
      <c r="M4735" t="s">
        <v>389</v>
      </c>
    </row>
    <row r="4736" spans="1:40" x14ac:dyDescent="0.35">
      <c r="A4736">
        <v>7100866</v>
      </c>
      <c r="B4736" t="s">
        <v>12721</v>
      </c>
      <c r="C4736" t="str">
        <f>"9783428015702"</f>
        <v>9783428015702</v>
      </c>
      <c r="D4736" t="str">
        <f>"9783428415700"</f>
        <v>9783428415700</v>
      </c>
      <c r="E4736" t="s">
        <v>12661</v>
      </c>
      <c r="F4736" t="s">
        <v>12661</v>
      </c>
      <c r="G4736" s="1">
        <v>44805</v>
      </c>
      <c r="H4736" s="1">
        <v>44840</v>
      </c>
      <c r="I4736" t="s">
        <v>189</v>
      </c>
      <c r="J4736">
        <v>1</v>
      </c>
      <c r="K4736" t="s">
        <v>12662</v>
      </c>
      <c r="L4736" t="s">
        <v>12682</v>
      </c>
    </row>
    <row r="4737" spans="1:40" x14ac:dyDescent="0.35">
      <c r="A4737">
        <v>7100867</v>
      </c>
      <c r="B4737" t="s">
        <v>12722</v>
      </c>
      <c r="C4737" t="str">
        <f>"9783428016143"</f>
        <v>9783428016143</v>
      </c>
      <c r="D4737" t="str">
        <f>"9783428416141"</f>
        <v>9783428416141</v>
      </c>
      <c r="E4737" t="s">
        <v>12661</v>
      </c>
      <c r="F4737" t="s">
        <v>12661</v>
      </c>
      <c r="G4737" s="1">
        <v>44805</v>
      </c>
      <c r="H4737" s="1">
        <v>44840</v>
      </c>
      <c r="I4737" t="s">
        <v>189</v>
      </c>
      <c r="J4737">
        <v>1</v>
      </c>
      <c r="K4737" t="s">
        <v>12662</v>
      </c>
      <c r="L4737" t="s">
        <v>12663</v>
      </c>
      <c r="M4737" t="s">
        <v>329</v>
      </c>
    </row>
    <row r="4738" spans="1:40" x14ac:dyDescent="0.35">
      <c r="A4738">
        <v>7100868</v>
      </c>
      <c r="B4738" t="s">
        <v>12723</v>
      </c>
      <c r="C4738" t="str">
        <f>"9783428015733"</f>
        <v>9783428015733</v>
      </c>
      <c r="D4738" t="str">
        <f>"9783428415731"</f>
        <v>9783428415731</v>
      </c>
      <c r="E4738" t="s">
        <v>12661</v>
      </c>
      <c r="F4738" t="s">
        <v>12661</v>
      </c>
      <c r="G4738" s="1">
        <v>44805</v>
      </c>
      <c r="H4738" s="1">
        <v>44840</v>
      </c>
      <c r="I4738" t="s">
        <v>189</v>
      </c>
      <c r="J4738">
        <v>1</v>
      </c>
      <c r="K4738" t="s">
        <v>12662</v>
      </c>
      <c r="L4738" t="s">
        <v>12724</v>
      </c>
    </row>
    <row r="4739" spans="1:40" x14ac:dyDescent="0.35">
      <c r="A4739">
        <v>7100869</v>
      </c>
      <c r="B4739" t="s">
        <v>12725</v>
      </c>
      <c r="C4739" t="str">
        <f>"9783428016198"</f>
        <v>9783428016198</v>
      </c>
      <c r="D4739" t="str">
        <f>"9783428416196"</f>
        <v>9783428416196</v>
      </c>
      <c r="E4739" t="s">
        <v>12661</v>
      </c>
      <c r="F4739" t="s">
        <v>12661</v>
      </c>
      <c r="G4739" s="1">
        <v>44805</v>
      </c>
      <c r="H4739" s="1">
        <v>44840</v>
      </c>
      <c r="I4739" t="s">
        <v>189</v>
      </c>
      <c r="J4739">
        <v>1</v>
      </c>
      <c r="K4739" t="s">
        <v>12662</v>
      </c>
      <c r="L4739" t="s">
        <v>12726</v>
      </c>
      <c r="M4739" t="s">
        <v>210</v>
      </c>
    </row>
    <row r="4740" spans="1:40" x14ac:dyDescent="0.35">
      <c r="A4740">
        <v>7100870</v>
      </c>
      <c r="B4740" t="s">
        <v>12727</v>
      </c>
      <c r="C4740" t="str">
        <f>"9783428017126"</f>
        <v>9783428017126</v>
      </c>
      <c r="D4740" t="str">
        <f>"9783428417124"</f>
        <v>9783428417124</v>
      </c>
      <c r="E4740" t="s">
        <v>12661</v>
      </c>
      <c r="F4740" t="s">
        <v>12661</v>
      </c>
      <c r="G4740" s="1">
        <v>44805</v>
      </c>
      <c r="H4740" s="1">
        <v>44840</v>
      </c>
      <c r="I4740" t="s">
        <v>189</v>
      </c>
      <c r="J4740">
        <v>1</v>
      </c>
      <c r="K4740" t="s">
        <v>12662</v>
      </c>
      <c r="L4740" t="s">
        <v>12671</v>
      </c>
      <c r="M4740" t="s">
        <v>210</v>
      </c>
      <c r="Q4740" t="s">
        <v>408</v>
      </c>
      <c r="R4740" t="s">
        <v>261</v>
      </c>
      <c r="S4740" t="s">
        <v>261</v>
      </c>
      <c r="T4740" t="s">
        <v>261</v>
      </c>
      <c r="U4740" t="s">
        <v>262</v>
      </c>
      <c r="V4740" t="s">
        <v>262</v>
      </c>
      <c r="W4740" t="s">
        <v>261</v>
      </c>
      <c r="X4740" t="s">
        <v>262</v>
      </c>
      <c r="Y4740" t="s">
        <v>261</v>
      </c>
      <c r="AB4740" t="s">
        <v>409</v>
      </c>
      <c r="AC4740" t="s">
        <v>409</v>
      </c>
      <c r="AD4740" t="s">
        <v>261</v>
      </c>
      <c r="AH4740" t="s">
        <v>262</v>
      </c>
      <c r="AI4740" t="s">
        <v>262</v>
      </c>
      <c r="AJ4740" t="s">
        <v>261</v>
      </c>
      <c r="AK4740" t="s">
        <v>261</v>
      </c>
      <c r="AM4740" t="s">
        <v>262</v>
      </c>
      <c r="AN4740" t="s">
        <v>12728</v>
      </c>
    </row>
    <row r="4741" spans="1:40" x14ac:dyDescent="0.35">
      <c r="A4741">
        <v>7100871</v>
      </c>
      <c r="B4741" t="s">
        <v>12729</v>
      </c>
      <c r="C4741" t="str">
        <f>"9783428017171"</f>
        <v>9783428017171</v>
      </c>
      <c r="D4741" t="str">
        <f>"9783428417179"</f>
        <v>9783428417179</v>
      </c>
      <c r="E4741" t="s">
        <v>12661</v>
      </c>
      <c r="F4741" t="s">
        <v>12661</v>
      </c>
      <c r="G4741" s="1">
        <v>44805</v>
      </c>
      <c r="H4741" s="1">
        <v>44840</v>
      </c>
      <c r="I4741" t="s">
        <v>189</v>
      </c>
      <c r="J4741">
        <v>1</v>
      </c>
      <c r="K4741" t="s">
        <v>12662</v>
      </c>
      <c r="L4741" t="s">
        <v>145</v>
      </c>
    </row>
    <row r="4742" spans="1:40" x14ac:dyDescent="0.35">
      <c r="A4742">
        <v>7100872</v>
      </c>
      <c r="B4742" t="s">
        <v>12730</v>
      </c>
      <c r="C4742" t="str">
        <f>"9783428017188"</f>
        <v>9783428017188</v>
      </c>
      <c r="D4742" t="str">
        <f>"9783428417186"</f>
        <v>9783428417186</v>
      </c>
      <c r="E4742" t="s">
        <v>12661</v>
      </c>
      <c r="F4742" t="s">
        <v>12661</v>
      </c>
      <c r="G4742" s="1">
        <v>44805</v>
      </c>
      <c r="H4742" s="1">
        <v>44840</v>
      </c>
      <c r="I4742" t="s">
        <v>189</v>
      </c>
      <c r="J4742">
        <v>1</v>
      </c>
      <c r="K4742" t="s">
        <v>12662</v>
      </c>
      <c r="L4742" t="s">
        <v>145</v>
      </c>
      <c r="M4742" t="s">
        <v>210</v>
      </c>
    </row>
    <row r="4743" spans="1:40" x14ac:dyDescent="0.35">
      <c r="A4743">
        <v>7100873</v>
      </c>
      <c r="B4743" t="s">
        <v>12731</v>
      </c>
      <c r="C4743" t="str">
        <f>"9783428017850"</f>
        <v>9783428017850</v>
      </c>
      <c r="D4743" t="str">
        <f>"9783428417858"</f>
        <v>9783428417858</v>
      </c>
      <c r="E4743" t="s">
        <v>12661</v>
      </c>
      <c r="F4743" t="s">
        <v>12661</v>
      </c>
      <c r="G4743" s="1">
        <v>43521</v>
      </c>
      <c r="H4743" s="1">
        <v>44840</v>
      </c>
      <c r="I4743" t="s">
        <v>189</v>
      </c>
      <c r="J4743">
        <v>1</v>
      </c>
      <c r="K4743" t="s">
        <v>12732</v>
      </c>
      <c r="L4743" t="s">
        <v>12733</v>
      </c>
    </row>
    <row r="4744" spans="1:40" x14ac:dyDescent="0.35">
      <c r="A4744">
        <v>7100874</v>
      </c>
      <c r="B4744" t="s">
        <v>12734</v>
      </c>
      <c r="C4744" t="str">
        <f>"9783428017904"</f>
        <v>9783428017904</v>
      </c>
      <c r="D4744" t="str">
        <f>"9783428417902"</f>
        <v>9783428417902</v>
      </c>
      <c r="E4744" t="s">
        <v>12661</v>
      </c>
      <c r="F4744" t="s">
        <v>12661</v>
      </c>
      <c r="G4744" s="1">
        <v>44805</v>
      </c>
      <c r="H4744" s="1">
        <v>44840</v>
      </c>
      <c r="I4744" t="s">
        <v>189</v>
      </c>
      <c r="J4744">
        <v>1</v>
      </c>
      <c r="K4744" t="s">
        <v>12662</v>
      </c>
      <c r="L4744" t="s">
        <v>12735</v>
      </c>
      <c r="M4744" t="s">
        <v>210</v>
      </c>
      <c r="Q4744" t="s">
        <v>408</v>
      </c>
      <c r="R4744" t="s">
        <v>261</v>
      </c>
      <c r="S4744" t="s">
        <v>261</v>
      </c>
      <c r="T4744" t="s">
        <v>261</v>
      </c>
      <c r="U4744" t="s">
        <v>262</v>
      </c>
      <c r="V4744" t="s">
        <v>262</v>
      </c>
      <c r="W4744" t="s">
        <v>261</v>
      </c>
      <c r="X4744" t="s">
        <v>262</v>
      </c>
      <c r="Y4744" t="s">
        <v>261</v>
      </c>
      <c r="AB4744" t="s">
        <v>409</v>
      </c>
      <c r="AC4744" t="s">
        <v>409</v>
      </c>
      <c r="AD4744" t="s">
        <v>261</v>
      </c>
      <c r="AH4744" t="s">
        <v>262</v>
      </c>
      <c r="AI4744" t="s">
        <v>262</v>
      </c>
      <c r="AJ4744" t="s">
        <v>261</v>
      </c>
      <c r="AK4744" t="s">
        <v>261</v>
      </c>
      <c r="AM4744" t="s">
        <v>262</v>
      </c>
      <c r="AN4744" t="s">
        <v>12736</v>
      </c>
    </row>
    <row r="4745" spans="1:40" x14ac:dyDescent="0.35">
      <c r="A4745">
        <v>7100875</v>
      </c>
      <c r="B4745" t="s">
        <v>12737</v>
      </c>
      <c r="C4745" t="str">
        <f>"9783428017911"</f>
        <v>9783428017911</v>
      </c>
      <c r="D4745" t="str">
        <f>"9783428417919"</f>
        <v>9783428417919</v>
      </c>
      <c r="E4745" t="s">
        <v>12661</v>
      </c>
      <c r="F4745" t="s">
        <v>12661</v>
      </c>
      <c r="G4745" s="1">
        <v>44805</v>
      </c>
      <c r="H4745" s="1">
        <v>44840</v>
      </c>
      <c r="I4745" t="s">
        <v>189</v>
      </c>
      <c r="J4745">
        <v>1</v>
      </c>
      <c r="K4745" t="s">
        <v>12662</v>
      </c>
      <c r="L4745" t="s">
        <v>12738</v>
      </c>
      <c r="M4745" t="s">
        <v>249</v>
      </c>
    </row>
    <row r="4746" spans="1:40" x14ac:dyDescent="0.35">
      <c r="A4746">
        <v>7100876</v>
      </c>
      <c r="B4746" t="s">
        <v>12739</v>
      </c>
      <c r="C4746" t="str">
        <f>"9783428017928"</f>
        <v>9783428017928</v>
      </c>
      <c r="D4746" t="str">
        <f>"9783428417926"</f>
        <v>9783428417926</v>
      </c>
      <c r="E4746" t="s">
        <v>12661</v>
      </c>
      <c r="F4746" t="s">
        <v>12661</v>
      </c>
      <c r="G4746" s="1">
        <v>44805</v>
      </c>
      <c r="H4746" s="1">
        <v>44840</v>
      </c>
      <c r="I4746" t="s">
        <v>189</v>
      </c>
      <c r="J4746">
        <v>1</v>
      </c>
      <c r="K4746" t="s">
        <v>12662</v>
      </c>
      <c r="L4746" t="s">
        <v>12735</v>
      </c>
      <c r="M4746" t="s">
        <v>210</v>
      </c>
    </row>
    <row r="4747" spans="1:40" x14ac:dyDescent="0.35">
      <c r="A4747">
        <v>7100877</v>
      </c>
      <c r="B4747" t="s">
        <v>12740</v>
      </c>
      <c r="C4747" t="str">
        <f>"9783428019236"</f>
        <v>9783428019236</v>
      </c>
      <c r="D4747" t="str">
        <f>"9783428419234"</f>
        <v>9783428419234</v>
      </c>
      <c r="E4747" t="s">
        <v>12661</v>
      </c>
      <c r="F4747" t="s">
        <v>12661</v>
      </c>
      <c r="G4747" s="1">
        <v>44805</v>
      </c>
      <c r="H4747" s="1">
        <v>44840</v>
      </c>
      <c r="I4747" t="s">
        <v>189</v>
      </c>
      <c r="J4747">
        <v>1</v>
      </c>
      <c r="K4747" t="s">
        <v>12662</v>
      </c>
      <c r="L4747" t="s">
        <v>12735</v>
      </c>
      <c r="M4747" t="s">
        <v>210</v>
      </c>
    </row>
    <row r="4748" spans="1:40" x14ac:dyDescent="0.35">
      <c r="A4748">
        <v>7100878</v>
      </c>
      <c r="B4748" t="s">
        <v>12741</v>
      </c>
      <c r="C4748" t="str">
        <f>"9783428019243"</f>
        <v>9783428019243</v>
      </c>
      <c r="D4748" t="str">
        <f>"9783428419241"</f>
        <v>9783428419241</v>
      </c>
      <c r="E4748" t="s">
        <v>12661</v>
      </c>
      <c r="F4748" t="s">
        <v>12661</v>
      </c>
      <c r="G4748" s="1">
        <v>44805</v>
      </c>
      <c r="H4748" s="1">
        <v>44840</v>
      </c>
      <c r="I4748" t="s">
        <v>189</v>
      </c>
      <c r="J4748">
        <v>1</v>
      </c>
      <c r="K4748" t="s">
        <v>12662</v>
      </c>
      <c r="L4748" t="s">
        <v>12735</v>
      </c>
      <c r="M4748" t="s">
        <v>210</v>
      </c>
      <c r="Q4748" t="s">
        <v>408</v>
      </c>
      <c r="R4748" t="s">
        <v>261</v>
      </c>
      <c r="S4748" t="s">
        <v>261</v>
      </c>
      <c r="T4748" t="s">
        <v>261</v>
      </c>
      <c r="U4748" t="s">
        <v>262</v>
      </c>
      <c r="V4748" t="s">
        <v>262</v>
      </c>
      <c r="W4748" t="s">
        <v>261</v>
      </c>
      <c r="X4748" t="s">
        <v>262</v>
      </c>
      <c r="Y4748" t="s">
        <v>261</v>
      </c>
      <c r="AB4748" t="s">
        <v>409</v>
      </c>
      <c r="AC4748" t="s">
        <v>409</v>
      </c>
      <c r="AD4748" t="s">
        <v>261</v>
      </c>
      <c r="AH4748" t="s">
        <v>262</v>
      </c>
      <c r="AI4748" t="s">
        <v>262</v>
      </c>
      <c r="AJ4748" t="s">
        <v>261</v>
      </c>
      <c r="AK4748" t="s">
        <v>261</v>
      </c>
      <c r="AM4748" t="s">
        <v>262</v>
      </c>
      <c r="AN4748" t="s">
        <v>12742</v>
      </c>
    </row>
    <row r="4749" spans="1:40" x14ac:dyDescent="0.35">
      <c r="A4749">
        <v>7100879</v>
      </c>
      <c r="B4749" t="s">
        <v>12743</v>
      </c>
      <c r="C4749" t="str">
        <f>"9783428021123"</f>
        <v>9783428021123</v>
      </c>
      <c r="D4749" t="str">
        <f>"9783428421121"</f>
        <v>9783428421121</v>
      </c>
      <c r="E4749" t="s">
        <v>12661</v>
      </c>
      <c r="F4749" t="s">
        <v>12661</v>
      </c>
      <c r="G4749" s="1">
        <v>44805</v>
      </c>
      <c r="H4749" s="1">
        <v>44840</v>
      </c>
      <c r="I4749" t="s">
        <v>189</v>
      </c>
      <c r="J4749">
        <v>1</v>
      </c>
      <c r="K4749" t="s">
        <v>12662</v>
      </c>
      <c r="L4749" t="s">
        <v>12744</v>
      </c>
      <c r="M4749" t="s">
        <v>282</v>
      </c>
    </row>
    <row r="4750" spans="1:40" x14ac:dyDescent="0.35">
      <c r="A4750">
        <v>7100880</v>
      </c>
      <c r="B4750" t="s">
        <v>12745</v>
      </c>
      <c r="C4750" t="str">
        <f>"9783428020430"</f>
        <v>9783428020430</v>
      </c>
      <c r="D4750" t="str">
        <f>"9783428420438"</f>
        <v>9783428420438</v>
      </c>
      <c r="E4750" t="s">
        <v>12661</v>
      </c>
      <c r="F4750" t="s">
        <v>12661</v>
      </c>
      <c r="G4750" s="1">
        <v>44805</v>
      </c>
      <c r="H4750" s="1">
        <v>44840</v>
      </c>
      <c r="I4750" t="s">
        <v>189</v>
      </c>
      <c r="J4750">
        <v>1</v>
      </c>
      <c r="K4750" t="s">
        <v>12662</v>
      </c>
      <c r="L4750" t="s">
        <v>12746</v>
      </c>
      <c r="M4750" t="s">
        <v>210</v>
      </c>
    </row>
    <row r="4751" spans="1:40" x14ac:dyDescent="0.35">
      <c r="A4751">
        <v>7100881</v>
      </c>
      <c r="B4751" t="s">
        <v>12747</v>
      </c>
      <c r="C4751" t="str">
        <f>"9783428021482"</f>
        <v>9783428021482</v>
      </c>
      <c r="D4751" t="str">
        <f>"9783428421480"</f>
        <v>9783428421480</v>
      </c>
      <c r="E4751" t="s">
        <v>12661</v>
      </c>
      <c r="F4751" t="s">
        <v>12661</v>
      </c>
      <c r="G4751" s="1">
        <v>43521</v>
      </c>
      <c r="H4751" s="1">
        <v>44840</v>
      </c>
      <c r="I4751" t="s">
        <v>189</v>
      </c>
      <c r="J4751">
        <v>1</v>
      </c>
      <c r="K4751" t="s">
        <v>12732</v>
      </c>
      <c r="L4751" t="s">
        <v>12748</v>
      </c>
      <c r="M4751" t="s">
        <v>282</v>
      </c>
      <c r="Q4751" t="s">
        <v>408</v>
      </c>
      <c r="R4751" t="s">
        <v>261</v>
      </c>
      <c r="S4751" t="s">
        <v>261</v>
      </c>
      <c r="T4751" t="s">
        <v>261</v>
      </c>
      <c r="U4751" t="s">
        <v>262</v>
      </c>
      <c r="V4751" t="s">
        <v>262</v>
      </c>
      <c r="W4751" t="s">
        <v>261</v>
      </c>
      <c r="X4751" t="s">
        <v>262</v>
      </c>
      <c r="Y4751" t="s">
        <v>261</v>
      </c>
      <c r="AB4751" t="s">
        <v>409</v>
      </c>
      <c r="AC4751" t="s">
        <v>409</v>
      </c>
      <c r="AD4751" t="s">
        <v>261</v>
      </c>
      <c r="AH4751" t="s">
        <v>262</v>
      </c>
      <c r="AI4751" t="s">
        <v>262</v>
      </c>
      <c r="AJ4751" t="s">
        <v>261</v>
      </c>
      <c r="AK4751" t="s">
        <v>261</v>
      </c>
      <c r="AM4751" t="s">
        <v>262</v>
      </c>
      <c r="AN4751" t="s">
        <v>12749</v>
      </c>
    </row>
    <row r="4752" spans="1:40" x14ac:dyDescent="0.35">
      <c r="A4752">
        <v>7100882</v>
      </c>
      <c r="B4752" t="s">
        <v>12750</v>
      </c>
      <c r="C4752" t="str">
        <f>"9783428022052"</f>
        <v>9783428022052</v>
      </c>
      <c r="D4752" t="str">
        <f>"9783428422050"</f>
        <v>9783428422050</v>
      </c>
      <c r="E4752" t="s">
        <v>12661</v>
      </c>
      <c r="F4752" t="s">
        <v>12661</v>
      </c>
      <c r="G4752" s="1">
        <v>43521</v>
      </c>
      <c r="H4752" s="1">
        <v>44840</v>
      </c>
      <c r="I4752" t="s">
        <v>189</v>
      </c>
      <c r="J4752">
        <v>1</v>
      </c>
      <c r="K4752" t="s">
        <v>12732</v>
      </c>
      <c r="L4752" t="s">
        <v>12751</v>
      </c>
      <c r="M4752" t="s">
        <v>282</v>
      </c>
      <c r="Q4752" t="s">
        <v>408</v>
      </c>
      <c r="R4752" t="s">
        <v>261</v>
      </c>
      <c r="S4752" t="s">
        <v>261</v>
      </c>
      <c r="T4752" t="s">
        <v>261</v>
      </c>
      <c r="U4752" t="s">
        <v>262</v>
      </c>
      <c r="V4752" t="s">
        <v>262</v>
      </c>
      <c r="W4752" t="s">
        <v>261</v>
      </c>
      <c r="X4752" t="s">
        <v>262</v>
      </c>
      <c r="Y4752" t="s">
        <v>261</v>
      </c>
      <c r="AB4752" t="s">
        <v>409</v>
      </c>
      <c r="AC4752" t="s">
        <v>409</v>
      </c>
      <c r="AD4752" t="s">
        <v>261</v>
      </c>
      <c r="AH4752" t="s">
        <v>262</v>
      </c>
      <c r="AI4752" t="s">
        <v>262</v>
      </c>
      <c r="AJ4752" t="s">
        <v>261</v>
      </c>
      <c r="AK4752" t="s">
        <v>261</v>
      </c>
      <c r="AM4752" t="s">
        <v>262</v>
      </c>
      <c r="AN4752" t="s">
        <v>12752</v>
      </c>
    </row>
    <row r="4753" spans="1:40" x14ac:dyDescent="0.35">
      <c r="A4753">
        <v>7100883</v>
      </c>
      <c r="B4753" t="s">
        <v>12753</v>
      </c>
      <c r="C4753" t="str">
        <f>"9783428022847"</f>
        <v>9783428022847</v>
      </c>
      <c r="D4753" t="str">
        <f>"9783428422845"</f>
        <v>9783428422845</v>
      </c>
      <c r="E4753" t="s">
        <v>12661</v>
      </c>
      <c r="F4753" t="s">
        <v>12661</v>
      </c>
      <c r="G4753" s="1">
        <v>44805</v>
      </c>
      <c r="H4753" s="1">
        <v>44840</v>
      </c>
      <c r="I4753" t="s">
        <v>189</v>
      </c>
      <c r="J4753">
        <v>1</v>
      </c>
      <c r="K4753" t="s">
        <v>12662</v>
      </c>
      <c r="L4753" t="s">
        <v>135</v>
      </c>
      <c r="M4753" t="s">
        <v>249</v>
      </c>
    </row>
    <row r="4754" spans="1:40" x14ac:dyDescent="0.35">
      <c r="A4754">
        <v>7100884</v>
      </c>
      <c r="B4754" t="s">
        <v>12754</v>
      </c>
      <c r="C4754" t="str">
        <f>"9783428022854"</f>
        <v>9783428022854</v>
      </c>
      <c r="D4754" t="str">
        <f>"9783428422852"</f>
        <v>9783428422852</v>
      </c>
      <c r="E4754" t="s">
        <v>12661</v>
      </c>
      <c r="F4754" t="s">
        <v>12661</v>
      </c>
      <c r="G4754" s="1">
        <v>44805</v>
      </c>
      <c r="H4754" s="1">
        <v>44840</v>
      </c>
      <c r="I4754" t="s">
        <v>189</v>
      </c>
      <c r="J4754">
        <v>1</v>
      </c>
      <c r="K4754" t="s">
        <v>12662</v>
      </c>
      <c r="L4754" t="s">
        <v>135</v>
      </c>
      <c r="M4754" t="s">
        <v>282</v>
      </c>
    </row>
    <row r="4755" spans="1:40" x14ac:dyDescent="0.35">
      <c r="A4755">
        <v>7100885</v>
      </c>
      <c r="B4755" t="s">
        <v>12755</v>
      </c>
      <c r="C4755" t="str">
        <f>"9783428023240"</f>
        <v>9783428023240</v>
      </c>
      <c r="D4755" t="str">
        <f>"9783428423248"</f>
        <v>9783428423248</v>
      </c>
      <c r="E4755" t="s">
        <v>12661</v>
      </c>
      <c r="F4755" t="s">
        <v>12661</v>
      </c>
      <c r="G4755" s="1">
        <v>44804</v>
      </c>
      <c r="H4755" s="1">
        <v>44840</v>
      </c>
      <c r="I4755" t="s">
        <v>189</v>
      </c>
      <c r="J4755">
        <v>1</v>
      </c>
      <c r="K4755" t="s">
        <v>12662</v>
      </c>
      <c r="L4755" t="s">
        <v>12756</v>
      </c>
      <c r="M4755" t="s">
        <v>210</v>
      </c>
      <c r="Q4755" t="s">
        <v>408</v>
      </c>
      <c r="R4755" t="s">
        <v>261</v>
      </c>
      <c r="S4755" t="s">
        <v>261</v>
      </c>
      <c r="T4755" t="s">
        <v>261</v>
      </c>
      <c r="U4755" t="s">
        <v>262</v>
      </c>
      <c r="V4755" t="s">
        <v>262</v>
      </c>
      <c r="W4755" t="s">
        <v>261</v>
      </c>
      <c r="X4755" t="s">
        <v>262</v>
      </c>
      <c r="Y4755" t="s">
        <v>261</v>
      </c>
      <c r="AB4755" t="s">
        <v>409</v>
      </c>
      <c r="AC4755" t="s">
        <v>409</v>
      </c>
      <c r="AD4755" t="s">
        <v>261</v>
      </c>
      <c r="AH4755" t="s">
        <v>262</v>
      </c>
      <c r="AI4755" t="s">
        <v>262</v>
      </c>
      <c r="AJ4755" t="s">
        <v>261</v>
      </c>
      <c r="AK4755" t="s">
        <v>261</v>
      </c>
      <c r="AM4755" t="s">
        <v>262</v>
      </c>
      <c r="AN4755" t="s">
        <v>12757</v>
      </c>
    </row>
    <row r="4756" spans="1:40" x14ac:dyDescent="0.35">
      <c r="A4756">
        <v>7100886</v>
      </c>
      <c r="B4756" t="s">
        <v>12758</v>
      </c>
      <c r="C4756" t="str">
        <f>"9783428022977"</f>
        <v>9783428022977</v>
      </c>
      <c r="D4756" t="str">
        <f>"9783428422975"</f>
        <v>9783428422975</v>
      </c>
      <c r="E4756" t="s">
        <v>12661</v>
      </c>
      <c r="F4756" t="s">
        <v>12661</v>
      </c>
      <c r="G4756" s="1">
        <v>44813</v>
      </c>
      <c r="H4756" s="1">
        <v>44840</v>
      </c>
      <c r="I4756" t="s">
        <v>189</v>
      </c>
      <c r="J4756">
        <v>1</v>
      </c>
      <c r="K4756" t="s">
        <v>12662</v>
      </c>
      <c r="L4756" t="s">
        <v>12759</v>
      </c>
    </row>
    <row r="4757" spans="1:40" x14ac:dyDescent="0.35">
      <c r="A4757">
        <v>7100887</v>
      </c>
      <c r="B4757" t="s">
        <v>12760</v>
      </c>
      <c r="C4757" t="str">
        <f>"9783428023912"</f>
        <v>9783428023912</v>
      </c>
      <c r="D4757" t="str">
        <f>"9783428423910"</f>
        <v>9783428423910</v>
      </c>
      <c r="E4757" t="s">
        <v>12661</v>
      </c>
      <c r="F4757" t="s">
        <v>12661</v>
      </c>
      <c r="G4757" s="1">
        <v>44804</v>
      </c>
      <c r="H4757" s="1">
        <v>44840</v>
      </c>
      <c r="I4757" t="s">
        <v>189</v>
      </c>
      <c r="J4757">
        <v>1</v>
      </c>
      <c r="K4757" t="s">
        <v>12662</v>
      </c>
      <c r="L4757" t="s">
        <v>12761</v>
      </c>
      <c r="M4757" t="s">
        <v>210</v>
      </c>
    </row>
    <row r="4758" spans="1:40" x14ac:dyDescent="0.35">
      <c r="A4758">
        <v>7100888</v>
      </c>
      <c r="B4758" t="s">
        <v>12762</v>
      </c>
      <c r="C4758" t="str">
        <f>"9783428023806"</f>
        <v>9783428023806</v>
      </c>
      <c r="D4758" t="str">
        <f>"9783428423804"</f>
        <v>9783428423804</v>
      </c>
      <c r="E4758" t="s">
        <v>12661</v>
      </c>
      <c r="F4758" t="s">
        <v>12661</v>
      </c>
      <c r="G4758" s="1">
        <v>44804</v>
      </c>
      <c r="H4758" s="1">
        <v>44840</v>
      </c>
      <c r="I4758" t="s">
        <v>189</v>
      </c>
      <c r="J4758">
        <v>1</v>
      </c>
      <c r="K4758" t="s">
        <v>12662</v>
      </c>
      <c r="L4758" t="s">
        <v>12746</v>
      </c>
    </row>
    <row r="4759" spans="1:40" x14ac:dyDescent="0.35">
      <c r="A4759">
        <v>7100889</v>
      </c>
      <c r="B4759" t="s">
        <v>12763</v>
      </c>
      <c r="C4759" t="str">
        <f>"9783428024247"</f>
        <v>9783428024247</v>
      </c>
      <c r="D4759" t="str">
        <f>"9783428424245"</f>
        <v>9783428424245</v>
      </c>
      <c r="E4759" t="s">
        <v>12661</v>
      </c>
      <c r="F4759" t="s">
        <v>12661</v>
      </c>
      <c r="G4759" s="1">
        <v>43521</v>
      </c>
      <c r="H4759" s="1">
        <v>44840</v>
      </c>
      <c r="I4759" t="s">
        <v>189</v>
      </c>
      <c r="J4759">
        <v>1</v>
      </c>
      <c r="K4759" t="s">
        <v>12732</v>
      </c>
      <c r="L4759" t="s">
        <v>12764</v>
      </c>
    </row>
    <row r="4760" spans="1:40" x14ac:dyDescent="0.35">
      <c r="A4760">
        <v>7100890</v>
      </c>
      <c r="B4760" t="s">
        <v>12765</v>
      </c>
      <c r="C4760" t="str">
        <f>"9783428024575"</f>
        <v>9783428024575</v>
      </c>
      <c r="D4760" t="str">
        <f>"9783428424573"</f>
        <v>9783428424573</v>
      </c>
      <c r="E4760" t="s">
        <v>12661</v>
      </c>
      <c r="F4760" t="s">
        <v>12661</v>
      </c>
      <c r="G4760" s="1">
        <v>43521</v>
      </c>
      <c r="H4760" s="1">
        <v>44840</v>
      </c>
      <c r="I4760" t="s">
        <v>189</v>
      </c>
      <c r="J4760">
        <v>1</v>
      </c>
      <c r="K4760" t="s">
        <v>12732</v>
      </c>
      <c r="L4760" t="s">
        <v>12766</v>
      </c>
      <c r="M4760" t="s">
        <v>282</v>
      </c>
      <c r="Q4760" t="s">
        <v>408</v>
      </c>
      <c r="R4760" t="s">
        <v>261</v>
      </c>
      <c r="S4760" t="s">
        <v>261</v>
      </c>
      <c r="T4760" t="s">
        <v>261</v>
      </c>
      <c r="U4760" t="s">
        <v>262</v>
      </c>
      <c r="V4760" t="s">
        <v>262</v>
      </c>
      <c r="W4760" t="s">
        <v>261</v>
      </c>
      <c r="X4760" t="s">
        <v>262</v>
      </c>
      <c r="Y4760" t="s">
        <v>261</v>
      </c>
      <c r="AB4760" t="s">
        <v>409</v>
      </c>
      <c r="AC4760" t="s">
        <v>409</v>
      </c>
      <c r="AD4760" t="s">
        <v>261</v>
      </c>
      <c r="AH4760" t="s">
        <v>262</v>
      </c>
      <c r="AI4760" t="s">
        <v>262</v>
      </c>
      <c r="AJ4760" t="s">
        <v>261</v>
      </c>
      <c r="AK4760" t="s">
        <v>261</v>
      </c>
      <c r="AM4760" t="s">
        <v>262</v>
      </c>
      <c r="AN4760" t="s">
        <v>12767</v>
      </c>
    </row>
    <row r="4761" spans="1:40" x14ac:dyDescent="0.35">
      <c r="A4761">
        <v>7100891</v>
      </c>
      <c r="B4761" t="s">
        <v>12768</v>
      </c>
      <c r="C4761" t="str">
        <f>"9783428025213"</f>
        <v>9783428025213</v>
      </c>
      <c r="D4761" t="str">
        <f>"9783428425211"</f>
        <v>9783428425211</v>
      </c>
      <c r="E4761" t="s">
        <v>12661</v>
      </c>
      <c r="F4761" t="s">
        <v>12661</v>
      </c>
      <c r="G4761" s="1">
        <v>44804</v>
      </c>
      <c r="H4761" s="1">
        <v>44840</v>
      </c>
      <c r="I4761" t="s">
        <v>189</v>
      </c>
      <c r="J4761">
        <v>1</v>
      </c>
      <c r="K4761" t="s">
        <v>12662</v>
      </c>
      <c r="L4761" t="s">
        <v>12744</v>
      </c>
    </row>
    <row r="4762" spans="1:40" x14ac:dyDescent="0.35">
      <c r="A4762">
        <v>7100892</v>
      </c>
      <c r="B4762" t="s">
        <v>12769</v>
      </c>
      <c r="C4762" t="str">
        <f>"9783428025237"</f>
        <v>9783428025237</v>
      </c>
      <c r="D4762" t="str">
        <f>"9783428425235"</f>
        <v>9783428425235</v>
      </c>
      <c r="E4762" t="s">
        <v>12661</v>
      </c>
      <c r="F4762" t="s">
        <v>12661</v>
      </c>
      <c r="G4762" s="1">
        <v>44804</v>
      </c>
      <c r="H4762" s="1">
        <v>44840</v>
      </c>
      <c r="I4762" t="s">
        <v>189</v>
      </c>
      <c r="J4762">
        <v>1</v>
      </c>
      <c r="K4762" t="s">
        <v>12662</v>
      </c>
      <c r="L4762" t="s">
        <v>12770</v>
      </c>
    </row>
    <row r="4763" spans="1:40" x14ac:dyDescent="0.35">
      <c r="A4763">
        <v>7100893</v>
      </c>
      <c r="B4763" t="s">
        <v>12771</v>
      </c>
      <c r="C4763" t="str">
        <f>"9783428025497"</f>
        <v>9783428025497</v>
      </c>
      <c r="D4763" t="str">
        <f>"9783428425495"</f>
        <v>9783428425495</v>
      </c>
      <c r="E4763" t="s">
        <v>12661</v>
      </c>
      <c r="F4763" t="s">
        <v>12661</v>
      </c>
      <c r="G4763" s="1">
        <v>44804</v>
      </c>
      <c r="H4763" s="1">
        <v>44840</v>
      </c>
      <c r="I4763" t="s">
        <v>189</v>
      </c>
      <c r="J4763">
        <v>1</v>
      </c>
      <c r="K4763" t="s">
        <v>12662</v>
      </c>
      <c r="L4763" t="s">
        <v>12756</v>
      </c>
      <c r="M4763" t="s">
        <v>210</v>
      </c>
      <c r="Q4763" t="s">
        <v>408</v>
      </c>
      <c r="R4763" t="s">
        <v>261</v>
      </c>
      <c r="S4763" t="s">
        <v>261</v>
      </c>
      <c r="T4763" t="s">
        <v>261</v>
      </c>
      <c r="U4763" t="s">
        <v>262</v>
      </c>
      <c r="V4763" t="s">
        <v>262</v>
      </c>
      <c r="W4763" t="s">
        <v>261</v>
      </c>
      <c r="X4763" t="s">
        <v>262</v>
      </c>
      <c r="Y4763" t="s">
        <v>261</v>
      </c>
      <c r="AB4763" t="s">
        <v>409</v>
      </c>
      <c r="AC4763" t="s">
        <v>409</v>
      </c>
      <c r="AD4763" t="s">
        <v>261</v>
      </c>
      <c r="AH4763" t="s">
        <v>262</v>
      </c>
      <c r="AI4763" t="s">
        <v>262</v>
      </c>
      <c r="AJ4763" t="s">
        <v>261</v>
      </c>
      <c r="AK4763" t="s">
        <v>261</v>
      </c>
      <c r="AM4763" t="s">
        <v>262</v>
      </c>
      <c r="AN4763" t="s">
        <v>12772</v>
      </c>
    </row>
    <row r="4764" spans="1:40" x14ac:dyDescent="0.35">
      <c r="A4764">
        <v>7100894</v>
      </c>
      <c r="B4764" t="s">
        <v>12773</v>
      </c>
      <c r="C4764" t="str">
        <f>"9783428025527"</f>
        <v>9783428025527</v>
      </c>
      <c r="D4764" t="str">
        <f>"9783428425525"</f>
        <v>9783428425525</v>
      </c>
      <c r="E4764" t="s">
        <v>12661</v>
      </c>
      <c r="F4764" t="s">
        <v>12661</v>
      </c>
      <c r="G4764" s="1">
        <v>44804</v>
      </c>
      <c r="H4764" s="1">
        <v>44840</v>
      </c>
      <c r="I4764" t="s">
        <v>189</v>
      </c>
      <c r="J4764">
        <v>1</v>
      </c>
      <c r="K4764" t="s">
        <v>12662</v>
      </c>
      <c r="L4764" t="s">
        <v>12663</v>
      </c>
      <c r="M4764" t="s">
        <v>249</v>
      </c>
      <c r="Q4764" t="s">
        <v>408</v>
      </c>
      <c r="R4764" t="s">
        <v>261</v>
      </c>
      <c r="S4764" t="s">
        <v>261</v>
      </c>
      <c r="T4764" t="s">
        <v>261</v>
      </c>
      <c r="U4764" t="s">
        <v>262</v>
      </c>
      <c r="V4764" t="s">
        <v>262</v>
      </c>
      <c r="W4764" t="s">
        <v>261</v>
      </c>
      <c r="X4764" t="s">
        <v>262</v>
      </c>
      <c r="Y4764" t="s">
        <v>261</v>
      </c>
      <c r="AB4764" t="s">
        <v>409</v>
      </c>
      <c r="AC4764" t="s">
        <v>409</v>
      </c>
      <c r="AD4764" t="s">
        <v>261</v>
      </c>
      <c r="AH4764" t="s">
        <v>262</v>
      </c>
      <c r="AI4764" t="s">
        <v>262</v>
      </c>
      <c r="AJ4764" t="s">
        <v>261</v>
      </c>
      <c r="AK4764" t="s">
        <v>261</v>
      </c>
      <c r="AM4764" t="s">
        <v>262</v>
      </c>
      <c r="AN4764" t="s">
        <v>12774</v>
      </c>
    </row>
    <row r="4765" spans="1:40" x14ac:dyDescent="0.35">
      <c r="A4765">
        <v>7100895</v>
      </c>
      <c r="B4765" t="s">
        <v>12775</v>
      </c>
      <c r="C4765" t="str">
        <f>"9783428025954"</f>
        <v>9783428025954</v>
      </c>
      <c r="D4765" t="str">
        <f>"9783428425952"</f>
        <v>9783428425952</v>
      </c>
      <c r="E4765" t="s">
        <v>12661</v>
      </c>
      <c r="F4765" t="s">
        <v>12661</v>
      </c>
      <c r="G4765" s="1">
        <v>44804</v>
      </c>
      <c r="H4765" s="1">
        <v>44840</v>
      </c>
      <c r="I4765" t="s">
        <v>189</v>
      </c>
      <c r="J4765">
        <v>1</v>
      </c>
      <c r="K4765" t="s">
        <v>12662</v>
      </c>
      <c r="L4765" t="s">
        <v>12776</v>
      </c>
      <c r="M4765" t="s">
        <v>282</v>
      </c>
      <c r="Q4765" t="s">
        <v>408</v>
      </c>
      <c r="R4765" t="s">
        <v>261</v>
      </c>
      <c r="S4765" t="s">
        <v>261</v>
      </c>
      <c r="T4765" t="s">
        <v>261</v>
      </c>
      <c r="U4765" t="s">
        <v>262</v>
      </c>
      <c r="V4765" t="s">
        <v>262</v>
      </c>
      <c r="W4765" t="s">
        <v>261</v>
      </c>
      <c r="X4765" t="s">
        <v>262</v>
      </c>
      <c r="Y4765" t="s">
        <v>261</v>
      </c>
      <c r="AB4765" t="s">
        <v>409</v>
      </c>
      <c r="AC4765" t="s">
        <v>409</v>
      </c>
      <c r="AD4765" t="s">
        <v>261</v>
      </c>
      <c r="AH4765" t="s">
        <v>262</v>
      </c>
      <c r="AI4765" t="s">
        <v>262</v>
      </c>
      <c r="AJ4765" t="s">
        <v>261</v>
      </c>
      <c r="AK4765" t="s">
        <v>261</v>
      </c>
      <c r="AM4765" t="s">
        <v>262</v>
      </c>
      <c r="AN4765" t="s">
        <v>12777</v>
      </c>
    </row>
    <row r="4766" spans="1:40" x14ac:dyDescent="0.35">
      <c r="A4766">
        <v>7100896</v>
      </c>
      <c r="B4766" t="s">
        <v>12778</v>
      </c>
      <c r="C4766" t="str">
        <f>"9783428026296"</f>
        <v>9783428026296</v>
      </c>
      <c r="D4766" t="str">
        <f>"9783428426294"</f>
        <v>9783428426294</v>
      </c>
      <c r="E4766" t="s">
        <v>12661</v>
      </c>
      <c r="F4766" t="s">
        <v>12661</v>
      </c>
      <c r="G4766" s="1">
        <v>44804</v>
      </c>
      <c r="H4766" s="1">
        <v>44840</v>
      </c>
      <c r="I4766" t="s">
        <v>189</v>
      </c>
      <c r="J4766">
        <v>1</v>
      </c>
      <c r="K4766" t="s">
        <v>12662</v>
      </c>
      <c r="L4766" t="s">
        <v>12738</v>
      </c>
      <c r="M4766" t="s">
        <v>282</v>
      </c>
      <c r="Q4766" t="s">
        <v>408</v>
      </c>
      <c r="R4766" t="s">
        <v>261</v>
      </c>
      <c r="S4766" t="s">
        <v>261</v>
      </c>
      <c r="T4766" t="s">
        <v>261</v>
      </c>
      <c r="U4766" t="s">
        <v>262</v>
      </c>
      <c r="V4766" t="s">
        <v>262</v>
      </c>
      <c r="W4766" t="s">
        <v>261</v>
      </c>
      <c r="X4766" t="s">
        <v>262</v>
      </c>
      <c r="Y4766" t="s">
        <v>261</v>
      </c>
      <c r="AB4766" t="s">
        <v>409</v>
      </c>
      <c r="AC4766" t="s">
        <v>409</v>
      </c>
      <c r="AD4766" t="s">
        <v>261</v>
      </c>
      <c r="AH4766" t="s">
        <v>262</v>
      </c>
      <c r="AI4766" t="s">
        <v>262</v>
      </c>
      <c r="AJ4766" t="s">
        <v>261</v>
      </c>
      <c r="AK4766" t="s">
        <v>261</v>
      </c>
      <c r="AM4766" t="s">
        <v>262</v>
      </c>
      <c r="AN4766" t="s">
        <v>12779</v>
      </c>
    </row>
    <row r="4767" spans="1:40" x14ac:dyDescent="0.35">
      <c r="A4767">
        <v>7100897</v>
      </c>
      <c r="B4767" t="s">
        <v>12780</v>
      </c>
      <c r="C4767" t="str">
        <f>"9783428026487"</f>
        <v>9783428026487</v>
      </c>
      <c r="D4767" t="str">
        <f>"9783428426485"</f>
        <v>9783428426485</v>
      </c>
      <c r="E4767" t="s">
        <v>12661</v>
      </c>
      <c r="F4767" t="s">
        <v>12661</v>
      </c>
      <c r="G4767" s="1">
        <v>44804</v>
      </c>
      <c r="H4767" s="1">
        <v>44840</v>
      </c>
      <c r="I4767" t="s">
        <v>189</v>
      </c>
      <c r="J4767">
        <v>1</v>
      </c>
      <c r="K4767" t="s">
        <v>12662</v>
      </c>
      <c r="L4767" t="s">
        <v>12781</v>
      </c>
      <c r="M4767" t="s">
        <v>210</v>
      </c>
      <c r="Q4767" t="s">
        <v>408</v>
      </c>
      <c r="R4767" t="s">
        <v>261</v>
      </c>
      <c r="S4767" t="s">
        <v>261</v>
      </c>
      <c r="T4767" t="s">
        <v>261</v>
      </c>
      <c r="U4767" t="s">
        <v>262</v>
      </c>
      <c r="V4767" t="s">
        <v>262</v>
      </c>
      <c r="W4767" t="s">
        <v>261</v>
      </c>
      <c r="X4767" t="s">
        <v>262</v>
      </c>
      <c r="Y4767" t="s">
        <v>261</v>
      </c>
      <c r="AB4767" t="s">
        <v>409</v>
      </c>
      <c r="AC4767" t="s">
        <v>409</v>
      </c>
      <c r="AD4767" t="s">
        <v>261</v>
      </c>
      <c r="AH4767" t="s">
        <v>262</v>
      </c>
      <c r="AI4767" t="s">
        <v>262</v>
      </c>
      <c r="AJ4767" t="s">
        <v>261</v>
      </c>
      <c r="AK4767" t="s">
        <v>261</v>
      </c>
      <c r="AM4767" t="s">
        <v>262</v>
      </c>
      <c r="AN4767" t="s">
        <v>12782</v>
      </c>
    </row>
    <row r="4768" spans="1:40" x14ac:dyDescent="0.35">
      <c r="A4768">
        <v>7100898</v>
      </c>
      <c r="B4768" t="s">
        <v>12783</v>
      </c>
      <c r="C4768" t="str">
        <f>"9783428027583"</f>
        <v>9783428027583</v>
      </c>
      <c r="D4768" t="str">
        <f>"9783428427581"</f>
        <v>9783428427581</v>
      </c>
      <c r="E4768" t="s">
        <v>12661</v>
      </c>
      <c r="F4768" t="s">
        <v>12661</v>
      </c>
      <c r="G4768" s="1">
        <v>43521</v>
      </c>
      <c r="H4768" s="1">
        <v>44840</v>
      </c>
      <c r="I4768" t="s">
        <v>189</v>
      </c>
      <c r="J4768">
        <v>1</v>
      </c>
      <c r="K4768" t="s">
        <v>12732</v>
      </c>
      <c r="L4768" t="s">
        <v>12784</v>
      </c>
    </row>
    <row r="4769" spans="1:40" x14ac:dyDescent="0.35">
      <c r="A4769">
        <v>7100901</v>
      </c>
      <c r="B4769" t="s">
        <v>12785</v>
      </c>
      <c r="C4769" t="str">
        <f>"9783428026524"</f>
        <v>9783428026524</v>
      </c>
      <c r="D4769" t="str">
        <f>"9783428426522"</f>
        <v>9783428426522</v>
      </c>
      <c r="E4769" t="s">
        <v>12661</v>
      </c>
      <c r="F4769" t="s">
        <v>12661</v>
      </c>
      <c r="G4769" s="1">
        <v>43521</v>
      </c>
      <c r="H4769" s="1">
        <v>44840</v>
      </c>
      <c r="I4769" t="s">
        <v>189</v>
      </c>
      <c r="J4769">
        <v>1</v>
      </c>
      <c r="K4769" t="s">
        <v>12732</v>
      </c>
      <c r="L4769" t="s">
        <v>12786</v>
      </c>
    </row>
    <row r="4770" spans="1:40" x14ac:dyDescent="0.35">
      <c r="A4770">
        <v>7100902</v>
      </c>
      <c r="B4770" t="s">
        <v>12787</v>
      </c>
      <c r="C4770" t="str">
        <f>"9783428028146"</f>
        <v>9783428028146</v>
      </c>
      <c r="D4770" t="str">
        <f>"9783428428144"</f>
        <v>9783428428144</v>
      </c>
      <c r="E4770" t="s">
        <v>12661</v>
      </c>
      <c r="F4770" t="s">
        <v>12661</v>
      </c>
      <c r="G4770" s="1">
        <v>44802</v>
      </c>
      <c r="H4770" s="1">
        <v>44840</v>
      </c>
      <c r="I4770" t="s">
        <v>189</v>
      </c>
      <c r="J4770">
        <v>1</v>
      </c>
      <c r="K4770" t="s">
        <v>12662</v>
      </c>
      <c r="L4770" t="s">
        <v>12788</v>
      </c>
      <c r="M4770" t="s">
        <v>282</v>
      </c>
      <c r="Q4770" t="s">
        <v>408</v>
      </c>
      <c r="R4770" t="s">
        <v>261</v>
      </c>
      <c r="S4770" t="s">
        <v>261</v>
      </c>
      <c r="T4770" t="s">
        <v>261</v>
      </c>
      <c r="U4770" t="s">
        <v>262</v>
      </c>
      <c r="V4770" t="s">
        <v>262</v>
      </c>
      <c r="W4770" t="s">
        <v>261</v>
      </c>
      <c r="X4770" t="s">
        <v>262</v>
      </c>
      <c r="Y4770" t="s">
        <v>261</v>
      </c>
      <c r="AB4770" t="s">
        <v>409</v>
      </c>
      <c r="AC4770" t="s">
        <v>409</v>
      </c>
      <c r="AD4770" t="s">
        <v>261</v>
      </c>
      <c r="AH4770" t="s">
        <v>262</v>
      </c>
      <c r="AI4770" t="s">
        <v>262</v>
      </c>
      <c r="AJ4770" t="s">
        <v>261</v>
      </c>
      <c r="AK4770" t="s">
        <v>261</v>
      </c>
      <c r="AM4770" t="s">
        <v>262</v>
      </c>
      <c r="AN4770" t="s">
        <v>12789</v>
      </c>
    </row>
    <row r="4771" spans="1:40" x14ac:dyDescent="0.35">
      <c r="A4771">
        <v>7100903</v>
      </c>
      <c r="B4771" t="s">
        <v>12790</v>
      </c>
      <c r="C4771" t="str">
        <f>"9783428028443"</f>
        <v>9783428028443</v>
      </c>
      <c r="D4771" t="str">
        <f>"9783428428441"</f>
        <v>9783428428441</v>
      </c>
      <c r="E4771" t="s">
        <v>12661</v>
      </c>
      <c r="F4771" t="s">
        <v>12661</v>
      </c>
      <c r="G4771" s="1">
        <v>44802</v>
      </c>
      <c r="H4771" s="1">
        <v>44840</v>
      </c>
      <c r="I4771" t="s">
        <v>189</v>
      </c>
      <c r="J4771">
        <v>1</v>
      </c>
      <c r="K4771" t="s">
        <v>12662</v>
      </c>
      <c r="L4771" t="s">
        <v>12791</v>
      </c>
      <c r="M4771" t="s">
        <v>249</v>
      </c>
      <c r="Q4771" t="s">
        <v>408</v>
      </c>
      <c r="R4771" t="s">
        <v>261</v>
      </c>
      <c r="S4771" t="s">
        <v>261</v>
      </c>
      <c r="T4771" t="s">
        <v>261</v>
      </c>
      <c r="U4771" t="s">
        <v>262</v>
      </c>
      <c r="V4771" t="s">
        <v>262</v>
      </c>
      <c r="W4771" t="s">
        <v>261</v>
      </c>
      <c r="X4771" t="s">
        <v>262</v>
      </c>
      <c r="Y4771" t="s">
        <v>261</v>
      </c>
      <c r="AB4771" t="s">
        <v>409</v>
      </c>
      <c r="AC4771" t="s">
        <v>409</v>
      </c>
      <c r="AD4771" t="s">
        <v>261</v>
      </c>
      <c r="AH4771" t="s">
        <v>262</v>
      </c>
      <c r="AI4771" t="s">
        <v>262</v>
      </c>
      <c r="AJ4771" t="s">
        <v>261</v>
      </c>
      <c r="AK4771" t="s">
        <v>261</v>
      </c>
      <c r="AM4771" t="s">
        <v>262</v>
      </c>
      <c r="AN4771" t="s">
        <v>12792</v>
      </c>
    </row>
    <row r="4772" spans="1:40" x14ac:dyDescent="0.35">
      <c r="A4772">
        <v>7100904</v>
      </c>
      <c r="B4772" t="s">
        <v>12793</v>
      </c>
      <c r="C4772" t="str">
        <f>"9783428028726"</f>
        <v>9783428028726</v>
      </c>
      <c r="D4772" t="str">
        <f>"9783428428724"</f>
        <v>9783428428724</v>
      </c>
      <c r="E4772" t="s">
        <v>12661</v>
      </c>
      <c r="F4772" t="s">
        <v>12661</v>
      </c>
      <c r="G4772" s="1">
        <v>44802</v>
      </c>
      <c r="H4772" s="1">
        <v>44840</v>
      </c>
      <c r="I4772" t="s">
        <v>189</v>
      </c>
      <c r="J4772">
        <v>1</v>
      </c>
      <c r="K4772" t="s">
        <v>12662</v>
      </c>
      <c r="L4772" t="s">
        <v>12794</v>
      </c>
      <c r="M4772" t="s">
        <v>282</v>
      </c>
    </row>
    <row r="4773" spans="1:40" x14ac:dyDescent="0.35">
      <c r="A4773">
        <v>7100905</v>
      </c>
      <c r="B4773" t="s">
        <v>12795</v>
      </c>
      <c r="C4773" t="str">
        <f>"9783428028931"</f>
        <v>9783428028931</v>
      </c>
      <c r="D4773" t="str">
        <f>"9783428428939"</f>
        <v>9783428428939</v>
      </c>
      <c r="E4773" t="s">
        <v>12661</v>
      </c>
      <c r="F4773" t="s">
        <v>12661</v>
      </c>
      <c r="G4773" s="1">
        <v>44802</v>
      </c>
      <c r="H4773" s="1">
        <v>44840</v>
      </c>
      <c r="I4773" t="s">
        <v>189</v>
      </c>
      <c r="J4773">
        <v>1</v>
      </c>
      <c r="K4773" t="s">
        <v>12662</v>
      </c>
      <c r="L4773" t="s">
        <v>12796</v>
      </c>
      <c r="M4773" t="s">
        <v>282</v>
      </c>
      <c r="Q4773" t="s">
        <v>408</v>
      </c>
      <c r="R4773" t="s">
        <v>261</v>
      </c>
      <c r="S4773" t="s">
        <v>261</v>
      </c>
      <c r="T4773" t="s">
        <v>261</v>
      </c>
      <c r="U4773" t="s">
        <v>262</v>
      </c>
      <c r="V4773" t="s">
        <v>262</v>
      </c>
      <c r="W4773" t="s">
        <v>261</v>
      </c>
      <c r="X4773" t="s">
        <v>262</v>
      </c>
      <c r="Y4773" t="s">
        <v>261</v>
      </c>
      <c r="AB4773" t="s">
        <v>409</v>
      </c>
      <c r="AC4773" t="s">
        <v>409</v>
      </c>
      <c r="AD4773" t="s">
        <v>261</v>
      </c>
      <c r="AH4773" t="s">
        <v>262</v>
      </c>
      <c r="AI4773" t="s">
        <v>262</v>
      </c>
      <c r="AJ4773" t="s">
        <v>261</v>
      </c>
      <c r="AK4773" t="s">
        <v>261</v>
      </c>
      <c r="AM4773" t="s">
        <v>262</v>
      </c>
      <c r="AN4773" t="s">
        <v>12797</v>
      </c>
    </row>
    <row r="4774" spans="1:40" x14ac:dyDescent="0.35">
      <c r="A4774">
        <v>7100906</v>
      </c>
      <c r="B4774" t="s">
        <v>12798</v>
      </c>
      <c r="C4774" t="str">
        <f>"9783428029341"</f>
        <v>9783428029341</v>
      </c>
      <c r="D4774" t="str">
        <f>"9783428429349"</f>
        <v>9783428429349</v>
      </c>
      <c r="E4774" t="s">
        <v>12661</v>
      </c>
      <c r="F4774" t="s">
        <v>12661</v>
      </c>
      <c r="G4774" s="1">
        <v>44802</v>
      </c>
      <c r="H4774" s="1">
        <v>44840</v>
      </c>
      <c r="I4774" t="s">
        <v>189</v>
      </c>
      <c r="J4774">
        <v>1</v>
      </c>
      <c r="K4774" t="s">
        <v>12662</v>
      </c>
      <c r="L4774" t="s">
        <v>12756</v>
      </c>
      <c r="M4774" t="s">
        <v>210</v>
      </c>
      <c r="Q4774" t="s">
        <v>408</v>
      </c>
      <c r="R4774" t="s">
        <v>261</v>
      </c>
      <c r="S4774" t="s">
        <v>261</v>
      </c>
      <c r="T4774" t="s">
        <v>261</v>
      </c>
      <c r="U4774" t="s">
        <v>262</v>
      </c>
      <c r="V4774" t="s">
        <v>262</v>
      </c>
      <c r="W4774" t="s">
        <v>261</v>
      </c>
      <c r="X4774" t="s">
        <v>262</v>
      </c>
      <c r="Y4774" t="s">
        <v>261</v>
      </c>
      <c r="AB4774" t="s">
        <v>409</v>
      </c>
      <c r="AC4774" t="s">
        <v>409</v>
      </c>
      <c r="AD4774" t="s">
        <v>261</v>
      </c>
      <c r="AH4774" t="s">
        <v>262</v>
      </c>
      <c r="AI4774" t="s">
        <v>262</v>
      </c>
      <c r="AJ4774" t="s">
        <v>261</v>
      </c>
      <c r="AK4774" t="s">
        <v>261</v>
      </c>
      <c r="AM4774" t="s">
        <v>262</v>
      </c>
      <c r="AN4774" t="s">
        <v>12799</v>
      </c>
    </row>
    <row r="4775" spans="1:40" x14ac:dyDescent="0.35">
      <c r="A4775">
        <v>7100907</v>
      </c>
      <c r="B4775" t="s">
        <v>12800</v>
      </c>
      <c r="C4775" t="str">
        <f>"9783428029631"</f>
        <v>9783428029631</v>
      </c>
      <c r="D4775" t="str">
        <f>"9783428429639"</f>
        <v>9783428429639</v>
      </c>
      <c r="E4775" t="s">
        <v>12661</v>
      </c>
      <c r="F4775" t="s">
        <v>12661</v>
      </c>
      <c r="G4775" s="1">
        <v>44802</v>
      </c>
      <c r="H4775" s="1">
        <v>44840</v>
      </c>
      <c r="I4775" t="s">
        <v>189</v>
      </c>
      <c r="J4775">
        <v>1</v>
      </c>
      <c r="K4775" t="s">
        <v>12662</v>
      </c>
      <c r="L4775" t="s">
        <v>12746</v>
      </c>
    </row>
    <row r="4776" spans="1:40" x14ac:dyDescent="0.35">
      <c r="A4776">
        <v>7100908</v>
      </c>
      <c r="B4776" t="s">
        <v>12801</v>
      </c>
      <c r="C4776" t="str">
        <f>"9783428029648"</f>
        <v>9783428029648</v>
      </c>
      <c r="D4776" t="str">
        <f>"9783428429646"</f>
        <v>9783428429646</v>
      </c>
      <c r="E4776" t="s">
        <v>12661</v>
      </c>
      <c r="F4776" t="s">
        <v>12661</v>
      </c>
      <c r="G4776" s="1">
        <v>44802</v>
      </c>
      <c r="H4776" s="1">
        <v>44840</v>
      </c>
      <c r="I4776" t="s">
        <v>189</v>
      </c>
      <c r="J4776">
        <v>1</v>
      </c>
      <c r="K4776" t="s">
        <v>12662</v>
      </c>
      <c r="L4776" t="s">
        <v>12746</v>
      </c>
    </row>
    <row r="4777" spans="1:40" x14ac:dyDescent="0.35">
      <c r="A4777">
        <v>7100909</v>
      </c>
      <c r="B4777" t="s">
        <v>12802</v>
      </c>
      <c r="C4777" t="str">
        <f>"9783428029860"</f>
        <v>9783428029860</v>
      </c>
      <c r="D4777" t="str">
        <f>"9783428429868"</f>
        <v>9783428429868</v>
      </c>
      <c r="E4777" t="s">
        <v>12661</v>
      </c>
      <c r="F4777" t="s">
        <v>12661</v>
      </c>
      <c r="G4777" s="1">
        <v>44802</v>
      </c>
      <c r="H4777" s="1">
        <v>44840</v>
      </c>
      <c r="I4777" t="s">
        <v>189</v>
      </c>
      <c r="J4777">
        <v>1</v>
      </c>
      <c r="K4777" t="s">
        <v>12662</v>
      </c>
      <c r="L4777" t="s">
        <v>12788</v>
      </c>
      <c r="M4777" t="s">
        <v>210</v>
      </c>
    </row>
    <row r="4778" spans="1:40" x14ac:dyDescent="0.35">
      <c r="A4778">
        <v>7100910</v>
      </c>
      <c r="B4778" t="s">
        <v>12803</v>
      </c>
      <c r="C4778" t="str">
        <f>"9783428031184"</f>
        <v>9783428031184</v>
      </c>
      <c r="D4778" t="str">
        <f>"9783428431182"</f>
        <v>9783428431182</v>
      </c>
      <c r="E4778" t="s">
        <v>12661</v>
      </c>
      <c r="F4778" t="s">
        <v>12661</v>
      </c>
      <c r="G4778" s="1">
        <v>44802</v>
      </c>
      <c r="H4778" s="1">
        <v>44840</v>
      </c>
      <c r="I4778" t="s">
        <v>189</v>
      </c>
      <c r="J4778">
        <v>1</v>
      </c>
      <c r="K4778" t="s">
        <v>12662</v>
      </c>
      <c r="L4778" t="s">
        <v>12791</v>
      </c>
      <c r="M4778" t="s">
        <v>210</v>
      </c>
    </row>
    <row r="4779" spans="1:40" x14ac:dyDescent="0.35">
      <c r="A4779">
        <v>7100911</v>
      </c>
      <c r="B4779" t="s">
        <v>12804</v>
      </c>
      <c r="C4779" t="str">
        <f>"9783428030996"</f>
        <v>9783428030996</v>
      </c>
      <c r="D4779" t="str">
        <f>"9783428430994"</f>
        <v>9783428430994</v>
      </c>
      <c r="E4779" t="s">
        <v>12661</v>
      </c>
      <c r="F4779" t="s">
        <v>12661</v>
      </c>
      <c r="G4779" s="1">
        <v>43521</v>
      </c>
      <c r="H4779" s="1">
        <v>44840</v>
      </c>
      <c r="I4779" t="s">
        <v>189</v>
      </c>
      <c r="J4779">
        <v>1</v>
      </c>
      <c r="K4779" t="s">
        <v>12732</v>
      </c>
      <c r="L4779" t="s">
        <v>12733</v>
      </c>
      <c r="M4779" t="s">
        <v>282</v>
      </c>
      <c r="Q4779" t="s">
        <v>408</v>
      </c>
      <c r="R4779" t="s">
        <v>261</v>
      </c>
      <c r="S4779" t="s">
        <v>261</v>
      </c>
      <c r="T4779" t="s">
        <v>261</v>
      </c>
      <c r="U4779" t="s">
        <v>262</v>
      </c>
      <c r="V4779" t="s">
        <v>262</v>
      </c>
      <c r="W4779" t="s">
        <v>261</v>
      </c>
      <c r="X4779" t="s">
        <v>262</v>
      </c>
      <c r="Y4779" t="s">
        <v>261</v>
      </c>
      <c r="AB4779" t="s">
        <v>409</v>
      </c>
      <c r="AC4779" t="s">
        <v>409</v>
      </c>
      <c r="AD4779" t="s">
        <v>261</v>
      </c>
      <c r="AH4779" t="s">
        <v>262</v>
      </c>
      <c r="AI4779" t="s">
        <v>262</v>
      </c>
      <c r="AJ4779" t="s">
        <v>261</v>
      </c>
      <c r="AK4779" t="s">
        <v>261</v>
      </c>
      <c r="AM4779" t="s">
        <v>262</v>
      </c>
      <c r="AN4779" t="s">
        <v>12805</v>
      </c>
    </row>
    <row r="4780" spans="1:40" x14ac:dyDescent="0.35">
      <c r="A4780">
        <v>7100912</v>
      </c>
      <c r="B4780" t="s">
        <v>12806</v>
      </c>
      <c r="C4780" t="str">
        <f>"9783428031672"</f>
        <v>9783428031672</v>
      </c>
      <c r="D4780" t="str">
        <f>"9783428431670"</f>
        <v>9783428431670</v>
      </c>
      <c r="E4780" t="s">
        <v>12661</v>
      </c>
      <c r="F4780" t="s">
        <v>12661</v>
      </c>
      <c r="G4780" s="1">
        <v>44802</v>
      </c>
      <c r="H4780" s="1">
        <v>44840</v>
      </c>
      <c r="I4780" t="s">
        <v>189</v>
      </c>
      <c r="J4780">
        <v>1</v>
      </c>
      <c r="K4780" t="s">
        <v>12662</v>
      </c>
      <c r="L4780" t="s">
        <v>12794</v>
      </c>
      <c r="M4780" t="s">
        <v>249</v>
      </c>
    </row>
    <row r="4781" spans="1:40" x14ac:dyDescent="0.35">
      <c r="A4781">
        <v>7100913</v>
      </c>
      <c r="B4781" t="s">
        <v>12807</v>
      </c>
      <c r="C4781" t="str">
        <f>"9783428032099"</f>
        <v>9783428032099</v>
      </c>
      <c r="D4781" t="str">
        <f>"9783428432097"</f>
        <v>9783428432097</v>
      </c>
      <c r="E4781" t="s">
        <v>12661</v>
      </c>
      <c r="F4781" t="s">
        <v>12661</v>
      </c>
      <c r="G4781" s="1">
        <v>44802</v>
      </c>
      <c r="H4781" s="1">
        <v>44840</v>
      </c>
      <c r="I4781" t="s">
        <v>189</v>
      </c>
      <c r="J4781">
        <v>1</v>
      </c>
      <c r="K4781" t="s">
        <v>12662</v>
      </c>
      <c r="L4781" t="s">
        <v>12808</v>
      </c>
    </row>
    <row r="4782" spans="1:40" x14ac:dyDescent="0.35">
      <c r="A4782">
        <v>7100914</v>
      </c>
      <c r="B4782" t="s">
        <v>12809</v>
      </c>
      <c r="C4782" t="str">
        <f>"9783428032716"</f>
        <v>9783428032716</v>
      </c>
      <c r="D4782" t="str">
        <f>"9783428432714"</f>
        <v>9783428432714</v>
      </c>
      <c r="E4782" t="s">
        <v>12661</v>
      </c>
      <c r="F4782" t="s">
        <v>12661</v>
      </c>
      <c r="G4782" s="1">
        <v>44802</v>
      </c>
      <c r="H4782" s="1">
        <v>44840</v>
      </c>
      <c r="I4782" t="s">
        <v>189</v>
      </c>
      <c r="J4782">
        <v>1</v>
      </c>
      <c r="K4782" t="s">
        <v>12662</v>
      </c>
      <c r="L4782" t="s">
        <v>12810</v>
      </c>
      <c r="M4782" t="s">
        <v>282</v>
      </c>
      <c r="Q4782" t="s">
        <v>408</v>
      </c>
      <c r="R4782" t="s">
        <v>261</v>
      </c>
      <c r="S4782" t="s">
        <v>261</v>
      </c>
      <c r="T4782" t="s">
        <v>261</v>
      </c>
      <c r="U4782" t="s">
        <v>262</v>
      </c>
      <c r="V4782" t="s">
        <v>262</v>
      </c>
      <c r="W4782" t="s">
        <v>261</v>
      </c>
      <c r="X4782" t="s">
        <v>262</v>
      </c>
      <c r="Y4782" t="s">
        <v>261</v>
      </c>
      <c r="AB4782" t="s">
        <v>409</v>
      </c>
      <c r="AC4782" t="s">
        <v>409</v>
      </c>
      <c r="AD4782" t="s">
        <v>261</v>
      </c>
      <c r="AH4782" t="s">
        <v>262</v>
      </c>
      <c r="AI4782" t="s">
        <v>262</v>
      </c>
      <c r="AJ4782" t="s">
        <v>261</v>
      </c>
      <c r="AK4782" t="s">
        <v>261</v>
      </c>
      <c r="AM4782" t="s">
        <v>262</v>
      </c>
      <c r="AN4782" t="s">
        <v>12811</v>
      </c>
    </row>
    <row r="4783" spans="1:40" x14ac:dyDescent="0.35">
      <c r="A4783">
        <v>7100915</v>
      </c>
      <c r="B4783" t="s">
        <v>12812</v>
      </c>
      <c r="C4783" t="str">
        <f>"9783428033010"</f>
        <v>9783428033010</v>
      </c>
      <c r="D4783" t="str">
        <f>"9783428433018"</f>
        <v>9783428433018</v>
      </c>
      <c r="E4783" t="s">
        <v>12661</v>
      </c>
      <c r="F4783" t="s">
        <v>12661</v>
      </c>
      <c r="G4783" s="1">
        <v>44802</v>
      </c>
      <c r="H4783" s="1">
        <v>44840</v>
      </c>
      <c r="I4783" t="s">
        <v>189</v>
      </c>
      <c r="J4783">
        <v>1</v>
      </c>
      <c r="K4783" t="s">
        <v>12662</v>
      </c>
      <c r="L4783" t="s">
        <v>12788</v>
      </c>
      <c r="M4783" t="s">
        <v>282</v>
      </c>
    </row>
    <row r="4784" spans="1:40" x14ac:dyDescent="0.35">
      <c r="A4784">
        <v>7100916</v>
      </c>
      <c r="B4784" t="s">
        <v>12813</v>
      </c>
      <c r="C4784" t="str">
        <f>"9783428033478"</f>
        <v>9783428033478</v>
      </c>
      <c r="D4784" t="str">
        <f>"9783428433476"</f>
        <v>9783428433476</v>
      </c>
      <c r="E4784" t="s">
        <v>12661</v>
      </c>
      <c r="F4784" t="s">
        <v>12661</v>
      </c>
      <c r="G4784" s="1">
        <v>44802</v>
      </c>
      <c r="H4784" s="1">
        <v>44840</v>
      </c>
      <c r="I4784" t="s">
        <v>189</v>
      </c>
      <c r="J4784">
        <v>1</v>
      </c>
      <c r="K4784" t="s">
        <v>12662</v>
      </c>
      <c r="L4784" t="s">
        <v>12814</v>
      </c>
      <c r="M4784" t="s">
        <v>282</v>
      </c>
      <c r="Q4784" t="s">
        <v>408</v>
      </c>
      <c r="R4784" t="s">
        <v>261</v>
      </c>
      <c r="S4784" t="s">
        <v>261</v>
      </c>
      <c r="T4784" t="s">
        <v>261</v>
      </c>
      <c r="U4784" t="s">
        <v>262</v>
      </c>
      <c r="V4784" t="s">
        <v>262</v>
      </c>
      <c r="W4784" t="s">
        <v>261</v>
      </c>
      <c r="X4784" t="s">
        <v>262</v>
      </c>
      <c r="Y4784" t="s">
        <v>261</v>
      </c>
      <c r="AB4784" t="s">
        <v>409</v>
      </c>
      <c r="AC4784" t="s">
        <v>409</v>
      </c>
      <c r="AD4784" t="s">
        <v>261</v>
      </c>
      <c r="AH4784" t="s">
        <v>262</v>
      </c>
      <c r="AI4784" t="s">
        <v>262</v>
      </c>
      <c r="AJ4784" t="s">
        <v>261</v>
      </c>
      <c r="AK4784" t="s">
        <v>261</v>
      </c>
      <c r="AM4784" t="s">
        <v>262</v>
      </c>
      <c r="AN4784" t="s">
        <v>12815</v>
      </c>
    </row>
    <row r="4785" spans="1:40" x14ac:dyDescent="0.35">
      <c r="A4785">
        <v>7100917</v>
      </c>
      <c r="B4785" t="s">
        <v>12816</v>
      </c>
      <c r="C4785" t="str">
        <f>"9783428033782"</f>
        <v>9783428033782</v>
      </c>
      <c r="D4785" t="str">
        <f>"9783428433780"</f>
        <v>9783428433780</v>
      </c>
      <c r="E4785" t="s">
        <v>12661</v>
      </c>
      <c r="F4785" t="s">
        <v>12661</v>
      </c>
      <c r="G4785" s="1">
        <v>44829</v>
      </c>
      <c r="H4785" s="1">
        <v>44840</v>
      </c>
      <c r="I4785" t="s">
        <v>189</v>
      </c>
      <c r="J4785">
        <v>1</v>
      </c>
      <c r="K4785" t="s">
        <v>12662</v>
      </c>
      <c r="L4785" t="s">
        <v>12817</v>
      </c>
      <c r="M4785" t="s">
        <v>282</v>
      </c>
    </row>
    <row r="4786" spans="1:40" x14ac:dyDescent="0.35">
      <c r="A4786">
        <v>7100918</v>
      </c>
      <c r="B4786" t="s">
        <v>12818</v>
      </c>
      <c r="C4786" t="str">
        <f>"9783428034277"</f>
        <v>9783428034277</v>
      </c>
      <c r="D4786" t="str">
        <f>"9783428434275"</f>
        <v>9783428434275</v>
      </c>
      <c r="E4786" t="s">
        <v>12661</v>
      </c>
      <c r="F4786" t="s">
        <v>12661</v>
      </c>
      <c r="G4786" s="1">
        <v>44802</v>
      </c>
      <c r="H4786" s="1">
        <v>44840</v>
      </c>
      <c r="I4786" t="s">
        <v>189</v>
      </c>
      <c r="J4786">
        <v>1</v>
      </c>
      <c r="K4786" t="s">
        <v>12662</v>
      </c>
      <c r="L4786" t="s">
        <v>12819</v>
      </c>
      <c r="M4786" t="s">
        <v>282</v>
      </c>
      <c r="Q4786" t="s">
        <v>408</v>
      </c>
      <c r="R4786" t="s">
        <v>261</v>
      </c>
      <c r="S4786" t="s">
        <v>261</v>
      </c>
      <c r="T4786" t="s">
        <v>261</v>
      </c>
      <c r="U4786" t="s">
        <v>262</v>
      </c>
      <c r="V4786" t="s">
        <v>262</v>
      </c>
      <c r="W4786" t="s">
        <v>261</v>
      </c>
      <c r="X4786" t="s">
        <v>262</v>
      </c>
      <c r="Y4786" t="s">
        <v>261</v>
      </c>
      <c r="AB4786" t="s">
        <v>409</v>
      </c>
      <c r="AC4786" t="s">
        <v>409</v>
      </c>
      <c r="AD4786" t="s">
        <v>261</v>
      </c>
      <c r="AH4786" t="s">
        <v>262</v>
      </c>
      <c r="AI4786" t="s">
        <v>262</v>
      </c>
      <c r="AJ4786" t="s">
        <v>261</v>
      </c>
      <c r="AK4786" t="s">
        <v>261</v>
      </c>
      <c r="AM4786" t="s">
        <v>262</v>
      </c>
      <c r="AN4786" t="s">
        <v>12820</v>
      </c>
    </row>
    <row r="4787" spans="1:40" x14ac:dyDescent="0.35">
      <c r="A4787">
        <v>7100919</v>
      </c>
      <c r="B4787" t="s">
        <v>12821</v>
      </c>
      <c r="C4787" t="str">
        <f>"9783428034635"</f>
        <v>9783428034635</v>
      </c>
      <c r="D4787" t="str">
        <f>"9783428434633"</f>
        <v>9783428434633</v>
      </c>
      <c r="E4787" t="s">
        <v>12661</v>
      </c>
      <c r="F4787" t="s">
        <v>12661</v>
      </c>
      <c r="G4787" s="1">
        <v>44800</v>
      </c>
      <c r="H4787" s="1">
        <v>44840</v>
      </c>
      <c r="I4787" t="s">
        <v>189</v>
      </c>
      <c r="J4787">
        <v>1</v>
      </c>
      <c r="K4787" t="s">
        <v>12662</v>
      </c>
      <c r="L4787" t="s">
        <v>12822</v>
      </c>
      <c r="M4787" t="s">
        <v>282</v>
      </c>
    </row>
    <row r="4788" spans="1:40" x14ac:dyDescent="0.35">
      <c r="A4788">
        <v>7100920</v>
      </c>
      <c r="B4788" t="s">
        <v>12823</v>
      </c>
      <c r="C4788" t="str">
        <f>"9783428034406"</f>
        <v>9783428034406</v>
      </c>
      <c r="D4788" t="str">
        <f>"9783428434404"</f>
        <v>9783428434404</v>
      </c>
      <c r="E4788" t="s">
        <v>12661</v>
      </c>
      <c r="F4788" t="s">
        <v>12661</v>
      </c>
      <c r="G4788" s="1">
        <v>43521</v>
      </c>
      <c r="H4788" s="1">
        <v>44840</v>
      </c>
      <c r="I4788" t="s">
        <v>189</v>
      </c>
      <c r="J4788">
        <v>1</v>
      </c>
      <c r="K4788" t="s">
        <v>12732</v>
      </c>
      <c r="L4788" t="s">
        <v>12766</v>
      </c>
      <c r="M4788" t="s">
        <v>282</v>
      </c>
      <c r="Q4788" t="s">
        <v>408</v>
      </c>
      <c r="R4788" t="s">
        <v>261</v>
      </c>
      <c r="S4788" t="s">
        <v>261</v>
      </c>
      <c r="T4788" t="s">
        <v>261</v>
      </c>
      <c r="U4788" t="s">
        <v>262</v>
      </c>
      <c r="V4788" t="s">
        <v>262</v>
      </c>
      <c r="W4788" t="s">
        <v>261</v>
      </c>
      <c r="X4788" t="s">
        <v>262</v>
      </c>
      <c r="Y4788" t="s">
        <v>261</v>
      </c>
      <c r="AB4788" t="s">
        <v>409</v>
      </c>
      <c r="AC4788" t="s">
        <v>409</v>
      </c>
      <c r="AD4788" t="s">
        <v>261</v>
      </c>
      <c r="AH4788" t="s">
        <v>262</v>
      </c>
      <c r="AI4788" t="s">
        <v>262</v>
      </c>
      <c r="AJ4788" t="s">
        <v>261</v>
      </c>
      <c r="AK4788" t="s">
        <v>261</v>
      </c>
      <c r="AM4788" t="s">
        <v>262</v>
      </c>
      <c r="AN4788" t="s">
        <v>12824</v>
      </c>
    </row>
    <row r="4789" spans="1:40" x14ac:dyDescent="0.35">
      <c r="A4789">
        <v>7100921</v>
      </c>
      <c r="B4789" t="s">
        <v>12825</v>
      </c>
      <c r="C4789" t="str">
        <f>"9783428034642"</f>
        <v>9783428034642</v>
      </c>
      <c r="D4789" t="str">
        <f>"9783428434640"</f>
        <v>9783428434640</v>
      </c>
      <c r="E4789" t="s">
        <v>12661</v>
      </c>
      <c r="F4789" t="s">
        <v>12661</v>
      </c>
      <c r="G4789" s="1">
        <v>44800</v>
      </c>
      <c r="H4789" s="1">
        <v>44840</v>
      </c>
      <c r="I4789" t="s">
        <v>189</v>
      </c>
      <c r="J4789">
        <v>1</v>
      </c>
      <c r="K4789" t="s">
        <v>12662</v>
      </c>
      <c r="L4789" t="s">
        <v>12822</v>
      </c>
      <c r="M4789" t="s">
        <v>210</v>
      </c>
      <c r="Q4789" t="s">
        <v>408</v>
      </c>
      <c r="R4789" t="s">
        <v>261</v>
      </c>
      <c r="S4789" t="s">
        <v>261</v>
      </c>
      <c r="T4789" t="s">
        <v>261</v>
      </c>
      <c r="U4789" t="s">
        <v>262</v>
      </c>
      <c r="V4789" t="s">
        <v>262</v>
      </c>
      <c r="W4789" t="s">
        <v>261</v>
      </c>
      <c r="X4789" t="s">
        <v>262</v>
      </c>
      <c r="Y4789" t="s">
        <v>261</v>
      </c>
      <c r="AB4789" t="s">
        <v>409</v>
      </c>
      <c r="AC4789" t="s">
        <v>409</v>
      </c>
      <c r="AD4789" t="s">
        <v>261</v>
      </c>
      <c r="AH4789" t="s">
        <v>262</v>
      </c>
      <c r="AI4789" t="s">
        <v>262</v>
      </c>
      <c r="AJ4789" t="s">
        <v>261</v>
      </c>
      <c r="AK4789" t="s">
        <v>261</v>
      </c>
      <c r="AM4789" t="s">
        <v>262</v>
      </c>
      <c r="AN4789" t="s">
        <v>12826</v>
      </c>
    </row>
    <row r="4790" spans="1:40" x14ac:dyDescent="0.35">
      <c r="A4790">
        <v>7100922</v>
      </c>
      <c r="B4790" t="s">
        <v>12827</v>
      </c>
      <c r="C4790" t="str">
        <f>"9783428034697"</f>
        <v>9783428034697</v>
      </c>
      <c r="D4790" t="str">
        <f>"9783428434695"</f>
        <v>9783428434695</v>
      </c>
      <c r="E4790" t="s">
        <v>12661</v>
      </c>
      <c r="F4790" t="s">
        <v>12661</v>
      </c>
      <c r="G4790" s="1">
        <v>44800</v>
      </c>
      <c r="H4790" s="1">
        <v>44840</v>
      </c>
      <c r="I4790" t="s">
        <v>189</v>
      </c>
      <c r="J4790">
        <v>1</v>
      </c>
      <c r="K4790" t="s">
        <v>12662</v>
      </c>
      <c r="L4790" t="s">
        <v>12791</v>
      </c>
      <c r="M4790" t="s">
        <v>249</v>
      </c>
      <c r="Q4790" t="s">
        <v>408</v>
      </c>
      <c r="R4790" t="s">
        <v>261</v>
      </c>
      <c r="S4790" t="s">
        <v>261</v>
      </c>
      <c r="T4790" t="s">
        <v>261</v>
      </c>
      <c r="U4790" t="s">
        <v>262</v>
      </c>
      <c r="V4790" t="s">
        <v>262</v>
      </c>
      <c r="W4790" t="s">
        <v>261</v>
      </c>
      <c r="X4790" t="s">
        <v>262</v>
      </c>
      <c r="Y4790" t="s">
        <v>261</v>
      </c>
      <c r="AB4790" t="s">
        <v>409</v>
      </c>
      <c r="AC4790" t="s">
        <v>409</v>
      </c>
      <c r="AD4790" t="s">
        <v>261</v>
      </c>
      <c r="AH4790" t="s">
        <v>262</v>
      </c>
      <c r="AI4790" t="s">
        <v>262</v>
      </c>
      <c r="AJ4790" t="s">
        <v>261</v>
      </c>
      <c r="AK4790" t="s">
        <v>261</v>
      </c>
      <c r="AM4790" t="s">
        <v>262</v>
      </c>
      <c r="AN4790" t="s">
        <v>12828</v>
      </c>
    </row>
    <row r="4791" spans="1:40" x14ac:dyDescent="0.35">
      <c r="A4791">
        <v>7100923</v>
      </c>
      <c r="B4791" t="s">
        <v>12829</v>
      </c>
      <c r="C4791" t="str">
        <f>"9783428035380"</f>
        <v>9783428035380</v>
      </c>
      <c r="D4791" t="str">
        <f>"9783428435388"</f>
        <v>9783428435388</v>
      </c>
      <c r="E4791" t="s">
        <v>12661</v>
      </c>
      <c r="F4791" t="s">
        <v>12661</v>
      </c>
      <c r="G4791" s="1">
        <v>44800</v>
      </c>
      <c r="H4791" s="1">
        <v>44840</v>
      </c>
      <c r="I4791" t="s">
        <v>189</v>
      </c>
      <c r="J4791">
        <v>1</v>
      </c>
      <c r="K4791" t="s">
        <v>12662</v>
      </c>
      <c r="L4791" t="s">
        <v>12810</v>
      </c>
      <c r="M4791" t="s">
        <v>282</v>
      </c>
      <c r="Q4791" t="s">
        <v>408</v>
      </c>
      <c r="R4791" t="s">
        <v>261</v>
      </c>
      <c r="S4791" t="s">
        <v>261</v>
      </c>
      <c r="T4791" t="s">
        <v>261</v>
      </c>
      <c r="U4791" t="s">
        <v>262</v>
      </c>
      <c r="V4791" t="s">
        <v>262</v>
      </c>
      <c r="W4791" t="s">
        <v>261</v>
      </c>
      <c r="X4791" t="s">
        <v>262</v>
      </c>
      <c r="Y4791" t="s">
        <v>261</v>
      </c>
      <c r="AB4791" t="s">
        <v>409</v>
      </c>
      <c r="AC4791" t="s">
        <v>409</v>
      </c>
      <c r="AD4791" t="s">
        <v>261</v>
      </c>
      <c r="AH4791" t="s">
        <v>262</v>
      </c>
      <c r="AI4791" t="s">
        <v>262</v>
      </c>
      <c r="AJ4791" t="s">
        <v>261</v>
      </c>
      <c r="AK4791" t="s">
        <v>261</v>
      </c>
      <c r="AM4791" t="s">
        <v>262</v>
      </c>
      <c r="AN4791" t="s">
        <v>12830</v>
      </c>
    </row>
    <row r="4792" spans="1:40" x14ac:dyDescent="0.35">
      <c r="A4792">
        <v>7100924</v>
      </c>
      <c r="B4792" t="s">
        <v>12831</v>
      </c>
      <c r="C4792" t="str">
        <f>"9783428035588"</f>
        <v>9783428035588</v>
      </c>
      <c r="D4792" t="str">
        <f>"9783428435586"</f>
        <v>9783428435586</v>
      </c>
      <c r="E4792" t="s">
        <v>12661</v>
      </c>
      <c r="F4792" t="s">
        <v>12661</v>
      </c>
      <c r="G4792" s="1">
        <v>44800</v>
      </c>
      <c r="H4792" s="1">
        <v>44840</v>
      </c>
      <c r="I4792" t="s">
        <v>189</v>
      </c>
      <c r="J4792">
        <v>1</v>
      </c>
      <c r="K4792" t="s">
        <v>12662</v>
      </c>
      <c r="L4792" t="s">
        <v>12735</v>
      </c>
    </row>
    <row r="4793" spans="1:40" x14ac:dyDescent="0.35">
      <c r="A4793">
        <v>7100925</v>
      </c>
      <c r="B4793" t="s">
        <v>12832</v>
      </c>
      <c r="C4793" t="str">
        <f>"9783428035748"</f>
        <v>9783428035748</v>
      </c>
      <c r="D4793" t="str">
        <f>"9783428435746"</f>
        <v>9783428435746</v>
      </c>
      <c r="E4793" t="s">
        <v>12661</v>
      </c>
      <c r="F4793" t="s">
        <v>12661</v>
      </c>
      <c r="G4793" s="1">
        <v>43521</v>
      </c>
      <c r="H4793" s="1">
        <v>44840</v>
      </c>
      <c r="I4793" t="s">
        <v>189</v>
      </c>
      <c r="J4793">
        <v>1</v>
      </c>
      <c r="K4793" t="s">
        <v>12732</v>
      </c>
      <c r="L4793" t="s">
        <v>12733</v>
      </c>
      <c r="M4793" t="s">
        <v>3871</v>
      </c>
    </row>
    <row r="4794" spans="1:40" x14ac:dyDescent="0.35">
      <c r="A4794">
        <v>7100926</v>
      </c>
      <c r="B4794" t="s">
        <v>12833</v>
      </c>
      <c r="C4794" t="str">
        <f>"9783428035809"</f>
        <v>9783428035809</v>
      </c>
      <c r="D4794" t="str">
        <f>"9783428435807"</f>
        <v>9783428435807</v>
      </c>
      <c r="E4794" t="s">
        <v>12661</v>
      </c>
      <c r="F4794" t="s">
        <v>12661</v>
      </c>
      <c r="G4794" s="1">
        <v>43521</v>
      </c>
      <c r="H4794" s="1">
        <v>44840</v>
      </c>
      <c r="I4794" t="s">
        <v>189</v>
      </c>
      <c r="J4794">
        <v>1</v>
      </c>
      <c r="K4794" t="s">
        <v>12732</v>
      </c>
      <c r="L4794" t="s">
        <v>12834</v>
      </c>
    </row>
    <row r="4795" spans="1:40" x14ac:dyDescent="0.35">
      <c r="A4795">
        <v>7100927</v>
      </c>
      <c r="B4795" t="s">
        <v>12835</v>
      </c>
      <c r="C4795" t="str">
        <f>"9783428036189"</f>
        <v>9783428036189</v>
      </c>
      <c r="D4795" t="str">
        <f>"9783428436187"</f>
        <v>9783428436187</v>
      </c>
      <c r="E4795" t="s">
        <v>12661</v>
      </c>
      <c r="F4795" t="s">
        <v>12661</v>
      </c>
      <c r="G4795" s="1">
        <v>44800</v>
      </c>
      <c r="H4795" s="1">
        <v>44840</v>
      </c>
      <c r="I4795" t="s">
        <v>189</v>
      </c>
      <c r="J4795">
        <v>1</v>
      </c>
      <c r="K4795" t="s">
        <v>12662</v>
      </c>
      <c r="L4795" t="s">
        <v>12817</v>
      </c>
      <c r="M4795" t="s">
        <v>210</v>
      </c>
    </row>
    <row r="4796" spans="1:40" x14ac:dyDescent="0.35">
      <c r="A4796">
        <v>7100928</v>
      </c>
      <c r="B4796" t="s">
        <v>12836</v>
      </c>
      <c r="C4796" t="str">
        <f>"9783428036356"</f>
        <v>9783428036356</v>
      </c>
      <c r="D4796" t="str">
        <f>"9783428436354"</f>
        <v>9783428436354</v>
      </c>
      <c r="E4796" t="s">
        <v>12661</v>
      </c>
      <c r="F4796" t="s">
        <v>12661</v>
      </c>
      <c r="G4796" s="1">
        <v>44800</v>
      </c>
      <c r="H4796" s="1">
        <v>44840</v>
      </c>
      <c r="I4796" t="s">
        <v>189</v>
      </c>
      <c r="J4796">
        <v>1</v>
      </c>
      <c r="K4796" t="s">
        <v>12662</v>
      </c>
      <c r="L4796" t="s">
        <v>12837</v>
      </c>
    </row>
    <row r="4797" spans="1:40" x14ac:dyDescent="0.35">
      <c r="A4797">
        <v>7100929</v>
      </c>
      <c r="B4797" t="s">
        <v>12838</v>
      </c>
      <c r="C4797" t="str">
        <f>"9783428036684"</f>
        <v>9783428036684</v>
      </c>
      <c r="D4797" t="str">
        <f>"9783428436682"</f>
        <v>9783428436682</v>
      </c>
      <c r="E4797" t="s">
        <v>12661</v>
      </c>
      <c r="F4797" t="s">
        <v>12661</v>
      </c>
      <c r="G4797" s="1">
        <v>44800</v>
      </c>
      <c r="H4797" s="1">
        <v>44840</v>
      </c>
      <c r="I4797" t="s">
        <v>189</v>
      </c>
      <c r="J4797">
        <v>1</v>
      </c>
      <c r="K4797" t="s">
        <v>12662</v>
      </c>
      <c r="L4797" t="s">
        <v>12839</v>
      </c>
      <c r="M4797" t="s">
        <v>282</v>
      </c>
      <c r="Q4797" t="s">
        <v>408</v>
      </c>
      <c r="R4797" t="s">
        <v>261</v>
      </c>
      <c r="S4797" t="s">
        <v>261</v>
      </c>
      <c r="T4797" t="s">
        <v>261</v>
      </c>
      <c r="U4797" t="s">
        <v>262</v>
      </c>
      <c r="V4797" t="s">
        <v>262</v>
      </c>
      <c r="W4797" t="s">
        <v>261</v>
      </c>
      <c r="X4797" t="s">
        <v>262</v>
      </c>
      <c r="Y4797" t="s">
        <v>261</v>
      </c>
      <c r="AB4797" t="s">
        <v>409</v>
      </c>
      <c r="AC4797" t="s">
        <v>409</v>
      </c>
      <c r="AD4797" t="s">
        <v>261</v>
      </c>
      <c r="AH4797" t="s">
        <v>262</v>
      </c>
      <c r="AI4797" t="s">
        <v>262</v>
      </c>
      <c r="AJ4797" t="s">
        <v>261</v>
      </c>
      <c r="AK4797" t="s">
        <v>261</v>
      </c>
      <c r="AM4797" t="s">
        <v>262</v>
      </c>
      <c r="AN4797" t="s">
        <v>12840</v>
      </c>
    </row>
    <row r="4798" spans="1:40" x14ac:dyDescent="0.35">
      <c r="A4798">
        <v>7100930</v>
      </c>
      <c r="B4798" t="s">
        <v>12841</v>
      </c>
      <c r="C4798" t="str">
        <f>"9783428037216"</f>
        <v>9783428037216</v>
      </c>
      <c r="D4798" t="str">
        <f>"9783428437214"</f>
        <v>9783428437214</v>
      </c>
      <c r="E4798" t="s">
        <v>12661</v>
      </c>
      <c r="F4798" t="s">
        <v>12661</v>
      </c>
      <c r="G4798" s="1">
        <v>44829</v>
      </c>
      <c r="H4798" s="1">
        <v>44840</v>
      </c>
      <c r="I4798" t="s">
        <v>189</v>
      </c>
      <c r="J4798">
        <v>1</v>
      </c>
      <c r="K4798" t="s">
        <v>12662</v>
      </c>
      <c r="L4798" t="s">
        <v>12842</v>
      </c>
      <c r="M4798" t="s">
        <v>249</v>
      </c>
      <c r="Q4798" t="s">
        <v>408</v>
      </c>
      <c r="R4798" t="s">
        <v>261</v>
      </c>
      <c r="S4798" t="s">
        <v>261</v>
      </c>
      <c r="T4798" t="s">
        <v>261</v>
      </c>
      <c r="U4798" t="s">
        <v>262</v>
      </c>
      <c r="V4798" t="s">
        <v>262</v>
      </c>
      <c r="W4798" t="s">
        <v>261</v>
      </c>
      <c r="X4798" t="s">
        <v>262</v>
      </c>
      <c r="Y4798" t="s">
        <v>261</v>
      </c>
      <c r="AB4798" t="s">
        <v>409</v>
      </c>
      <c r="AC4798" t="s">
        <v>409</v>
      </c>
      <c r="AD4798" t="s">
        <v>261</v>
      </c>
      <c r="AH4798" t="s">
        <v>262</v>
      </c>
      <c r="AI4798" t="s">
        <v>262</v>
      </c>
      <c r="AJ4798" t="s">
        <v>261</v>
      </c>
      <c r="AK4798" t="s">
        <v>261</v>
      </c>
      <c r="AM4798" t="s">
        <v>262</v>
      </c>
      <c r="AN4798" t="s">
        <v>12843</v>
      </c>
    </row>
    <row r="4799" spans="1:40" x14ac:dyDescent="0.35">
      <c r="A4799">
        <v>7100931</v>
      </c>
      <c r="B4799" t="s">
        <v>12844</v>
      </c>
      <c r="C4799" t="str">
        <f>"9783428037933"</f>
        <v>9783428037933</v>
      </c>
      <c r="D4799" t="str">
        <f>"9783428437931"</f>
        <v>9783428437931</v>
      </c>
      <c r="E4799" t="s">
        <v>12661</v>
      </c>
      <c r="F4799" t="s">
        <v>12661</v>
      </c>
      <c r="G4799" s="1">
        <v>43521</v>
      </c>
      <c r="H4799" s="1">
        <v>44840</v>
      </c>
      <c r="I4799" t="s">
        <v>189</v>
      </c>
      <c r="J4799">
        <v>1</v>
      </c>
      <c r="K4799" t="s">
        <v>12732</v>
      </c>
      <c r="L4799" t="s">
        <v>12845</v>
      </c>
      <c r="M4799" t="s">
        <v>282</v>
      </c>
      <c r="Q4799" t="s">
        <v>408</v>
      </c>
      <c r="R4799" t="s">
        <v>261</v>
      </c>
      <c r="S4799" t="s">
        <v>261</v>
      </c>
      <c r="T4799" t="s">
        <v>261</v>
      </c>
      <c r="U4799" t="s">
        <v>262</v>
      </c>
      <c r="V4799" t="s">
        <v>262</v>
      </c>
      <c r="W4799" t="s">
        <v>261</v>
      </c>
      <c r="X4799" t="s">
        <v>262</v>
      </c>
      <c r="Y4799" t="s">
        <v>261</v>
      </c>
      <c r="AB4799" t="s">
        <v>409</v>
      </c>
      <c r="AC4799" t="s">
        <v>409</v>
      </c>
      <c r="AD4799" t="s">
        <v>261</v>
      </c>
      <c r="AH4799" t="s">
        <v>262</v>
      </c>
      <c r="AI4799" t="s">
        <v>262</v>
      </c>
      <c r="AJ4799" t="s">
        <v>261</v>
      </c>
      <c r="AK4799" t="s">
        <v>261</v>
      </c>
      <c r="AM4799" t="s">
        <v>262</v>
      </c>
      <c r="AN4799" t="s">
        <v>12846</v>
      </c>
    </row>
    <row r="4800" spans="1:40" x14ac:dyDescent="0.35">
      <c r="A4800">
        <v>7100932</v>
      </c>
      <c r="B4800" t="s">
        <v>12847</v>
      </c>
      <c r="C4800" t="str">
        <f>"9783428037988"</f>
        <v>9783428037988</v>
      </c>
      <c r="D4800" t="str">
        <f>"9783428437986"</f>
        <v>9783428437986</v>
      </c>
      <c r="E4800" t="s">
        <v>12661</v>
      </c>
      <c r="F4800" t="s">
        <v>12661</v>
      </c>
      <c r="G4800" s="1">
        <v>44800</v>
      </c>
      <c r="H4800" s="1">
        <v>44840</v>
      </c>
      <c r="I4800" t="s">
        <v>189</v>
      </c>
      <c r="J4800">
        <v>1</v>
      </c>
      <c r="K4800" t="s">
        <v>12662</v>
      </c>
      <c r="L4800" t="s">
        <v>12848</v>
      </c>
      <c r="M4800" t="s">
        <v>210</v>
      </c>
      <c r="Q4800" t="s">
        <v>408</v>
      </c>
      <c r="R4800" t="s">
        <v>261</v>
      </c>
      <c r="S4800" t="s">
        <v>261</v>
      </c>
      <c r="T4800" t="s">
        <v>261</v>
      </c>
      <c r="U4800" t="s">
        <v>262</v>
      </c>
      <c r="V4800" t="s">
        <v>262</v>
      </c>
      <c r="W4800" t="s">
        <v>261</v>
      </c>
      <c r="X4800" t="s">
        <v>262</v>
      </c>
      <c r="Y4800" t="s">
        <v>261</v>
      </c>
      <c r="AB4800" t="s">
        <v>409</v>
      </c>
      <c r="AC4800" t="s">
        <v>409</v>
      </c>
      <c r="AD4800" t="s">
        <v>261</v>
      </c>
      <c r="AH4800" t="s">
        <v>262</v>
      </c>
      <c r="AI4800" t="s">
        <v>262</v>
      </c>
      <c r="AJ4800" t="s">
        <v>261</v>
      </c>
      <c r="AK4800" t="s">
        <v>261</v>
      </c>
      <c r="AM4800" t="s">
        <v>262</v>
      </c>
      <c r="AN4800" t="s">
        <v>12849</v>
      </c>
    </row>
    <row r="4801" spans="1:40" x14ac:dyDescent="0.35">
      <c r="A4801">
        <v>7100933</v>
      </c>
      <c r="B4801" t="s">
        <v>12850</v>
      </c>
      <c r="C4801" t="str">
        <f>"9783428038916"</f>
        <v>9783428038916</v>
      </c>
      <c r="D4801" t="str">
        <f>"9783428438914"</f>
        <v>9783428438914</v>
      </c>
      <c r="E4801" t="s">
        <v>12661</v>
      </c>
      <c r="F4801" t="s">
        <v>12661</v>
      </c>
      <c r="G4801" s="1">
        <v>44800</v>
      </c>
      <c r="H4801" s="1">
        <v>44840</v>
      </c>
      <c r="I4801" t="s">
        <v>189</v>
      </c>
      <c r="J4801">
        <v>1</v>
      </c>
      <c r="K4801" t="s">
        <v>12662</v>
      </c>
      <c r="L4801" t="s">
        <v>12851</v>
      </c>
    </row>
    <row r="4802" spans="1:40" x14ac:dyDescent="0.35">
      <c r="A4802">
        <v>7100934</v>
      </c>
      <c r="B4802" t="s">
        <v>12852</v>
      </c>
      <c r="C4802" t="str">
        <f>"9783428038985"</f>
        <v>9783428038985</v>
      </c>
      <c r="D4802" t="str">
        <f>"9783428438983"</f>
        <v>9783428438983</v>
      </c>
      <c r="E4802" t="s">
        <v>12661</v>
      </c>
      <c r="F4802" t="s">
        <v>12661</v>
      </c>
      <c r="G4802" s="1">
        <v>43521</v>
      </c>
      <c r="H4802" s="1">
        <v>44840</v>
      </c>
      <c r="I4802" t="s">
        <v>189</v>
      </c>
      <c r="J4802">
        <v>1</v>
      </c>
      <c r="K4802" t="s">
        <v>12732</v>
      </c>
      <c r="L4802" t="s">
        <v>12733</v>
      </c>
    </row>
    <row r="4803" spans="1:40" x14ac:dyDescent="0.35">
      <c r="A4803">
        <v>7100935</v>
      </c>
      <c r="B4803" t="s">
        <v>12853</v>
      </c>
      <c r="C4803" t="str">
        <f>"9783428039142"</f>
        <v>9783428039142</v>
      </c>
      <c r="D4803" t="str">
        <f>"9783428439140"</f>
        <v>9783428439140</v>
      </c>
      <c r="E4803" t="s">
        <v>12661</v>
      </c>
      <c r="F4803" t="s">
        <v>12661</v>
      </c>
      <c r="G4803" s="1">
        <v>44794</v>
      </c>
      <c r="H4803" s="1">
        <v>44840</v>
      </c>
      <c r="I4803" t="s">
        <v>189</v>
      </c>
      <c r="J4803">
        <v>1</v>
      </c>
      <c r="K4803" t="s">
        <v>12662</v>
      </c>
      <c r="L4803" t="s">
        <v>12817</v>
      </c>
      <c r="M4803" t="s">
        <v>210</v>
      </c>
    </row>
    <row r="4804" spans="1:40" x14ac:dyDescent="0.35">
      <c r="A4804">
        <v>7100936</v>
      </c>
      <c r="B4804" t="s">
        <v>12854</v>
      </c>
      <c r="C4804" t="str">
        <f>"9783428040483"</f>
        <v>9783428040483</v>
      </c>
      <c r="D4804" t="str">
        <f>"9783428440481"</f>
        <v>9783428440481</v>
      </c>
      <c r="E4804" t="s">
        <v>12661</v>
      </c>
      <c r="F4804" t="s">
        <v>12661</v>
      </c>
      <c r="G4804" s="1">
        <v>43521</v>
      </c>
      <c r="H4804" s="1">
        <v>44840</v>
      </c>
      <c r="I4804" t="s">
        <v>189</v>
      </c>
      <c r="J4804">
        <v>1</v>
      </c>
      <c r="K4804" t="s">
        <v>12732</v>
      </c>
      <c r="L4804" t="s">
        <v>12784</v>
      </c>
      <c r="M4804" t="s">
        <v>282</v>
      </c>
      <c r="Q4804" t="s">
        <v>408</v>
      </c>
      <c r="R4804" t="s">
        <v>261</v>
      </c>
      <c r="S4804" t="s">
        <v>261</v>
      </c>
      <c r="T4804" t="s">
        <v>261</v>
      </c>
      <c r="U4804" t="s">
        <v>262</v>
      </c>
      <c r="V4804" t="s">
        <v>262</v>
      </c>
      <c r="W4804" t="s">
        <v>261</v>
      </c>
      <c r="X4804" t="s">
        <v>262</v>
      </c>
      <c r="Y4804" t="s">
        <v>261</v>
      </c>
      <c r="AB4804" t="s">
        <v>409</v>
      </c>
      <c r="AC4804" t="s">
        <v>409</v>
      </c>
      <c r="AD4804" t="s">
        <v>261</v>
      </c>
      <c r="AH4804" t="s">
        <v>262</v>
      </c>
      <c r="AI4804" t="s">
        <v>262</v>
      </c>
      <c r="AJ4804" t="s">
        <v>261</v>
      </c>
      <c r="AK4804" t="s">
        <v>261</v>
      </c>
      <c r="AM4804" t="s">
        <v>262</v>
      </c>
      <c r="AN4804" t="s">
        <v>12855</v>
      </c>
    </row>
    <row r="4805" spans="1:40" x14ac:dyDescent="0.35">
      <c r="A4805">
        <v>7100937</v>
      </c>
      <c r="B4805" t="s">
        <v>12856</v>
      </c>
      <c r="C4805" t="str">
        <f>"9783428040544"</f>
        <v>9783428040544</v>
      </c>
      <c r="D4805" t="str">
        <f>"9783428440542"</f>
        <v>9783428440542</v>
      </c>
      <c r="E4805" t="s">
        <v>12661</v>
      </c>
      <c r="F4805" t="s">
        <v>12661</v>
      </c>
      <c r="G4805" s="1">
        <v>44794</v>
      </c>
      <c r="H4805" s="1">
        <v>44840</v>
      </c>
      <c r="I4805" t="s">
        <v>189</v>
      </c>
      <c r="J4805">
        <v>1</v>
      </c>
      <c r="K4805" t="s">
        <v>12662</v>
      </c>
      <c r="L4805" t="s">
        <v>12842</v>
      </c>
      <c r="M4805" t="s">
        <v>249</v>
      </c>
    </row>
    <row r="4806" spans="1:40" x14ac:dyDescent="0.35">
      <c r="A4806">
        <v>7100940</v>
      </c>
      <c r="B4806" t="s">
        <v>12857</v>
      </c>
      <c r="C4806" t="str">
        <f>"9783428041022"</f>
        <v>9783428041022</v>
      </c>
      <c r="D4806" t="str">
        <f>"9783428441020"</f>
        <v>9783428441020</v>
      </c>
      <c r="E4806" t="s">
        <v>12661</v>
      </c>
      <c r="F4806" t="s">
        <v>12661</v>
      </c>
      <c r="G4806" s="1">
        <v>44794</v>
      </c>
      <c r="H4806" s="1">
        <v>44840</v>
      </c>
      <c r="I4806" t="s">
        <v>189</v>
      </c>
      <c r="J4806">
        <v>1</v>
      </c>
      <c r="K4806" t="s">
        <v>12662</v>
      </c>
      <c r="L4806" t="s">
        <v>12674</v>
      </c>
      <c r="M4806" t="s">
        <v>282</v>
      </c>
    </row>
    <row r="4807" spans="1:40" x14ac:dyDescent="0.35">
      <c r="A4807">
        <v>7100944</v>
      </c>
      <c r="B4807" t="s">
        <v>12858</v>
      </c>
      <c r="C4807" t="str">
        <f>"9783428041169"</f>
        <v>9783428041169</v>
      </c>
      <c r="D4807" t="str">
        <f>"9783428441167"</f>
        <v>9783428441167</v>
      </c>
      <c r="E4807" t="s">
        <v>12661</v>
      </c>
      <c r="F4807" t="s">
        <v>12661</v>
      </c>
      <c r="G4807" s="1">
        <v>44794</v>
      </c>
      <c r="H4807" s="1">
        <v>44840</v>
      </c>
      <c r="I4807" t="s">
        <v>189</v>
      </c>
      <c r="J4807">
        <v>1</v>
      </c>
      <c r="K4807" t="s">
        <v>12662</v>
      </c>
      <c r="L4807" t="s">
        <v>12674</v>
      </c>
      <c r="M4807" t="s">
        <v>329</v>
      </c>
    </row>
    <row r="4808" spans="1:40" x14ac:dyDescent="0.35">
      <c r="A4808">
        <v>7100949</v>
      </c>
      <c r="B4808" t="s">
        <v>12859</v>
      </c>
      <c r="C4808" t="str">
        <f>"9783428041336"</f>
        <v>9783428041336</v>
      </c>
      <c r="D4808" t="str">
        <f>"9783428441334"</f>
        <v>9783428441334</v>
      </c>
      <c r="E4808" t="s">
        <v>12661</v>
      </c>
      <c r="F4808" t="s">
        <v>12661</v>
      </c>
      <c r="G4808" s="1">
        <v>44794</v>
      </c>
      <c r="H4808" s="1">
        <v>44840</v>
      </c>
      <c r="I4808" t="s">
        <v>189</v>
      </c>
      <c r="J4808">
        <v>1</v>
      </c>
      <c r="K4808" t="s">
        <v>12662</v>
      </c>
      <c r="L4808" t="s">
        <v>12860</v>
      </c>
      <c r="M4808" t="s">
        <v>389</v>
      </c>
    </row>
    <row r="4809" spans="1:40" x14ac:dyDescent="0.35">
      <c r="A4809">
        <v>7100954</v>
      </c>
      <c r="B4809" t="s">
        <v>12861</v>
      </c>
      <c r="C4809" t="str">
        <f>"9783428041473"</f>
        <v>9783428041473</v>
      </c>
      <c r="D4809" t="str">
        <f>"9783428441471"</f>
        <v>9783428441471</v>
      </c>
      <c r="E4809" t="s">
        <v>12661</v>
      </c>
      <c r="F4809" t="s">
        <v>12661</v>
      </c>
      <c r="G4809" s="1">
        <v>44794</v>
      </c>
      <c r="H4809" s="1">
        <v>44840</v>
      </c>
      <c r="I4809" t="s">
        <v>189</v>
      </c>
      <c r="J4809">
        <v>1</v>
      </c>
      <c r="K4809" t="s">
        <v>12662</v>
      </c>
      <c r="L4809" t="s">
        <v>12703</v>
      </c>
      <c r="M4809" t="s">
        <v>210</v>
      </c>
    </row>
    <row r="4810" spans="1:40" x14ac:dyDescent="0.35">
      <c r="A4810">
        <v>7100958</v>
      </c>
      <c r="B4810" t="s">
        <v>12862</v>
      </c>
      <c r="C4810" t="str">
        <f>"9783428041503"</f>
        <v>9783428041503</v>
      </c>
      <c r="D4810" t="str">
        <f>"9783428441501"</f>
        <v>9783428441501</v>
      </c>
      <c r="E4810" t="s">
        <v>12661</v>
      </c>
      <c r="F4810" t="s">
        <v>12661</v>
      </c>
      <c r="G4810" s="1">
        <v>44794</v>
      </c>
      <c r="H4810" s="1">
        <v>44840</v>
      </c>
      <c r="I4810" t="s">
        <v>189</v>
      </c>
      <c r="J4810">
        <v>1</v>
      </c>
      <c r="K4810" t="s">
        <v>12662</v>
      </c>
      <c r="L4810" t="s">
        <v>12703</v>
      </c>
      <c r="M4810" t="s">
        <v>210</v>
      </c>
    </row>
    <row r="4811" spans="1:40" x14ac:dyDescent="0.35">
      <c r="A4811">
        <v>7100963</v>
      </c>
      <c r="B4811" t="s">
        <v>12863</v>
      </c>
      <c r="C4811" t="str">
        <f>"9783428041510"</f>
        <v>9783428041510</v>
      </c>
      <c r="D4811" t="str">
        <f>"9783428441518"</f>
        <v>9783428441518</v>
      </c>
      <c r="E4811" t="s">
        <v>12661</v>
      </c>
      <c r="F4811" t="s">
        <v>12661</v>
      </c>
      <c r="G4811" s="1">
        <v>44794</v>
      </c>
      <c r="H4811" s="1">
        <v>44840</v>
      </c>
      <c r="I4811" t="s">
        <v>189</v>
      </c>
      <c r="J4811">
        <v>1</v>
      </c>
      <c r="K4811" t="s">
        <v>12662</v>
      </c>
      <c r="L4811" t="s">
        <v>12864</v>
      </c>
      <c r="M4811" t="s">
        <v>210</v>
      </c>
      <c r="Q4811" t="s">
        <v>408</v>
      </c>
      <c r="R4811" t="s">
        <v>261</v>
      </c>
      <c r="S4811" t="s">
        <v>261</v>
      </c>
      <c r="T4811" t="s">
        <v>261</v>
      </c>
      <c r="U4811" t="s">
        <v>262</v>
      </c>
      <c r="V4811" t="s">
        <v>262</v>
      </c>
      <c r="W4811" t="s">
        <v>261</v>
      </c>
      <c r="X4811" t="s">
        <v>262</v>
      </c>
      <c r="Y4811" t="s">
        <v>261</v>
      </c>
      <c r="AB4811" t="s">
        <v>409</v>
      </c>
      <c r="AC4811" t="s">
        <v>409</v>
      </c>
      <c r="AD4811" t="s">
        <v>261</v>
      </c>
      <c r="AH4811" t="s">
        <v>262</v>
      </c>
      <c r="AI4811" t="s">
        <v>262</v>
      </c>
      <c r="AJ4811" t="s">
        <v>261</v>
      </c>
      <c r="AK4811" t="s">
        <v>261</v>
      </c>
      <c r="AM4811" t="s">
        <v>262</v>
      </c>
      <c r="AN4811" t="s">
        <v>12865</v>
      </c>
    </row>
    <row r="4812" spans="1:40" x14ac:dyDescent="0.35">
      <c r="A4812">
        <v>7100965</v>
      </c>
      <c r="B4812" t="s">
        <v>12866</v>
      </c>
      <c r="C4812" t="str">
        <f>"9783428041640"</f>
        <v>9783428041640</v>
      </c>
      <c r="D4812" t="str">
        <f>"9783428441648"</f>
        <v>9783428441648</v>
      </c>
      <c r="E4812" t="s">
        <v>12661</v>
      </c>
      <c r="F4812" t="s">
        <v>12661</v>
      </c>
      <c r="G4812" s="1">
        <v>44794</v>
      </c>
      <c r="H4812" s="1">
        <v>44840</v>
      </c>
      <c r="I4812" t="s">
        <v>189</v>
      </c>
      <c r="J4812">
        <v>1</v>
      </c>
      <c r="K4812" t="s">
        <v>12662</v>
      </c>
      <c r="L4812" t="s">
        <v>12671</v>
      </c>
      <c r="M4812" t="s">
        <v>389</v>
      </c>
    </row>
    <row r="4813" spans="1:40" x14ac:dyDescent="0.35">
      <c r="A4813">
        <v>7100967</v>
      </c>
      <c r="B4813" t="s">
        <v>12867</v>
      </c>
      <c r="C4813" t="str">
        <f>"9783428041664"</f>
        <v>9783428041664</v>
      </c>
      <c r="D4813" t="str">
        <f>"9783428441662"</f>
        <v>9783428441662</v>
      </c>
      <c r="E4813" t="s">
        <v>12661</v>
      </c>
      <c r="F4813" t="s">
        <v>12661</v>
      </c>
      <c r="G4813" s="1">
        <v>44794</v>
      </c>
      <c r="H4813" s="1">
        <v>44840</v>
      </c>
      <c r="I4813" t="s">
        <v>189</v>
      </c>
      <c r="J4813">
        <v>1</v>
      </c>
      <c r="K4813" t="s">
        <v>12662</v>
      </c>
      <c r="L4813" t="s">
        <v>12817</v>
      </c>
      <c r="M4813" t="s">
        <v>282</v>
      </c>
    </row>
    <row r="4814" spans="1:40" x14ac:dyDescent="0.35">
      <c r="A4814">
        <v>7100968</v>
      </c>
      <c r="B4814" t="s">
        <v>12868</v>
      </c>
      <c r="C4814" t="str">
        <f>"9783428041787"</f>
        <v>9783428041787</v>
      </c>
      <c r="D4814" t="str">
        <f>"9783428441785"</f>
        <v>9783428441785</v>
      </c>
      <c r="E4814" t="s">
        <v>12661</v>
      </c>
      <c r="F4814" t="s">
        <v>12661</v>
      </c>
      <c r="G4814" s="1">
        <v>44794</v>
      </c>
      <c r="H4814" s="1">
        <v>44840</v>
      </c>
      <c r="I4814" t="s">
        <v>189</v>
      </c>
      <c r="J4814">
        <v>1</v>
      </c>
      <c r="K4814" t="s">
        <v>12662</v>
      </c>
      <c r="L4814" t="s">
        <v>12716</v>
      </c>
      <c r="M4814" t="s">
        <v>210</v>
      </c>
    </row>
    <row r="4815" spans="1:40" x14ac:dyDescent="0.35">
      <c r="A4815">
        <v>7100969</v>
      </c>
      <c r="B4815" t="s">
        <v>12869</v>
      </c>
      <c r="C4815" t="str">
        <f>"9783428041794"</f>
        <v>9783428041794</v>
      </c>
      <c r="D4815" t="str">
        <f>"9783428441792"</f>
        <v>9783428441792</v>
      </c>
      <c r="E4815" t="s">
        <v>12661</v>
      </c>
      <c r="F4815" t="s">
        <v>12661</v>
      </c>
      <c r="G4815" s="1">
        <v>44794</v>
      </c>
      <c r="H4815" s="1">
        <v>44840</v>
      </c>
      <c r="I4815" t="s">
        <v>189</v>
      </c>
      <c r="J4815">
        <v>1</v>
      </c>
      <c r="K4815" t="s">
        <v>12662</v>
      </c>
      <c r="L4815" t="s">
        <v>12870</v>
      </c>
      <c r="M4815" t="s">
        <v>282</v>
      </c>
      <c r="Q4815" t="s">
        <v>408</v>
      </c>
      <c r="R4815" t="s">
        <v>261</v>
      </c>
      <c r="S4815" t="s">
        <v>261</v>
      </c>
      <c r="T4815" t="s">
        <v>261</v>
      </c>
      <c r="U4815" t="s">
        <v>262</v>
      </c>
      <c r="V4815" t="s">
        <v>262</v>
      </c>
      <c r="W4815" t="s">
        <v>261</v>
      </c>
      <c r="X4815" t="s">
        <v>262</v>
      </c>
      <c r="Y4815" t="s">
        <v>261</v>
      </c>
      <c r="AB4815" t="s">
        <v>409</v>
      </c>
      <c r="AC4815" t="s">
        <v>409</v>
      </c>
      <c r="AD4815" t="s">
        <v>261</v>
      </c>
      <c r="AH4815" t="s">
        <v>262</v>
      </c>
      <c r="AI4815" t="s">
        <v>262</v>
      </c>
      <c r="AJ4815" t="s">
        <v>261</v>
      </c>
      <c r="AK4815" t="s">
        <v>261</v>
      </c>
      <c r="AM4815" t="s">
        <v>262</v>
      </c>
      <c r="AN4815" t="s">
        <v>12871</v>
      </c>
    </row>
    <row r="4816" spans="1:40" x14ac:dyDescent="0.35">
      <c r="A4816">
        <v>7100970</v>
      </c>
      <c r="B4816" t="s">
        <v>12872</v>
      </c>
      <c r="C4816" t="str">
        <f>"9783428041817"</f>
        <v>9783428041817</v>
      </c>
      <c r="D4816" t="str">
        <f>"9783428441815"</f>
        <v>9783428441815</v>
      </c>
      <c r="E4816" t="s">
        <v>12661</v>
      </c>
      <c r="F4816" t="s">
        <v>12661</v>
      </c>
      <c r="G4816" s="1">
        <v>44794</v>
      </c>
      <c r="H4816" s="1">
        <v>44840</v>
      </c>
      <c r="I4816" t="s">
        <v>189</v>
      </c>
      <c r="J4816">
        <v>1</v>
      </c>
      <c r="K4816" t="s">
        <v>12662</v>
      </c>
      <c r="L4816" t="s">
        <v>12718</v>
      </c>
      <c r="M4816" t="s">
        <v>210</v>
      </c>
      <c r="Q4816" t="s">
        <v>408</v>
      </c>
      <c r="R4816" t="s">
        <v>261</v>
      </c>
      <c r="S4816" t="s">
        <v>261</v>
      </c>
      <c r="T4816" t="s">
        <v>261</v>
      </c>
      <c r="U4816" t="s">
        <v>262</v>
      </c>
      <c r="V4816" t="s">
        <v>262</v>
      </c>
      <c r="W4816" t="s">
        <v>261</v>
      </c>
      <c r="X4816" t="s">
        <v>262</v>
      </c>
      <c r="Y4816" t="s">
        <v>261</v>
      </c>
      <c r="AB4816" t="s">
        <v>409</v>
      </c>
      <c r="AC4816" t="s">
        <v>409</v>
      </c>
      <c r="AD4816" t="s">
        <v>261</v>
      </c>
      <c r="AH4816" t="s">
        <v>262</v>
      </c>
      <c r="AI4816" t="s">
        <v>262</v>
      </c>
      <c r="AJ4816" t="s">
        <v>261</v>
      </c>
      <c r="AK4816" t="s">
        <v>261</v>
      </c>
      <c r="AM4816" t="s">
        <v>262</v>
      </c>
      <c r="AN4816" t="s">
        <v>12873</v>
      </c>
    </row>
    <row r="4817" spans="1:40" x14ac:dyDescent="0.35">
      <c r="A4817">
        <v>7100971</v>
      </c>
      <c r="B4817" t="s">
        <v>12874</v>
      </c>
      <c r="C4817" t="str">
        <f>"9783428041954"</f>
        <v>9783428041954</v>
      </c>
      <c r="D4817" t="str">
        <f>"9783428441952"</f>
        <v>9783428441952</v>
      </c>
      <c r="E4817" t="s">
        <v>12661</v>
      </c>
      <c r="F4817" t="s">
        <v>12661</v>
      </c>
      <c r="G4817" s="1">
        <v>44794</v>
      </c>
      <c r="H4817" s="1">
        <v>44840</v>
      </c>
      <c r="I4817" t="s">
        <v>189</v>
      </c>
      <c r="J4817">
        <v>1</v>
      </c>
      <c r="K4817" t="s">
        <v>12662</v>
      </c>
      <c r="L4817" t="s">
        <v>12875</v>
      </c>
    </row>
    <row r="4818" spans="1:40" x14ac:dyDescent="0.35">
      <c r="A4818">
        <v>7100973</v>
      </c>
      <c r="B4818" t="s">
        <v>12876</v>
      </c>
      <c r="C4818" t="str">
        <f>"9783428042142"</f>
        <v>9783428042142</v>
      </c>
      <c r="D4818" t="str">
        <f>"9783428442140"</f>
        <v>9783428442140</v>
      </c>
      <c r="E4818" t="s">
        <v>12661</v>
      </c>
      <c r="F4818" t="s">
        <v>12661</v>
      </c>
      <c r="G4818" s="1">
        <v>44794</v>
      </c>
      <c r="H4818" s="1">
        <v>44840</v>
      </c>
      <c r="I4818" t="s">
        <v>189</v>
      </c>
      <c r="J4818">
        <v>1</v>
      </c>
      <c r="K4818" t="s">
        <v>12662</v>
      </c>
      <c r="L4818" t="s">
        <v>12666</v>
      </c>
      <c r="M4818" t="s">
        <v>282</v>
      </c>
      <c r="Q4818" t="s">
        <v>408</v>
      </c>
      <c r="R4818" t="s">
        <v>261</v>
      </c>
      <c r="S4818" t="s">
        <v>261</v>
      </c>
      <c r="T4818" t="s">
        <v>261</v>
      </c>
      <c r="U4818" t="s">
        <v>262</v>
      </c>
      <c r="V4818" t="s">
        <v>262</v>
      </c>
      <c r="W4818" t="s">
        <v>261</v>
      </c>
      <c r="X4818" t="s">
        <v>262</v>
      </c>
      <c r="Y4818" t="s">
        <v>261</v>
      </c>
      <c r="AB4818" t="s">
        <v>409</v>
      </c>
      <c r="AC4818" t="s">
        <v>409</v>
      </c>
      <c r="AD4818" t="s">
        <v>261</v>
      </c>
      <c r="AH4818" t="s">
        <v>262</v>
      </c>
      <c r="AI4818" t="s">
        <v>262</v>
      </c>
      <c r="AJ4818" t="s">
        <v>261</v>
      </c>
      <c r="AK4818" t="s">
        <v>261</v>
      </c>
      <c r="AM4818" t="s">
        <v>262</v>
      </c>
      <c r="AN4818" t="s">
        <v>12877</v>
      </c>
    </row>
    <row r="4819" spans="1:40" x14ac:dyDescent="0.35">
      <c r="A4819">
        <v>7100976</v>
      </c>
      <c r="B4819" t="s">
        <v>12878</v>
      </c>
      <c r="C4819" t="str">
        <f>"9783428042401"</f>
        <v>9783428042401</v>
      </c>
      <c r="D4819" t="str">
        <f>"9783428442409"</f>
        <v>9783428442409</v>
      </c>
      <c r="E4819" t="s">
        <v>12661</v>
      </c>
      <c r="F4819" t="s">
        <v>12661</v>
      </c>
      <c r="G4819" s="1">
        <v>44794</v>
      </c>
      <c r="H4819" s="1">
        <v>44840</v>
      </c>
      <c r="I4819" t="s">
        <v>189</v>
      </c>
      <c r="J4819">
        <v>1</v>
      </c>
      <c r="K4819" t="s">
        <v>12662</v>
      </c>
      <c r="L4819" t="s">
        <v>12879</v>
      </c>
      <c r="M4819" t="s">
        <v>282</v>
      </c>
      <c r="Q4819" t="s">
        <v>408</v>
      </c>
      <c r="R4819" t="s">
        <v>261</v>
      </c>
      <c r="S4819" t="s">
        <v>261</v>
      </c>
      <c r="T4819" t="s">
        <v>261</v>
      </c>
      <c r="U4819" t="s">
        <v>262</v>
      </c>
      <c r="V4819" t="s">
        <v>262</v>
      </c>
      <c r="W4819" t="s">
        <v>261</v>
      </c>
      <c r="X4819" t="s">
        <v>262</v>
      </c>
      <c r="Y4819" t="s">
        <v>261</v>
      </c>
      <c r="AB4819" t="s">
        <v>409</v>
      </c>
      <c r="AC4819" t="s">
        <v>409</v>
      </c>
      <c r="AD4819" t="s">
        <v>261</v>
      </c>
      <c r="AH4819" t="s">
        <v>262</v>
      </c>
      <c r="AI4819" t="s">
        <v>262</v>
      </c>
      <c r="AJ4819" t="s">
        <v>261</v>
      </c>
      <c r="AK4819" t="s">
        <v>261</v>
      </c>
      <c r="AM4819" t="s">
        <v>262</v>
      </c>
      <c r="AN4819" t="s">
        <v>12880</v>
      </c>
    </row>
    <row r="4820" spans="1:40" x14ac:dyDescent="0.35">
      <c r="A4820">
        <v>7100977</v>
      </c>
      <c r="B4820" t="s">
        <v>12881</v>
      </c>
      <c r="C4820" t="str">
        <f>"9783428043057"</f>
        <v>9783428043057</v>
      </c>
      <c r="D4820" t="str">
        <f>"9783428443055"</f>
        <v>9783428443055</v>
      </c>
      <c r="E4820" t="s">
        <v>12661</v>
      </c>
      <c r="F4820" t="s">
        <v>12661</v>
      </c>
      <c r="G4820" s="1">
        <v>44794</v>
      </c>
      <c r="H4820" s="1">
        <v>44840</v>
      </c>
      <c r="I4820" t="s">
        <v>189</v>
      </c>
      <c r="J4820">
        <v>1</v>
      </c>
      <c r="K4820" t="s">
        <v>12662</v>
      </c>
      <c r="L4820" t="s">
        <v>12848</v>
      </c>
      <c r="M4820" t="s">
        <v>210</v>
      </c>
    </row>
    <row r="4821" spans="1:40" x14ac:dyDescent="0.35">
      <c r="A4821">
        <v>7100979</v>
      </c>
      <c r="B4821" t="s">
        <v>12882</v>
      </c>
      <c r="C4821" t="str">
        <f>"9783428044467"</f>
        <v>9783428044467</v>
      </c>
      <c r="D4821" t="str">
        <f>"9783428444465"</f>
        <v>9783428444465</v>
      </c>
      <c r="E4821" t="s">
        <v>12661</v>
      </c>
      <c r="F4821" t="s">
        <v>12661</v>
      </c>
      <c r="G4821" s="1">
        <v>44794</v>
      </c>
      <c r="H4821" s="1">
        <v>44840</v>
      </c>
      <c r="I4821" t="s">
        <v>189</v>
      </c>
      <c r="J4821">
        <v>1</v>
      </c>
      <c r="K4821" t="s">
        <v>12662</v>
      </c>
      <c r="L4821" t="s">
        <v>12883</v>
      </c>
    </row>
    <row r="4822" spans="1:40" x14ac:dyDescent="0.35">
      <c r="A4822">
        <v>7100982</v>
      </c>
      <c r="B4822" t="s">
        <v>12884</v>
      </c>
      <c r="C4822" t="str">
        <f>"9783428044931"</f>
        <v>9783428044931</v>
      </c>
      <c r="D4822" t="str">
        <f>"9783428444939"</f>
        <v>9783428444939</v>
      </c>
      <c r="E4822" t="s">
        <v>12661</v>
      </c>
      <c r="F4822" t="s">
        <v>12661</v>
      </c>
      <c r="G4822" s="1">
        <v>43811</v>
      </c>
      <c r="H4822" s="1">
        <v>44840</v>
      </c>
      <c r="I4822" t="s">
        <v>189</v>
      </c>
      <c r="J4822">
        <v>1</v>
      </c>
      <c r="K4822" t="s">
        <v>12885</v>
      </c>
      <c r="L4822" t="s">
        <v>12886</v>
      </c>
      <c r="M4822" t="s">
        <v>316</v>
      </c>
      <c r="Q4822" t="s">
        <v>408</v>
      </c>
      <c r="R4822" t="s">
        <v>261</v>
      </c>
      <c r="S4822" t="s">
        <v>261</v>
      </c>
      <c r="T4822" t="s">
        <v>261</v>
      </c>
      <c r="U4822" t="s">
        <v>262</v>
      </c>
      <c r="V4822" t="s">
        <v>262</v>
      </c>
      <c r="W4822" t="s">
        <v>261</v>
      </c>
      <c r="X4822" t="s">
        <v>262</v>
      </c>
      <c r="Y4822" t="s">
        <v>261</v>
      </c>
      <c r="AB4822" t="s">
        <v>409</v>
      </c>
      <c r="AC4822" t="s">
        <v>409</v>
      </c>
      <c r="AD4822" t="s">
        <v>261</v>
      </c>
      <c r="AH4822" t="s">
        <v>262</v>
      </c>
      <c r="AI4822" t="s">
        <v>262</v>
      </c>
      <c r="AJ4822" t="s">
        <v>261</v>
      </c>
      <c r="AK4822" t="s">
        <v>261</v>
      </c>
      <c r="AM4822" t="s">
        <v>262</v>
      </c>
      <c r="AN4822" t="s">
        <v>12887</v>
      </c>
    </row>
    <row r="4823" spans="1:40" x14ac:dyDescent="0.35">
      <c r="A4823">
        <v>7100983</v>
      </c>
      <c r="B4823" t="s">
        <v>12888</v>
      </c>
      <c r="C4823" t="str">
        <f>"9783428044528"</f>
        <v>9783428044528</v>
      </c>
      <c r="D4823" t="str">
        <f>"9783428444526"</f>
        <v>9783428444526</v>
      </c>
      <c r="E4823" t="s">
        <v>12661</v>
      </c>
      <c r="F4823" t="s">
        <v>12661</v>
      </c>
      <c r="G4823" s="1">
        <v>44794</v>
      </c>
      <c r="H4823" s="1">
        <v>44840</v>
      </c>
      <c r="I4823" t="s">
        <v>189</v>
      </c>
      <c r="J4823">
        <v>1</v>
      </c>
      <c r="K4823" t="s">
        <v>12662</v>
      </c>
      <c r="L4823" t="s">
        <v>12889</v>
      </c>
      <c r="M4823" t="s">
        <v>282</v>
      </c>
    </row>
    <row r="4824" spans="1:40" x14ac:dyDescent="0.35">
      <c r="A4824">
        <v>7100984</v>
      </c>
      <c r="B4824" t="s">
        <v>12890</v>
      </c>
      <c r="C4824" t="str">
        <f>"9783428045082"</f>
        <v>9783428045082</v>
      </c>
      <c r="D4824" t="str">
        <f>"9783428445080"</f>
        <v>9783428445080</v>
      </c>
      <c r="E4824" t="s">
        <v>12661</v>
      </c>
      <c r="F4824" t="s">
        <v>12661</v>
      </c>
      <c r="G4824" s="1">
        <v>43521</v>
      </c>
      <c r="H4824" s="1">
        <v>44840</v>
      </c>
      <c r="I4824" t="s">
        <v>189</v>
      </c>
      <c r="J4824">
        <v>1</v>
      </c>
      <c r="K4824" t="s">
        <v>12732</v>
      </c>
      <c r="L4824" t="s">
        <v>12891</v>
      </c>
      <c r="M4824" t="s">
        <v>249</v>
      </c>
      <c r="Q4824" t="s">
        <v>408</v>
      </c>
      <c r="R4824" t="s">
        <v>261</v>
      </c>
      <c r="S4824" t="s">
        <v>261</v>
      </c>
      <c r="T4824" t="s">
        <v>261</v>
      </c>
      <c r="U4824" t="s">
        <v>262</v>
      </c>
      <c r="V4824" t="s">
        <v>262</v>
      </c>
      <c r="W4824" t="s">
        <v>261</v>
      </c>
      <c r="X4824" t="s">
        <v>262</v>
      </c>
      <c r="Y4824" t="s">
        <v>261</v>
      </c>
      <c r="AB4824" t="s">
        <v>409</v>
      </c>
      <c r="AC4824" t="s">
        <v>409</v>
      </c>
      <c r="AD4824" t="s">
        <v>261</v>
      </c>
      <c r="AH4824" t="s">
        <v>262</v>
      </c>
      <c r="AI4824" t="s">
        <v>262</v>
      </c>
      <c r="AJ4824" t="s">
        <v>261</v>
      </c>
      <c r="AK4824" t="s">
        <v>261</v>
      </c>
      <c r="AM4824" t="s">
        <v>262</v>
      </c>
      <c r="AN4824" t="s">
        <v>12892</v>
      </c>
    </row>
    <row r="4825" spans="1:40" x14ac:dyDescent="0.35">
      <c r="A4825">
        <v>7100985</v>
      </c>
      <c r="B4825" t="s">
        <v>12893</v>
      </c>
      <c r="C4825" t="str">
        <f>"9783428045099"</f>
        <v>9783428045099</v>
      </c>
      <c r="D4825" t="str">
        <f>"9783428445097"</f>
        <v>9783428445097</v>
      </c>
      <c r="E4825" t="s">
        <v>12661</v>
      </c>
      <c r="F4825" t="s">
        <v>12661</v>
      </c>
      <c r="G4825" s="1">
        <v>44794</v>
      </c>
      <c r="H4825" s="1">
        <v>44840</v>
      </c>
      <c r="I4825" t="s">
        <v>189</v>
      </c>
      <c r="J4825">
        <v>1</v>
      </c>
      <c r="K4825" t="s">
        <v>12662</v>
      </c>
      <c r="L4825" t="s">
        <v>12894</v>
      </c>
      <c r="M4825" t="s">
        <v>210</v>
      </c>
    </row>
    <row r="4826" spans="1:40" x14ac:dyDescent="0.35">
      <c r="A4826">
        <v>7100986</v>
      </c>
      <c r="B4826" t="s">
        <v>12895</v>
      </c>
      <c r="C4826" t="str">
        <f>"9783428045402"</f>
        <v>9783428045402</v>
      </c>
      <c r="D4826" t="str">
        <f>"9783428445400"</f>
        <v>9783428445400</v>
      </c>
      <c r="E4826" t="s">
        <v>12661</v>
      </c>
      <c r="F4826" t="s">
        <v>12661</v>
      </c>
      <c r="G4826" s="1">
        <v>44793</v>
      </c>
      <c r="H4826" s="1">
        <v>44840</v>
      </c>
      <c r="I4826" t="s">
        <v>189</v>
      </c>
      <c r="J4826">
        <v>1</v>
      </c>
      <c r="K4826" t="s">
        <v>12662</v>
      </c>
      <c r="L4826" t="s">
        <v>12839</v>
      </c>
      <c r="M4826" t="s">
        <v>282</v>
      </c>
      <c r="Q4826" t="s">
        <v>408</v>
      </c>
      <c r="R4826" t="s">
        <v>261</v>
      </c>
      <c r="S4826" t="s">
        <v>261</v>
      </c>
      <c r="T4826" t="s">
        <v>261</v>
      </c>
      <c r="U4826" t="s">
        <v>262</v>
      </c>
      <c r="V4826" t="s">
        <v>262</v>
      </c>
      <c r="W4826" t="s">
        <v>261</v>
      </c>
      <c r="X4826" t="s">
        <v>262</v>
      </c>
      <c r="Y4826" t="s">
        <v>261</v>
      </c>
      <c r="AB4826" t="s">
        <v>409</v>
      </c>
      <c r="AC4826" t="s">
        <v>409</v>
      </c>
      <c r="AD4826" t="s">
        <v>261</v>
      </c>
      <c r="AH4826" t="s">
        <v>262</v>
      </c>
      <c r="AI4826" t="s">
        <v>262</v>
      </c>
      <c r="AJ4826" t="s">
        <v>261</v>
      </c>
      <c r="AK4826" t="s">
        <v>261</v>
      </c>
      <c r="AM4826" t="s">
        <v>262</v>
      </c>
      <c r="AN4826" t="s">
        <v>12896</v>
      </c>
    </row>
    <row r="4827" spans="1:40" x14ac:dyDescent="0.35">
      <c r="A4827">
        <v>7100987</v>
      </c>
      <c r="B4827" t="s">
        <v>12897</v>
      </c>
      <c r="C4827" t="str">
        <f>"9783428045501"</f>
        <v>9783428045501</v>
      </c>
      <c r="D4827" t="str">
        <f>"9783428445509"</f>
        <v>9783428445509</v>
      </c>
      <c r="E4827" t="s">
        <v>12661</v>
      </c>
      <c r="F4827" t="s">
        <v>12661</v>
      </c>
      <c r="G4827" s="1">
        <v>44793</v>
      </c>
      <c r="H4827" s="1">
        <v>44840</v>
      </c>
      <c r="I4827" t="s">
        <v>189</v>
      </c>
      <c r="J4827">
        <v>1</v>
      </c>
      <c r="K4827" t="s">
        <v>12662</v>
      </c>
      <c r="L4827" t="s">
        <v>12870</v>
      </c>
      <c r="M4827" t="s">
        <v>249</v>
      </c>
      <c r="Q4827" t="s">
        <v>408</v>
      </c>
      <c r="R4827" t="s">
        <v>261</v>
      </c>
      <c r="S4827" t="s">
        <v>261</v>
      </c>
      <c r="T4827" t="s">
        <v>261</v>
      </c>
      <c r="U4827" t="s">
        <v>262</v>
      </c>
      <c r="V4827" t="s">
        <v>262</v>
      </c>
      <c r="W4827" t="s">
        <v>261</v>
      </c>
      <c r="X4827" t="s">
        <v>262</v>
      </c>
      <c r="Y4827" t="s">
        <v>261</v>
      </c>
      <c r="AB4827" t="s">
        <v>409</v>
      </c>
      <c r="AC4827" t="s">
        <v>409</v>
      </c>
      <c r="AD4827" t="s">
        <v>261</v>
      </c>
      <c r="AH4827" t="s">
        <v>262</v>
      </c>
      <c r="AI4827" t="s">
        <v>262</v>
      </c>
      <c r="AJ4827" t="s">
        <v>261</v>
      </c>
      <c r="AK4827" t="s">
        <v>261</v>
      </c>
      <c r="AM4827" t="s">
        <v>262</v>
      </c>
      <c r="AN4827" t="s">
        <v>12898</v>
      </c>
    </row>
    <row r="4828" spans="1:40" x14ac:dyDescent="0.35">
      <c r="A4828">
        <v>7100988</v>
      </c>
      <c r="B4828" t="s">
        <v>12899</v>
      </c>
      <c r="C4828" t="str">
        <f>"9783428045822"</f>
        <v>9783428045822</v>
      </c>
      <c r="D4828" t="str">
        <f>"9783428445820"</f>
        <v>9783428445820</v>
      </c>
      <c r="E4828" t="s">
        <v>12661</v>
      </c>
      <c r="F4828" t="s">
        <v>12661</v>
      </c>
      <c r="G4828" s="1">
        <v>44793</v>
      </c>
      <c r="H4828" s="1">
        <v>44840</v>
      </c>
      <c r="I4828" t="s">
        <v>189</v>
      </c>
      <c r="J4828">
        <v>1</v>
      </c>
      <c r="K4828" t="s">
        <v>12662</v>
      </c>
      <c r="L4828" t="s">
        <v>12900</v>
      </c>
      <c r="M4828" t="s">
        <v>282</v>
      </c>
    </row>
    <row r="4829" spans="1:40" x14ac:dyDescent="0.35">
      <c r="A4829">
        <v>7100989</v>
      </c>
      <c r="B4829" t="s">
        <v>12901</v>
      </c>
      <c r="C4829" t="str">
        <f>"9783428045976"</f>
        <v>9783428045976</v>
      </c>
      <c r="D4829" t="str">
        <f>"9783428445974"</f>
        <v>9783428445974</v>
      </c>
      <c r="E4829" t="s">
        <v>12661</v>
      </c>
      <c r="F4829" t="s">
        <v>12661</v>
      </c>
      <c r="G4829" s="1">
        <v>44793</v>
      </c>
      <c r="H4829" s="1">
        <v>44840</v>
      </c>
      <c r="I4829" t="s">
        <v>189</v>
      </c>
      <c r="J4829">
        <v>1</v>
      </c>
      <c r="K4829" t="s">
        <v>12662</v>
      </c>
      <c r="L4829" t="s">
        <v>12810</v>
      </c>
      <c r="M4829" t="s">
        <v>282</v>
      </c>
      <c r="Q4829" t="s">
        <v>408</v>
      </c>
      <c r="R4829" t="s">
        <v>261</v>
      </c>
      <c r="S4829" t="s">
        <v>261</v>
      </c>
      <c r="T4829" t="s">
        <v>261</v>
      </c>
      <c r="U4829" t="s">
        <v>262</v>
      </c>
      <c r="V4829" t="s">
        <v>262</v>
      </c>
      <c r="W4829" t="s">
        <v>261</v>
      </c>
      <c r="X4829" t="s">
        <v>262</v>
      </c>
      <c r="Y4829" t="s">
        <v>261</v>
      </c>
      <c r="AB4829" t="s">
        <v>409</v>
      </c>
      <c r="AC4829" t="s">
        <v>409</v>
      </c>
      <c r="AD4829" t="s">
        <v>261</v>
      </c>
      <c r="AH4829" t="s">
        <v>262</v>
      </c>
      <c r="AI4829" t="s">
        <v>262</v>
      </c>
      <c r="AJ4829" t="s">
        <v>261</v>
      </c>
      <c r="AK4829" t="s">
        <v>261</v>
      </c>
      <c r="AM4829" t="s">
        <v>262</v>
      </c>
      <c r="AN4829" t="s">
        <v>12902</v>
      </c>
    </row>
    <row r="4830" spans="1:40" x14ac:dyDescent="0.35">
      <c r="A4830">
        <v>7100990</v>
      </c>
      <c r="B4830" t="s">
        <v>12903</v>
      </c>
      <c r="C4830" t="str">
        <f>"9783428047161"</f>
        <v>9783428047161</v>
      </c>
      <c r="D4830" t="str">
        <f>"9783428447169"</f>
        <v>9783428447169</v>
      </c>
      <c r="E4830" t="s">
        <v>12661</v>
      </c>
      <c r="F4830" t="s">
        <v>12661</v>
      </c>
      <c r="G4830" s="1">
        <v>44793</v>
      </c>
      <c r="H4830" s="1">
        <v>44840</v>
      </c>
      <c r="I4830" t="s">
        <v>189</v>
      </c>
      <c r="J4830">
        <v>1</v>
      </c>
      <c r="K4830" t="s">
        <v>12662</v>
      </c>
      <c r="L4830" t="s">
        <v>12904</v>
      </c>
      <c r="M4830" t="s">
        <v>329</v>
      </c>
    </row>
    <row r="4831" spans="1:40" x14ac:dyDescent="0.35">
      <c r="A4831">
        <v>7100991</v>
      </c>
      <c r="B4831" t="s">
        <v>12905</v>
      </c>
      <c r="C4831" t="str">
        <f>"9783428047406"</f>
        <v>9783428047406</v>
      </c>
      <c r="D4831" t="str">
        <f>"9783428447404"</f>
        <v>9783428447404</v>
      </c>
      <c r="E4831" t="s">
        <v>12661</v>
      </c>
      <c r="F4831" t="s">
        <v>12661</v>
      </c>
      <c r="G4831" s="1">
        <v>44793</v>
      </c>
      <c r="H4831" s="1">
        <v>44840</v>
      </c>
      <c r="I4831" t="s">
        <v>189</v>
      </c>
      <c r="J4831">
        <v>1</v>
      </c>
      <c r="K4831" t="s">
        <v>12662</v>
      </c>
      <c r="L4831" t="s">
        <v>12906</v>
      </c>
      <c r="M4831" t="s">
        <v>210</v>
      </c>
      <c r="Q4831" t="s">
        <v>408</v>
      </c>
      <c r="R4831" t="s">
        <v>261</v>
      </c>
      <c r="S4831" t="s">
        <v>261</v>
      </c>
      <c r="T4831" t="s">
        <v>261</v>
      </c>
      <c r="U4831" t="s">
        <v>262</v>
      </c>
      <c r="V4831" t="s">
        <v>262</v>
      </c>
      <c r="W4831" t="s">
        <v>261</v>
      </c>
      <c r="X4831" t="s">
        <v>262</v>
      </c>
      <c r="Y4831" t="s">
        <v>261</v>
      </c>
      <c r="AB4831" t="s">
        <v>409</v>
      </c>
      <c r="AC4831" t="s">
        <v>409</v>
      </c>
      <c r="AD4831" t="s">
        <v>261</v>
      </c>
      <c r="AH4831" t="s">
        <v>262</v>
      </c>
      <c r="AI4831" t="s">
        <v>262</v>
      </c>
      <c r="AJ4831" t="s">
        <v>261</v>
      </c>
      <c r="AK4831" t="s">
        <v>261</v>
      </c>
      <c r="AM4831" t="s">
        <v>262</v>
      </c>
      <c r="AN4831" t="s">
        <v>12907</v>
      </c>
    </row>
    <row r="4832" spans="1:40" x14ac:dyDescent="0.35">
      <c r="A4832">
        <v>7100992</v>
      </c>
      <c r="B4832" t="s">
        <v>12908</v>
      </c>
      <c r="C4832" t="str">
        <f>"9783428047581"</f>
        <v>9783428047581</v>
      </c>
      <c r="D4832" t="str">
        <f>"9783428447589"</f>
        <v>9783428447589</v>
      </c>
      <c r="E4832" t="s">
        <v>12661</v>
      </c>
      <c r="F4832" t="s">
        <v>12661</v>
      </c>
      <c r="G4832" s="1">
        <v>43521</v>
      </c>
      <c r="H4832" s="1">
        <v>44840</v>
      </c>
      <c r="I4832" t="s">
        <v>189</v>
      </c>
      <c r="J4832">
        <v>1</v>
      </c>
      <c r="K4832" t="s">
        <v>12732</v>
      </c>
      <c r="L4832" t="s">
        <v>12733</v>
      </c>
      <c r="M4832" t="s">
        <v>282</v>
      </c>
      <c r="Q4832" t="s">
        <v>408</v>
      </c>
      <c r="R4832" t="s">
        <v>261</v>
      </c>
      <c r="S4832" t="s">
        <v>261</v>
      </c>
      <c r="T4832" t="s">
        <v>261</v>
      </c>
      <c r="U4832" t="s">
        <v>262</v>
      </c>
      <c r="V4832" t="s">
        <v>262</v>
      </c>
      <c r="W4832" t="s">
        <v>261</v>
      </c>
      <c r="X4832" t="s">
        <v>262</v>
      </c>
      <c r="Y4832" t="s">
        <v>261</v>
      </c>
      <c r="AB4832" t="s">
        <v>409</v>
      </c>
      <c r="AC4832" t="s">
        <v>409</v>
      </c>
      <c r="AD4832" t="s">
        <v>261</v>
      </c>
      <c r="AH4832" t="s">
        <v>262</v>
      </c>
      <c r="AI4832" t="s">
        <v>262</v>
      </c>
      <c r="AJ4832" t="s">
        <v>261</v>
      </c>
      <c r="AK4832" t="s">
        <v>261</v>
      </c>
      <c r="AM4832" t="s">
        <v>262</v>
      </c>
      <c r="AN4832" t="s">
        <v>12909</v>
      </c>
    </row>
    <row r="4833" spans="1:40" x14ac:dyDescent="0.35">
      <c r="A4833">
        <v>7100993</v>
      </c>
      <c r="B4833" t="s">
        <v>12910</v>
      </c>
      <c r="C4833" t="str">
        <f>"9783428047710"</f>
        <v>9783428047710</v>
      </c>
      <c r="D4833" t="str">
        <f>"9783428447718"</f>
        <v>9783428447718</v>
      </c>
      <c r="E4833" t="s">
        <v>12661</v>
      </c>
      <c r="F4833" t="s">
        <v>12661</v>
      </c>
      <c r="G4833" s="1">
        <v>44793</v>
      </c>
      <c r="H4833" s="1">
        <v>44840</v>
      </c>
      <c r="I4833" t="s">
        <v>189</v>
      </c>
      <c r="J4833">
        <v>1</v>
      </c>
      <c r="K4833" t="s">
        <v>12662</v>
      </c>
      <c r="L4833" t="s">
        <v>12911</v>
      </c>
      <c r="M4833" t="s">
        <v>282</v>
      </c>
      <c r="Q4833" t="s">
        <v>408</v>
      </c>
      <c r="R4833" t="s">
        <v>261</v>
      </c>
      <c r="S4833" t="s">
        <v>261</v>
      </c>
      <c r="T4833" t="s">
        <v>261</v>
      </c>
      <c r="U4833" t="s">
        <v>262</v>
      </c>
      <c r="V4833" t="s">
        <v>262</v>
      </c>
      <c r="W4833" t="s">
        <v>261</v>
      </c>
      <c r="X4833" t="s">
        <v>262</v>
      </c>
      <c r="Y4833" t="s">
        <v>261</v>
      </c>
      <c r="AB4833" t="s">
        <v>409</v>
      </c>
      <c r="AC4833" t="s">
        <v>409</v>
      </c>
      <c r="AD4833" t="s">
        <v>261</v>
      </c>
      <c r="AH4833" t="s">
        <v>262</v>
      </c>
      <c r="AI4833" t="s">
        <v>262</v>
      </c>
      <c r="AJ4833" t="s">
        <v>261</v>
      </c>
      <c r="AK4833" t="s">
        <v>261</v>
      </c>
      <c r="AM4833" t="s">
        <v>262</v>
      </c>
      <c r="AN4833" t="s">
        <v>12912</v>
      </c>
    </row>
    <row r="4834" spans="1:40" x14ac:dyDescent="0.35">
      <c r="A4834">
        <v>7100994</v>
      </c>
      <c r="B4834" t="s">
        <v>12913</v>
      </c>
      <c r="C4834" t="str">
        <f>"9783428047932"</f>
        <v>9783428047932</v>
      </c>
      <c r="D4834" t="str">
        <f>"9783428447930"</f>
        <v>9783428447930</v>
      </c>
      <c r="E4834" t="s">
        <v>12661</v>
      </c>
      <c r="F4834" t="s">
        <v>12661</v>
      </c>
      <c r="G4834" s="1">
        <v>43518</v>
      </c>
      <c r="H4834" s="1">
        <v>44840</v>
      </c>
      <c r="I4834" t="s">
        <v>189</v>
      </c>
      <c r="J4834">
        <v>1</v>
      </c>
      <c r="K4834" t="s">
        <v>12732</v>
      </c>
      <c r="L4834" t="s">
        <v>12914</v>
      </c>
    </row>
    <row r="4835" spans="1:40" x14ac:dyDescent="0.35">
      <c r="A4835">
        <v>7100995</v>
      </c>
      <c r="B4835" t="s">
        <v>12915</v>
      </c>
      <c r="C4835" t="str">
        <f>"9783428048090"</f>
        <v>9783428048090</v>
      </c>
      <c r="D4835" t="str">
        <f>"9783428448098"</f>
        <v>9783428448098</v>
      </c>
      <c r="E4835" t="s">
        <v>12661</v>
      </c>
      <c r="F4835" t="s">
        <v>12661</v>
      </c>
      <c r="G4835" s="1">
        <v>44793</v>
      </c>
      <c r="H4835" s="1">
        <v>44840</v>
      </c>
      <c r="I4835" t="s">
        <v>189</v>
      </c>
      <c r="J4835">
        <v>1</v>
      </c>
      <c r="K4835" t="s">
        <v>12662</v>
      </c>
      <c r="L4835" t="s">
        <v>12916</v>
      </c>
      <c r="M4835" t="s">
        <v>210</v>
      </c>
      <c r="Q4835" t="s">
        <v>408</v>
      </c>
      <c r="R4835" t="s">
        <v>261</v>
      </c>
      <c r="S4835" t="s">
        <v>261</v>
      </c>
      <c r="T4835" t="s">
        <v>261</v>
      </c>
      <c r="U4835" t="s">
        <v>262</v>
      </c>
      <c r="V4835" t="s">
        <v>262</v>
      </c>
      <c r="W4835" t="s">
        <v>261</v>
      </c>
      <c r="X4835" t="s">
        <v>262</v>
      </c>
      <c r="Y4835" t="s">
        <v>261</v>
      </c>
      <c r="AB4835" t="s">
        <v>409</v>
      </c>
      <c r="AC4835" t="s">
        <v>409</v>
      </c>
      <c r="AD4835" t="s">
        <v>261</v>
      </c>
      <c r="AH4835" t="s">
        <v>262</v>
      </c>
      <c r="AI4835" t="s">
        <v>262</v>
      </c>
      <c r="AJ4835" t="s">
        <v>261</v>
      </c>
      <c r="AK4835" t="s">
        <v>261</v>
      </c>
      <c r="AM4835" t="s">
        <v>262</v>
      </c>
      <c r="AN4835" t="s">
        <v>12917</v>
      </c>
    </row>
    <row r="4836" spans="1:40" x14ac:dyDescent="0.35">
      <c r="A4836">
        <v>7100996</v>
      </c>
      <c r="B4836" t="s">
        <v>12918</v>
      </c>
      <c r="C4836" t="str">
        <f>"9783428048106"</f>
        <v>9783428048106</v>
      </c>
      <c r="D4836" t="str">
        <f>"9783428448104"</f>
        <v>9783428448104</v>
      </c>
      <c r="E4836" t="s">
        <v>12661</v>
      </c>
      <c r="F4836" t="s">
        <v>12661</v>
      </c>
      <c r="G4836" s="1">
        <v>44793</v>
      </c>
      <c r="H4836" s="1">
        <v>44840</v>
      </c>
      <c r="I4836" t="s">
        <v>189</v>
      </c>
      <c r="J4836">
        <v>1</v>
      </c>
      <c r="K4836" t="s">
        <v>12662</v>
      </c>
      <c r="L4836" t="s">
        <v>12919</v>
      </c>
      <c r="M4836" t="s">
        <v>329</v>
      </c>
    </row>
    <row r="4837" spans="1:40" x14ac:dyDescent="0.35">
      <c r="A4837">
        <v>7100997</v>
      </c>
      <c r="B4837" t="s">
        <v>12920</v>
      </c>
      <c r="C4837" t="str">
        <f>"9783428048144"</f>
        <v>9783428048144</v>
      </c>
      <c r="D4837" t="str">
        <f>"9783428448142"</f>
        <v>9783428448142</v>
      </c>
      <c r="E4837" t="s">
        <v>12661</v>
      </c>
      <c r="F4837" t="s">
        <v>12661</v>
      </c>
      <c r="G4837" s="1">
        <v>44792</v>
      </c>
      <c r="H4837" s="1">
        <v>44840</v>
      </c>
      <c r="I4837" t="s">
        <v>189</v>
      </c>
      <c r="J4837">
        <v>1</v>
      </c>
      <c r="K4837" t="s">
        <v>12662</v>
      </c>
      <c r="L4837" t="s">
        <v>12921</v>
      </c>
      <c r="M4837" t="s">
        <v>249</v>
      </c>
    </row>
    <row r="4838" spans="1:40" x14ac:dyDescent="0.35">
      <c r="A4838">
        <v>7100998</v>
      </c>
      <c r="B4838" t="s">
        <v>12922</v>
      </c>
      <c r="C4838" t="str">
        <f>"9783428048472"</f>
        <v>9783428048472</v>
      </c>
      <c r="D4838" t="str">
        <f>"9783428448470"</f>
        <v>9783428448470</v>
      </c>
      <c r="E4838" t="s">
        <v>12661</v>
      </c>
      <c r="F4838" t="s">
        <v>12661</v>
      </c>
      <c r="G4838" s="1">
        <v>43518</v>
      </c>
      <c r="H4838" s="1">
        <v>44840</v>
      </c>
      <c r="I4838" t="s">
        <v>189</v>
      </c>
      <c r="J4838">
        <v>1</v>
      </c>
      <c r="K4838" t="s">
        <v>12732</v>
      </c>
      <c r="L4838" t="s">
        <v>12923</v>
      </c>
      <c r="M4838" t="s">
        <v>282</v>
      </c>
      <c r="Q4838" t="s">
        <v>408</v>
      </c>
      <c r="R4838" t="s">
        <v>261</v>
      </c>
      <c r="S4838" t="s">
        <v>261</v>
      </c>
      <c r="T4838" t="s">
        <v>261</v>
      </c>
      <c r="U4838" t="s">
        <v>262</v>
      </c>
      <c r="V4838" t="s">
        <v>262</v>
      </c>
      <c r="W4838" t="s">
        <v>261</v>
      </c>
      <c r="X4838" t="s">
        <v>262</v>
      </c>
      <c r="Y4838" t="s">
        <v>261</v>
      </c>
      <c r="AB4838" t="s">
        <v>409</v>
      </c>
      <c r="AC4838" t="s">
        <v>409</v>
      </c>
      <c r="AD4838" t="s">
        <v>261</v>
      </c>
      <c r="AH4838" t="s">
        <v>262</v>
      </c>
      <c r="AI4838" t="s">
        <v>262</v>
      </c>
      <c r="AJ4838" t="s">
        <v>261</v>
      </c>
      <c r="AK4838" t="s">
        <v>261</v>
      </c>
      <c r="AM4838" t="s">
        <v>262</v>
      </c>
      <c r="AN4838" t="s">
        <v>12924</v>
      </c>
    </row>
    <row r="4839" spans="1:40" x14ac:dyDescent="0.35">
      <c r="A4839">
        <v>7100999</v>
      </c>
      <c r="B4839" t="s">
        <v>12925</v>
      </c>
      <c r="C4839" t="str">
        <f>"9783428048526"</f>
        <v>9783428048526</v>
      </c>
      <c r="D4839" t="str">
        <f>"9783428448524"</f>
        <v>9783428448524</v>
      </c>
      <c r="E4839" t="s">
        <v>12661</v>
      </c>
      <c r="F4839" t="s">
        <v>12661</v>
      </c>
      <c r="G4839" s="1">
        <v>44792</v>
      </c>
      <c r="H4839" s="1">
        <v>44840</v>
      </c>
      <c r="I4839" t="s">
        <v>189</v>
      </c>
      <c r="J4839">
        <v>1</v>
      </c>
      <c r="K4839" t="s">
        <v>12662</v>
      </c>
      <c r="L4839" t="s">
        <v>12926</v>
      </c>
      <c r="M4839" t="s">
        <v>282</v>
      </c>
    </row>
    <row r="4840" spans="1:40" x14ac:dyDescent="0.35">
      <c r="A4840">
        <v>7101000</v>
      </c>
      <c r="B4840" t="s">
        <v>12927</v>
      </c>
      <c r="C4840" t="str">
        <f>"9783428049349"</f>
        <v>9783428049349</v>
      </c>
      <c r="D4840" t="str">
        <f>"9783428449347"</f>
        <v>9783428449347</v>
      </c>
      <c r="E4840" t="s">
        <v>12661</v>
      </c>
      <c r="F4840" t="s">
        <v>12661</v>
      </c>
      <c r="G4840" s="1">
        <v>44792</v>
      </c>
      <c r="H4840" s="1">
        <v>44840</v>
      </c>
      <c r="I4840" t="s">
        <v>189</v>
      </c>
      <c r="J4840">
        <v>1</v>
      </c>
      <c r="K4840" t="s">
        <v>12662</v>
      </c>
      <c r="L4840" t="s">
        <v>12919</v>
      </c>
      <c r="M4840" t="s">
        <v>210</v>
      </c>
      <c r="Q4840" t="s">
        <v>408</v>
      </c>
      <c r="R4840" t="s">
        <v>261</v>
      </c>
      <c r="S4840" t="s">
        <v>261</v>
      </c>
      <c r="T4840" t="s">
        <v>261</v>
      </c>
      <c r="U4840" t="s">
        <v>262</v>
      </c>
      <c r="V4840" t="s">
        <v>262</v>
      </c>
      <c r="W4840" t="s">
        <v>261</v>
      </c>
      <c r="X4840" t="s">
        <v>262</v>
      </c>
      <c r="Y4840" t="s">
        <v>261</v>
      </c>
      <c r="AB4840" t="s">
        <v>409</v>
      </c>
      <c r="AC4840" t="s">
        <v>409</v>
      </c>
      <c r="AD4840" t="s">
        <v>261</v>
      </c>
      <c r="AH4840" t="s">
        <v>262</v>
      </c>
      <c r="AI4840" t="s">
        <v>262</v>
      </c>
      <c r="AJ4840" t="s">
        <v>261</v>
      </c>
      <c r="AK4840" t="s">
        <v>261</v>
      </c>
      <c r="AM4840" t="s">
        <v>262</v>
      </c>
      <c r="AN4840" t="s">
        <v>12928</v>
      </c>
    </row>
    <row r="4841" spans="1:40" x14ac:dyDescent="0.35">
      <c r="A4841">
        <v>7101001</v>
      </c>
      <c r="B4841" t="s">
        <v>12929</v>
      </c>
      <c r="C4841" t="str">
        <f>"9783428049592"</f>
        <v>9783428049592</v>
      </c>
      <c r="D4841" t="str">
        <f>"9783428449590"</f>
        <v>9783428449590</v>
      </c>
      <c r="E4841" t="s">
        <v>12661</v>
      </c>
      <c r="F4841" t="s">
        <v>12661</v>
      </c>
      <c r="G4841" s="1">
        <v>44792</v>
      </c>
      <c r="H4841" s="1">
        <v>44840</v>
      </c>
      <c r="I4841" t="s">
        <v>189</v>
      </c>
      <c r="J4841">
        <v>1</v>
      </c>
      <c r="K4841" t="s">
        <v>12662</v>
      </c>
      <c r="L4841" t="s">
        <v>12904</v>
      </c>
      <c r="M4841" t="s">
        <v>282</v>
      </c>
      <c r="Q4841" t="s">
        <v>408</v>
      </c>
      <c r="R4841" t="s">
        <v>261</v>
      </c>
      <c r="S4841" t="s">
        <v>261</v>
      </c>
      <c r="T4841" t="s">
        <v>261</v>
      </c>
      <c r="U4841" t="s">
        <v>262</v>
      </c>
      <c r="V4841" t="s">
        <v>262</v>
      </c>
      <c r="W4841" t="s">
        <v>261</v>
      </c>
      <c r="X4841" t="s">
        <v>262</v>
      </c>
      <c r="Y4841" t="s">
        <v>261</v>
      </c>
      <c r="AB4841" t="s">
        <v>409</v>
      </c>
      <c r="AC4841" t="s">
        <v>409</v>
      </c>
      <c r="AD4841" t="s">
        <v>261</v>
      </c>
      <c r="AH4841" t="s">
        <v>262</v>
      </c>
      <c r="AI4841" t="s">
        <v>262</v>
      </c>
      <c r="AJ4841" t="s">
        <v>261</v>
      </c>
      <c r="AK4841" t="s">
        <v>261</v>
      </c>
      <c r="AM4841" t="s">
        <v>262</v>
      </c>
      <c r="AN4841" t="s">
        <v>12930</v>
      </c>
    </row>
    <row r="4842" spans="1:40" x14ac:dyDescent="0.35">
      <c r="A4842">
        <v>7101002</v>
      </c>
      <c r="B4842" t="s">
        <v>12931</v>
      </c>
      <c r="C4842" t="str">
        <f>"9783428050086"</f>
        <v>9783428050086</v>
      </c>
      <c r="D4842" t="str">
        <f>"9783428450084"</f>
        <v>9783428450084</v>
      </c>
      <c r="E4842" t="s">
        <v>12661</v>
      </c>
      <c r="F4842" t="s">
        <v>12661</v>
      </c>
      <c r="G4842" s="1">
        <v>44792</v>
      </c>
      <c r="H4842" s="1">
        <v>44840</v>
      </c>
      <c r="I4842" t="s">
        <v>189</v>
      </c>
      <c r="J4842">
        <v>1</v>
      </c>
      <c r="K4842" t="s">
        <v>12662</v>
      </c>
      <c r="L4842" t="s">
        <v>12900</v>
      </c>
      <c r="M4842" t="s">
        <v>282</v>
      </c>
      <c r="Q4842" t="s">
        <v>408</v>
      </c>
      <c r="R4842" t="s">
        <v>261</v>
      </c>
      <c r="S4842" t="s">
        <v>261</v>
      </c>
      <c r="T4842" t="s">
        <v>261</v>
      </c>
      <c r="U4842" t="s">
        <v>262</v>
      </c>
      <c r="V4842" t="s">
        <v>262</v>
      </c>
      <c r="W4842" t="s">
        <v>261</v>
      </c>
      <c r="X4842" t="s">
        <v>262</v>
      </c>
      <c r="Y4842" t="s">
        <v>261</v>
      </c>
      <c r="AB4842" t="s">
        <v>409</v>
      </c>
      <c r="AC4842" t="s">
        <v>409</v>
      </c>
      <c r="AD4842" t="s">
        <v>261</v>
      </c>
      <c r="AH4842" t="s">
        <v>262</v>
      </c>
      <c r="AI4842" t="s">
        <v>262</v>
      </c>
      <c r="AJ4842" t="s">
        <v>261</v>
      </c>
      <c r="AK4842" t="s">
        <v>261</v>
      </c>
      <c r="AM4842" t="s">
        <v>262</v>
      </c>
      <c r="AN4842" t="s">
        <v>12932</v>
      </c>
    </row>
    <row r="4843" spans="1:40" x14ac:dyDescent="0.35">
      <c r="A4843">
        <v>7101003</v>
      </c>
      <c r="B4843" t="s">
        <v>12933</v>
      </c>
      <c r="C4843" t="str">
        <f>"9783428050130"</f>
        <v>9783428050130</v>
      </c>
      <c r="D4843" t="str">
        <f>"9783428450138"</f>
        <v>9783428450138</v>
      </c>
      <c r="E4843" t="s">
        <v>12661</v>
      </c>
      <c r="F4843" t="s">
        <v>12661</v>
      </c>
      <c r="G4843" s="1">
        <v>44792</v>
      </c>
      <c r="H4843" s="1">
        <v>44840</v>
      </c>
      <c r="I4843" t="s">
        <v>189</v>
      </c>
      <c r="J4843">
        <v>1</v>
      </c>
      <c r="K4843" t="s">
        <v>12662</v>
      </c>
      <c r="L4843" t="s">
        <v>12934</v>
      </c>
      <c r="M4843" t="s">
        <v>329</v>
      </c>
    </row>
    <row r="4844" spans="1:40" x14ac:dyDescent="0.35">
      <c r="A4844">
        <v>7101004</v>
      </c>
      <c r="B4844" t="s">
        <v>12935</v>
      </c>
      <c r="C4844" t="str">
        <f>"9783428050291"</f>
        <v>9783428050291</v>
      </c>
      <c r="D4844" t="str">
        <f>"9783428450299"</f>
        <v>9783428450299</v>
      </c>
      <c r="E4844" t="s">
        <v>12661</v>
      </c>
      <c r="F4844" t="s">
        <v>12661</v>
      </c>
      <c r="G4844" s="1">
        <v>44792</v>
      </c>
      <c r="H4844" s="1">
        <v>44840</v>
      </c>
      <c r="I4844" t="s">
        <v>189</v>
      </c>
      <c r="J4844">
        <v>1</v>
      </c>
      <c r="K4844" t="s">
        <v>12662</v>
      </c>
      <c r="L4844" t="s">
        <v>12894</v>
      </c>
      <c r="M4844" t="s">
        <v>210</v>
      </c>
      <c r="Q4844" t="s">
        <v>408</v>
      </c>
      <c r="R4844" t="s">
        <v>261</v>
      </c>
      <c r="S4844" t="s">
        <v>261</v>
      </c>
      <c r="T4844" t="s">
        <v>261</v>
      </c>
      <c r="U4844" t="s">
        <v>262</v>
      </c>
      <c r="V4844" t="s">
        <v>262</v>
      </c>
      <c r="W4844" t="s">
        <v>261</v>
      </c>
      <c r="X4844" t="s">
        <v>262</v>
      </c>
      <c r="Y4844" t="s">
        <v>261</v>
      </c>
      <c r="AB4844" t="s">
        <v>409</v>
      </c>
      <c r="AC4844" t="s">
        <v>409</v>
      </c>
      <c r="AD4844" t="s">
        <v>261</v>
      </c>
      <c r="AH4844" t="s">
        <v>262</v>
      </c>
      <c r="AI4844" t="s">
        <v>262</v>
      </c>
      <c r="AJ4844" t="s">
        <v>261</v>
      </c>
      <c r="AK4844" t="s">
        <v>261</v>
      </c>
      <c r="AM4844" t="s">
        <v>262</v>
      </c>
      <c r="AN4844" t="s">
        <v>12936</v>
      </c>
    </row>
    <row r="4845" spans="1:40" x14ac:dyDescent="0.35">
      <c r="A4845">
        <v>7101005</v>
      </c>
      <c r="B4845" t="s">
        <v>12937</v>
      </c>
      <c r="C4845" t="str">
        <f>"9783428051588"</f>
        <v>9783428051588</v>
      </c>
      <c r="D4845" t="str">
        <f>"9783428451586"</f>
        <v>9783428451586</v>
      </c>
      <c r="E4845" t="s">
        <v>12661</v>
      </c>
      <c r="F4845" t="s">
        <v>12661</v>
      </c>
      <c r="G4845" s="1">
        <v>44792</v>
      </c>
      <c r="H4845" s="1">
        <v>44840</v>
      </c>
      <c r="I4845" t="s">
        <v>189</v>
      </c>
      <c r="J4845">
        <v>1</v>
      </c>
      <c r="K4845" t="s">
        <v>12662</v>
      </c>
      <c r="L4845" t="s">
        <v>12810</v>
      </c>
      <c r="M4845" t="s">
        <v>282</v>
      </c>
      <c r="Q4845" t="s">
        <v>408</v>
      </c>
      <c r="R4845" t="s">
        <v>261</v>
      </c>
      <c r="S4845" t="s">
        <v>261</v>
      </c>
      <c r="T4845" t="s">
        <v>261</v>
      </c>
      <c r="U4845" t="s">
        <v>262</v>
      </c>
      <c r="V4845" t="s">
        <v>262</v>
      </c>
      <c r="W4845" t="s">
        <v>261</v>
      </c>
      <c r="X4845" t="s">
        <v>262</v>
      </c>
      <c r="Y4845" t="s">
        <v>261</v>
      </c>
      <c r="AB4845" t="s">
        <v>409</v>
      </c>
      <c r="AC4845" t="s">
        <v>409</v>
      </c>
      <c r="AD4845" t="s">
        <v>261</v>
      </c>
      <c r="AH4845" t="s">
        <v>262</v>
      </c>
      <c r="AI4845" t="s">
        <v>262</v>
      </c>
      <c r="AJ4845" t="s">
        <v>261</v>
      </c>
      <c r="AK4845" t="s">
        <v>261</v>
      </c>
      <c r="AM4845" t="s">
        <v>262</v>
      </c>
      <c r="AN4845" t="s">
        <v>12938</v>
      </c>
    </row>
    <row r="4846" spans="1:40" x14ac:dyDescent="0.35">
      <c r="A4846">
        <v>7101006</v>
      </c>
      <c r="B4846" t="s">
        <v>12939</v>
      </c>
      <c r="C4846" t="str">
        <f>"9783428051625"</f>
        <v>9783428051625</v>
      </c>
      <c r="D4846" t="str">
        <f>"9783428451623"</f>
        <v>9783428451623</v>
      </c>
      <c r="E4846" t="s">
        <v>12661</v>
      </c>
      <c r="F4846" t="s">
        <v>12661</v>
      </c>
      <c r="G4846" s="1">
        <v>44792</v>
      </c>
      <c r="H4846" s="1">
        <v>44840</v>
      </c>
      <c r="I4846" t="s">
        <v>189</v>
      </c>
      <c r="J4846">
        <v>1</v>
      </c>
      <c r="K4846" t="s">
        <v>12662</v>
      </c>
      <c r="L4846" t="s">
        <v>12904</v>
      </c>
      <c r="M4846" t="s">
        <v>282</v>
      </c>
      <c r="Q4846" t="s">
        <v>408</v>
      </c>
      <c r="R4846" t="s">
        <v>261</v>
      </c>
      <c r="S4846" t="s">
        <v>261</v>
      </c>
      <c r="T4846" t="s">
        <v>261</v>
      </c>
      <c r="U4846" t="s">
        <v>262</v>
      </c>
      <c r="V4846" t="s">
        <v>262</v>
      </c>
      <c r="W4846" t="s">
        <v>261</v>
      </c>
      <c r="X4846" t="s">
        <v>262</v>
      </c>
      <c r="Y4846" t="s">
        <v>261</v>
      </c>
      <c r="AB4846" t="s">
        <v>409</v>
      </c>
      <c r="AC4846" t="s">
        <v>409</v>
      </c>
      <c r="AD4846" t="s">
        <v>261</v>
      </c>
      <c r="AH4846" t="s">
        <v>262</v>
      </c>
      <c r="AI4846" t="s">
        <v>262</v>
      </c>
      <c r="AJ4846" t="s">
        <v>261</v>
      </c>
      <c r="AK4846" t="s">
        <v>261</v>
      </c>
      <c r="AM4846" t="s">
        <v>262</v>
      </c>
      <c r="AN4846" t="s">
        <v>12940</v>
      </c>
    </row>
    <row r="4847" spans="1:40" x14ac:dyDescent="0.35">
      <c r="A4847">
        <v>7101007</v>
      </c>
      <c r="B4847" t="s">
        <v>12941</v>
      </c>
      <c r="C4847" t="str">
        <f>"9783428051946"</f>
        <v>9783428051946</v>
      </c>
      <c r="D4847" t="str">
        <f>"9783428451944"</f>
        <v>9783428451944</v>
      </c>
      <c r="E4847" t="s">
        <v>12661</v>
      </c>
      <c r="F4847" t="s">
        <v>12661</v>
      </c>
      <c r="G4847" s="1">
        <v>44792</v>
      </c>
      <c r="H4847" s="1">
        <v>44840</v>
      </c>
      <c r="I4847" t="s">
        <v>189</v>
      </c>
      <c r="J4847">
        <v>1</v>
      </c>
      <c r="K4847" t="s">
        <v>12662</v>
      </c>
      <c r="L4847" t="s">
        <v>12942</v>
      </c>
      <c r="M4847" t="s">
        <v>210</v>
      </c>
      <c r="Q4847" t="s">
        <v>408</v>
      </c>
      <c r="R4847" t="s">
        <v>261</v>
      </c>
      <c r="S4847" t="s">
        <v>261</v>
      </c>
      <c r="T4847" t="s">
        <v>261</v>
      </c>
      <c r="U4847" t="s">
        <v>262</v>
      </c>
      <c r="V4847" t="s">
        <v>262</v>
      </c>
      <c r="W4847" t="s">
        <v>261</v>
      </c>
      <c r="X4847" t="s">
        <v>262</v>
      </c>
      <c r="Y4847" t="s">
        <v>261</v>
      </c>
      <c r="AB4847" t="s">
        <v>409</v>
      </c>
      <c r="AC4847" t="s">
        <v>409</v>
      </c>
      <c r="AD4847" t="s">
        <v>261</v>
      </c>
      <c r="AH4847" t="s">
        <v>262</v>
      </c>
      <c r="AI4847" t="s">
        <v>262</v>
      </c>
      <c r="AJ4847" t="s">
        <v>261</v>
      </c>
      <c r="AK4847" t="s">
        <v>261</v>
      </c>
      <c r="AM4847" t="s">
        <v>262</v>
      </c>
      <c r="AN4847" t="s">
        <v>12943</v>
      </c>
    </row>
    <row r="4848" spans="1:40" x14ac:dyDescent="0.35">
      <c r="A4848">
        <v>7101008</v>
      </c>
      <c r="B4848" t="s">
        <v>12944</v>
      </c>
      <c r="C4848" t="str">
        <f>"9783428052240"</f>
        <v>9783428052240</v>
      </c>
      <c r="D4848" t="str">
        <f>"9783428452248"</f>
        <v>9783428452248</v>
      </c>
      <c r="E4848" t="s">
        <v>12661</v>
      </c>
      <c r="F4848" t="s">
        <v>12661</v>
      </c>
      <c r="G4848" s="1">
        <v>44792</v>
      </c>
      <c r="H4848" s="1">
        <v>44840</v>
      </c>
      <c r="I4848" t="s">
        <v>189</v>
      </c>
      <c r="J4848">
        <v>1</v>
      </c>
      <c r="K4848" t="s">
        <v>12662</v>
      </c>
      <c r="L4848" t="s">
        <v>12919</v>
      </c>
      <c r="M4848" t="s">
        <v>210</v>
      </c>
      <c r="Q4848" t="s">
        <v>408</v>
      </c>
      <c r="R4848" t="s">
        <v>261</v>
      </c>
      <c r="S4848" t="s">
        <v>261</v>
      </c>
      <c r="T4848" t="s">
        <v>261</v>
      </c>
      <c r="U4848" t="s">
        <v>262</v>
      </c>
      <c r="V4848" t="s">
        <v>262</v>
      </c>
      <c r="W4848" t="s">
        <v>261</v>
      </c>
      <c r="X4848" t="s">
        <v>262</v>
      </c>
      <c r="Y4848" t="s">
        <v>261</v>
      </c>
      <c r="AB4848" t="s">
        <v>409</v>
      </c>
      <c r="AC4848" t="s">
        <v>409</v>
      </c>
      <c r="AD4848" t="s">
        <v>261</v>
      </c>
      <c r="AH4848" t="s">
        <v>262</v>
      </c>
      <c r="AI4848" t="s">
        <v>262</v>
      </c>
      <c r="AJ4848" t="s">
        <v>261</v>
      </c>
      <c r="AK4848" t="s">
        <v>261</v>
      </c>
      <c r="AM4848" t="s">
        <v>262</v>
      </c>
      <c r="AN4848" t="s">
        <v>12945</v>
      </c>
    </row>
    <row r="4849" spans="1:40" x14ac:dyDescent="0.35">
      <c r="A4849">
        <v>7101009</v>
      </c>
      <c r="B4849" t="s">
        <v>12946</v>
      </c>
      <c r="C4849" t="str">
        <f>"9783428052295"</f>
        <v>9783428052295</v>
      </c>
      <c r="D4849" t="str">
        <f>"9783428452293"</f>
        <v>9783428452293</v>
      </c>
      <c r="E4849" t="s">
        <v>12661</v>
      </c>
      <c r="F4849" t="s">
        <v>12661</v>
      </c>
      <c r="G4849" s="1">
        <v>44792</v>
      </c>
      <c r="H4849" s="1">
        <v>44840</v>
      </c>
      <c r="I4849" t="s">
        <v>189</v>
      </c>
      <c r="J4849">
        <v>1</v>
      </c>
      <c r="K4849" t="s">
        <v>12662</v>
      </c>
      <c r="L4849" t="s">
        <v>12894</v>
      </c>
      <c r="M4849" t="s">
        <v>282</v>
      </c>
    </row>
    <row r="4850" spans="1:40" x14ac:dyDescent="0.35">
      <c r="A4850">
        <v>7101010</v>
      </c>
      <c r="B4850" t="s">
        <v>12947</v>
      </c>
      <c r="C4850" t="str">
        <f>"9783428052561"</f>
        <v>9783428052561</v>
      </c>
      <c r="D4850" t="str">
        <f>"9783428452569"</f>
        <v>9783428452569</v>
      </c>
      <c r="E4850" t="s">
        <v>12661</v>
      </c>
      <c r="F4850" t="s">
        <v>12661</v>
      </c>
      <c r="G4850" s="1">
        <v>44792</v>
      </c>
      <c r="H4850" s="1">
        <v>44840</v>
      </c>
      <c r="I4850" t="s">
        <v>189</v>
      </c>
      <c r="J4850">
        <v>1</v>
      </c>
      <c r="K4850" t="s">
        <v>12662</v>
      </c>
      <c r="L4850" t="s">
        <v>12900</v>
      </c>
      <c r="M4850" t="s">
        <v>282</v>
      </c>
      <c r="Q4850" t="s">
        <v>408</v>
      </c>
      <c r="R4850" t="s">
        <v>261</v>
      </c>
      <c r="S4850" t="s">
        <v>261</v>
      </c>
      <c r="T4850" t="s">
        <v>261</v>
      </c>
      <c r="U4850" t="s">
        <v>262</v>
      </c>
      <c r="V4850" t="s">
        <v>262</v>
      </c>
      <c r="W4850" t="s">
        <v>261</v>
      </c>
      <c r="X4850" t="s">
        <v>262</v>
      </c>
      <c r="Y4850" t="s">
        <v>261</v>
      </c>
      <c r="AB4850" t="s">
        <v>409</v>
      </c>
      <c r="AC4850" t="s">
        <v>409</v>
      </c>
      <c r="AD4850" t="s">
        <v>261</v>
      </c>
      <c r="AH4850" t="s">
        <v>262</v>
      </c>
      <c r="AI4850" t="s">
        <v>262</v>
      </c>
      <c r="AJ4850" t="s">
        <v>261</v>
      </c>
      <c r="AK4850" t="s">
        <v>261</v>
      </c>
      <c r="AM4850" t="s">
        <v>262</v>
      </c>
      <c r="AN4850" t="s">
        <v>12948</v>
      </c>
    </row>
    <row r="4851" spans="1:40" x14ac:dyDescent="0.35">
      <c r="A4851">
        <v>7101011</v>
      </c>
      <c r="B4851" t="s">
        <v>12949</v>
      </c>
      <c r="C4851" t="str">
        <f>"9783428052776"</f>
        <v>9783428052776</v>
      </c>
      <c r="D4851" t="str">
        <f>"9783428452774"</f>
        <v>9783428452774</v>
      </c>
      <c r="E4851" t="s">
        <v>12661</v>
      </c>
      <c r="F4851" t="s">
        <v>12661</v>
      </c>
      <c r="G4851" s="1">
        <v>44813</v>
      </c>
      <c r="H4851" s="1">
        <v>44840</v>
      </c>
      <c r="I4851" t="s">
        <v>189</v>
      </c>
      <c r="J4851">
        <v>1</v>
      </c>
      <c r="K4851" t="s">
        <v>12662</v>
      </c>
      <c r="L4851" t="s">
        <v>12950</v>
      </c>
      <c r="M4851" t="s">
        <v>210</v>
      </c>
    </row>
    <row r="4852" spans="1:40" x14ac:dyDescent="0.35">
      <c r="A4852">
        <v>7101012</v>
      </c>
      <c r="B4852" t="s">
        <v>12951</v>
      </c>
      <c r="C4852" t="str">
        <f>"9783428053230"</f>
        <v>9783428053230</v>
      </c>
      <c r="D4852" t="str">
        <f>"9783428453238"</f>
        <v>9783428453238</v>
      </c>
      <c r="E4852" t="s">
        <v>12661</v>
      </c>
      <c r="F4852" t="s">
        <v>12661</v>
      </c>
      <c r="G4852" s="1">
        <v>44792</v>
      </c>
      <c r="H4852" s="1">
        <v>44840</v>
      </c>
      <c r="I4852" t="s">
        <v>189</v>
      </c>
      <c r="J4852">
        <v>1</v>
      </c>
      <c r="K4852" t="s">
        <v>12662</v>
      </c>
      <c r="L4852" t="s">
        <v>12926</v>
      </c>
      <c r="M4852" t="s">
        <v>210</v>
      </c>
      <c r="Q4852" t="s">
        <v>408</v>
      </c>
      <c r="R4852" t="s">
        <v>261</v>
      </c>
      <c r="S4852" t="s">
        <v>261</v>
      </c>
      <c r="T4852" t="s">
        <v>261</v>
      </c>
      <c r="U4852" t="s">
        <v>262</v>
      </c>
      <c r="V4852" t="s">
        <v>262</v>
      </c>
      <c r="W4852" t="s">
        <v>261</v>
      </c>
      <c r="X4852" t="s">
        <v>262</v>
      </c>
      <c r="Y4852" t="s">
        <v>261</v>
      </c>
      <c r="AB4852" t="s">
        <v>409</v>
      </c>
      <c r="AC4852" t="s">
        <v>409</v>
      </c>
      <c r="AD4852" t="s">
        <v>261</v>
      </c>
      <c r="AH4852" t="s">
        <v>262</v>
      </c>
      <c r="AI4852" t="s">
        <v>262</v>
      </c>
      <c r="AJ4852" t="s">
        <v>261</v>
      </c>
      <c r="AK4852" t="s">
        <v>261</v>
      </c>
      <c r="AM4852" t="s">
        <v>262</v>
      </c>
      <c r="AN4852" t="s">
        <v>12952</v>
      </c>
    </row>
    <row r="4853" spans="1:40" x14ac:dyDescent="0.35">
      <c r="A4853">
        <v>7101013</v>
      </c>
      <c r="B4853" t="s">
        <v>12953</v>
      </c>
      <c r="C4853" t="str">
        <f>"9783428053308"</f>
        <v>9783428053308</v>
      </c>
      <c r="D4853" t="str">
        <f>"9783428453306"</f>
        <v>9783428453306</v>
      </c>
      <c r="E4853" t="s">
        <v>12661</v>
      </c>
      <c r="F4853" t="s">
        <v>12661</v>
      </c>
      <c r="G4853" s="1">
        <v>44792</v>
      </c>
      <c r="H4853" s="1">
        <v>44840</v>
      </c>
      <c r="I4853" t="s">
        <v>189</v>
      </c>
      <c r="J4853">
        <v>1</v>
      </c>
      <c r="K4853" t="s">
        <v>12662</v>
      </c>
      <c r="L4853" t="s">
        <v>12954</v>
      </c>
      <c r="M4853" t="s">
        <v>210</v>
      </c>
      <c r="Q4853" t="s">
        <v>408</v>
      </c>
      <c r="R4853" t="s">
        <v>261</v>
      </c>
      <c r="S4853" t="s">
        <v>261</v>
      </c>
      <c r="T4853" t="s">
        <v>261</v>
      </c>
      <c r="U4853" t="s">
        <v>262</v>
      </c>
      <c r="V4853" t="s">
        <v>262</v>
      </c>
      <c r="W4853" t="s">
        <v>261</v>
      </c>
      <c r="X4853" t="s">
        <v>262</v>
      </c>
      <c r="Y4853" t="s">
        <v>261</v>
      </c>
      <c r="AB4853" t="s">
        <v>409</v>
      </c>
      <c r="AC4853" t="s">
        <v>409</v>
      </c>
      <c r="AD4853" t="s">
        <v>261</v>
      </c>
      <c r="AH4853" t="s">
        <v>262</v>
      </c>
      <c r="AI4853" t="s">
        <v>262</v>
      </c>
      <c r="AJ4853" t="s">
        <v>261</v>
      </c>
      <c r="AK4853" t="s">
        <v>261</v>
      </c>
      <c r="AM4853" t="s">
        <v>262</v>
      </c>
      <c r="AN4853" t="s">
        <v>12955</v>
      </c>
    </row>
    <row r="4854" spans="1:40" x14ac:dyDescent="0.35">
      <c r="A4854">
        <v>7101014</v>
      </c>
      <c r="B4854" t="s">
        <v>12956</v>
      </c>
      <c r="C4854" t="str">
        <f>"9783428053933"</f>
        <v>9783428053933</v>
      </c>
      <c r="D4854" t="str">
        <f>"9783428453931"</f>
        <v>9783428453931</v>
      </c>
      <c r="E4854" t="s">
        <v>12661</v>
      </c>
      <c r="F4854" t="s">
        <v>12661</v>
      </c>
      <c r="G4854" s="1">
        <v>44792</v>
      </c>
      <c r="H4854" s="1">
        <v>44840</v>
      </c>
      <c r="I4854" t="s">
        <v>189</v>
      </c>
      <c r="J4854">
        <v>1</v>
      </c>
      <c r="K4854" t="s">
        <v>12662</v>
      </c>
      <c r="L4854" t="s">
        <v>12919</v>
      </c>
      <c r="M4854" t="s">
        <v>210</v>
      </c>
      <c r="Q4854" t="s">
        <v>408</v>
      </c>
      <c r="R4854" t="s">
        <v>261</v>
      </c>
      <c r="S4854" t="s">
        <v>261</v>
      </c>
      <c r="T4854" t="s">
        <v>261</v>
      </c>
      <c r="U4854" t="s">
        <v>262</v>
      </c>
      <c r="V4854" t="s">
        <v>262</v>
      </c>
      <c r="W4854" t="s">
        <v>261</v>
      </c>
      <c r="X4854" t="s">
        <v>262</v>
      </c>
      <c r="Y4854" t="s">
        <v>261</v>
      </c>
      <c r="AB4854" t="s">
        <v>409</v>
      </c>
      <c r="AC4854" t="s">
        <v>409</v>
      </c>
      <c r="AD4854" t="s">
        <v>261</v>
      </c>
      <c r="AH4854" t="s">
        <v>262</v>
      </c>
      <c r="AI4854" t="s">
        <v>262</v>
      </c>
      <c r="AJ4854" t="s">
        <v>261</v>
      </c>
      <c r="AK4854" t="s">
        <v>261</v>
      </c>
      <c r="AM4854" t="s">
        <v>262</v>
      </c>
      <c r="AN4854" t="s">
        <v>12957</v>
      </c>
    </row>
    <row r="4855" spans="1:40" x14ac:dyDescent="0.35">
      <c r="A4855">
        <v>7101015</v>
      </c>
      <c r="B4855" t="s">
        <v>12958</v>
      </c>
      <c r="C4855" t="str">
        <f>"9783428054190"</f>
        <v>9783428054190</v>
      </c>
      <c r="D4855" t="str">
        <f>"9783428454198"</f>
        <v>9783428454198</v>
      </c>
      <c r="E4855" t="s">
        <v>12661</v>
      </c>
      <c r="F4855" t="s">
        <v>12661</v>
      </c>
      <c r="G4855" s="1">
        <v>44792</v>
      </c>
      <c r="H4855" s="1">
        <v>44840</v>
      </c>
      <c r="I4855" t="s">
        <v>189</v>
      </c>
      <c r="J4855">
        <v>1</v>
      </c>
      <c r="K4855" t="s">
        <v>12662</v>
      </c>
      <c r="L4855" t="s">
        <v>12959</v>
      </c>
      <c r="M4855" t="s">
        <v>282</v>
      </c>
    </row>
    <row r="4856" spans="1:40" x14ac:dyDescent="0.35">
      <c r="A4856">
        <v>7101016</v>
      </c>
      <c r="B4856" t="s">
        <v>12960</v>
      </c>
      <c r="C4856" t="str">
        <f>"9783428054732"</f>
        <v>9783428054732</v>
      </c>
      <c r="D4856" t="str">
        <f>"9783428454730"</f>
        <v>9783428454730</v>
      </c>
      <c r="E4856" t="s">
        <v>12661</v>
      </c>
      <c r="F4856" t="s">
        <v>12661</v>
      </c>
      <c r="G4856" s="1">
        <v>44792</v>
      </c>
      <c r="H4856" s="1">
        <v>44840</v>
      </c>
      <c r="I4856" t="s">
        <v>189</v>
      </c>
      <c r="J4856">
        <v>1</v>
      </c>
      <c r="K4856" t="s">
        <v>12662</v>
      </c>
      <c r="L4856" t="s">
        <v>12950</v>
      </c>
      <c r="M4856" t="s">
        <v>249</v>
      </c>
      <c r="Q4856" t="s">
        <v>408</v>
      </c>
      <c r="R4856" t="s">
        <v>261</v>
      </c>
      <c r="S4856" t="s">
        <v>261</v>
      </c>
      <c r="T4856" t="s">
        <v>261</v>
      </c>
      <c r="U4856" t="s">
        <v>262</v>
      </c>
      <c r="V4856" t="s">
        <v>262</v>
      </c>
      <c r="W4856" t="s">
        <v>261</v>
      </c>
      <c r="X4856" t="s">
        <v>262</v>
      </c>
      <c r="Y4856" t="s">
        <v>261</v>
      </c>
      <c r="AB4856" t="s">
        <v>409</v>
      </c>
      <c r="AC4856" t="s">
        <v>409</v>
      </c>
      <c r="AD4856" t="s">
        <v>261</v>
      </c>
      <c r="AH4856" t="s">
        <v>262</v>
      </c>
      <c r="AI4856" t="s">
        <v>262</v>
      </c>
      <c r="AJ4856" t="s">
        <v>261</v>
      </c>
      <c r="AK4856" t="s">
        <v>261</v>
      </c>
      <c r="AM4856" t="s">
        <v>262</v>
      </c>
      <c r="AN4856" t="s">
        <v>12961</v>
      </c>
    </row>
    <row r="4857" spans="1:40" x14ac:dyDescent="0.35">
      <c r="A4857">
        <v>7101017</v>
      </c>
      <c r="B4857" t="s">
        <v>12962</v>
      </c>
      <c r="C4857" t="str">
        <f>"9783428054206"</f>
        <v>9783428054206</v>
      </c>
      <c r="D4857" t="str">
        <f>"9783428454204"</f>
        <v>9783428454204</v>
      </c>
      <c r="E4857" t="s">
        <v>12661</v>
      </c>
      <c r="F4857" t="s">
        <v>12661</v>
      </c>
      <c r="G4857" s="1">
        <v>44792</v>
      </c>
      <c r="H4857" s="1">
        <v>44840</v>
      </c>
      <c r="I4857" t="s">
        <v>189</v>
      </c>
      <c r="J4857">
        <v>1</v>
      </c>
      <c r="K4857" t="s">
        <v>12662</v>
      </c>
      <c r="L4857" t="s">
        <v>12963</v>
      </c>
      <c r="M4857" t="s">
        <v>210</v>
      </c>
    </row>
    <row r="4858" spans="1:40" x14ac:dyDescent="0.35">
      <c r="A4858">
        <v>7101018</v>
      </c>
      <c r="B4858" t="s">
        <v>12964</v>
      </c>
      <c r="C4858" t="str">
        <f>"9783428055302"</f>
        <v>9783428055302</v>
      </c>
      <c r="D4858" t="str">
        <f>"9783428455300"</f>
        <v>9783428455300</v>
      </c>
      <c r="E4858" t="s">
        <v>12661</v>
      </c>
      <c r="F4858" t="s">
        <v>12661</v>
      </c>
      <c r="G4858" s="1">
        <v>44792</v>
      </c>
      <c r="H4858" s="1">
        <v>44840</v>
      </c>
      <c r="I4858" t="s">
        <v>189</v>
      </c>
      <c r="J4858">
        <v>1</v>
      </c>
      <c r="K4858" t="s">
        <v>12662</v>
      </c>
      <c r="L4858" t="s">
        <v>12965</v>
      </c>
    </row>
    <row r="4859" spans="1:40" x14ac:dyDescent="0.35">
      <c r="A4859">
        <v>7101019</v>
      </c>
      <c r="B4859" t="s">
        <v>12966</v>
      </c>
      <c r="C4859" t="str">
        <f>"9783428056040"</f>
        <v>9783428056040</v>
      </c>
      <c r="D4859" t="str">
        <f>"9783428456048"</f>
        <v>9783428456048</v>
      </c>
      <c r="E4859" t="s">
        <v>12661</v>
      </c>
      <c r="F4859" t="s">
        <v>12661</v>
      </c>
      <c r="G4859" s="1">
        <v>44792</v>
      </c>
      <c r="H4859" s="1">
        <v>44840</v>
      </c>
      <c r="I4859" t="s">
        <v>189</v>
      </c>
      <c r="J4859">
        <v>1</v>
      </c>
      <c r="K4859" t="s">
        <v>12662</v>
      </c>
      <c r="L4859" t="s">
        <v>12911</v>
      </c>
    </row>
    <row r="4860" spans="1:40" x14ac:dyDescent="0.35">
      <c r="A4860">
        <v>7101020</v>
      </c>
      <c r="B4860" t="s">
        <v>12967</v>
      </c>
      <c r="C4860" t="str">
        <f>"9783428056224"</f>
        <v>9783428056224</v>
      </c>
      <c r="D4860" t="str">
        <f>"9783428456222"</f>
        <v>9783428456222</v>
      </c>
      <c r="E4860" t="s">
        <v>12661</v>
      </c>
      <c r="F4860" t="s">
        <v>12661</v>
      </c>
      <c r="G4860" s="1">
        <v>44792</v>
      </c>
      <c r="H4860" s="1">
        <v>44840</v>
      </c>
      <c r="I4860" t="s">
        <v>189</v>
      </c>
      <c r="J4860">
        <v>1</v>
      </c>
      <c r="K4860" t="s">
        <v>12662</v>
      </c>
      <c r="L4860" t="s">
        <v>12968</v>
      </c>
      <c r="M4860" t="s">
        <v>389</v>
      </c>
    </row>
    <row r="4861" spans="1:40" x14ac:dyDescent="0.35">
      <c r="A4861">
        <v>7101021</v>
      </c>
      <c r="B4861" t="s">
        <v>12969</v>
      </c>
      <c r="C4861" t="str">
        <f>"9783428056262"</f>
        <v>9783428056262</v>
      </c>
      <c r="D4861" t="str">
        <f>"9783428456260"</f>
        <v>9783428456260</v>
      </c>
      <c r="E4861" t="s">
        <v>12661</v>
      </c>
      <c r="F4861" t="s">
        <v>12661</v>
      </c>
      <c r="G4861" s="1">
        <v>44792</v>
      </c>
      <c r="H4861" s="1">
        <v>44840</v>
      </c>
      <c r="I4861" t="s">
        <v>189</v>
      </c>
      <c r="J4861">
        <v>1</v>
      </c>
      <c r="K4861" t="s">
        <v>12662</v>
      </c>
      <c r="L4861" t="s">
        <v>12970</v>
      </c>
      <c r="M4861" t="s">
        <v>282</v>
      </c>
      <c r="Q4861" t="s">
        <v>408</v>
      </c>
      <c r="R4861" t="s">
        <v>261</v>
      </c>
      <c r="S4861" t="s">
        <v>261</v>
      </c>
      <c r="T4861" t="s">
        <v>261</v>
      </c>
      <c r="U4861" t="s">
        <v>262</v>
      </c>
      <c r="V4861" t="s">
        <v>262</v>
      </c>
      <c r="W4861" t="s">
        <v>261</v>
      </c>
      <c r="X4861" t="s">
        <v>262</v>
      </c>
      <c r="Y4861" t="s">
        <v>261</v>
      </c>
      <c r="AB4861" t="s">
        <v>409</v>
      </c>
      <c r="AC4861" t="s">
        <v>409</v>
      </c>
      <c r="AD4861" t="s">
        <v>261</v>
      </c>
      <c r="AH4861" t="s">
        <v>262</v>
      </c>
      <c r="AI4861" t="s">
        <v>262</v>
      </c>
      <c r="AJ4861" t="s">
        <v>261</v>
      </c>
      <c r="AK4861" t="s">
        <v>261</v>
      </c>
      <c r="AM4861" t="s">
        <v>262</v>
      </c>
      <c r="AN4861" t="s">
        <v>12971</v>
      </c>
    </row>
    <row r="4862" spans="1:40" x14ac:dyDescent="0.35">
      <c r="A4862">
        <v>7101022</v>
      </c>
      <c r="B4862" t="s">
        <v>12972</v>
      </c>
      <c r="C4862" t="str">
        <f>"9783428056484"</f>
        <v>9783428056484</v>
      </c>
      <c r="D4862" t="str">
        <f>"9783428456482"</f>
        <v>9783428456482</v>
      </c>
      <c r="E4862" t="s">
        <v>12661</v>
      </c>
      <c r="F4862" t="s">
        <v>12661</v>
      </c>
      <c r="G4862" s="1">
        <v>44792</v>
      </c>
      <c r="H4862" s="1">
        <v>44840</v>
      </c>
      <c r="I4862" t="s">
        <v>189</v>
      </c>
      <c r="J4862">
        <v>1</v>
      </c>
      <c r="K4862" t="s">
        <v>12662</v>
      </c>
      <c r="L4862" t="s">
        <v>12973</v>
      </c>
      <c r="M4862" t="s">
        <v>210</v>
      </c>
      <c r="Q4862" t="s">
        <v>408</v>
      </c>
      <c r="R4862" t="s">
        <v>261</v>
      </c>
      <c r="S4862" t="s">
        <v>261</v>
      </c>
      <c r="T4862" t="s">
        <v>261</v>
      </c>
      <c r="U4862" t="s">
        <v>262</v>
      </c>
      <c r="V4862" t="s">
        <v>262</v>
      </c>
      <c r="W4862" t="s">
        <v>261</v>
      </c>
      <c r="X4862" t="s">
        <v>262</v>
      </c>
      <c r="Y4862" t="s">
        <v>261</v>
      </c>
      <c r="AB4862" t="s">
        <v>409</v>
      </c>
      <c r="AC4862" t="s">
        <v>409</v>
      </c>
      <c r="AD4862" t="s">
        <v>261</v>
      </c>
      <c r="AH4862" t="s">
        <v>262</v>
      </c>
      <c r="AI4862" t="s">
        <v>262</v>
      </c>
      <c r="AJ4862" t="s">
        <v>261</v>
      </c>
      <c r="AK4862" t="s">
        <v>261</v>
      </c>
      <c r="AM4862" t="s">
        <v>262</v>
      </c>
      <c r="AN4862" t="s">
        <v>12974</v>
      </c>
    </row>
    <row r="4863" spans="1:40" x14ac:dyDescent="0.35">
      <c r="A4863">
        <v>7101023</v>
      </c>
      <c r="B4863" t="s">
        <v>12975</v>
      </c>
      <c r="C4863" t="str">
        <f>"9783428056590"</f>
        <v>9783428056590</v>
      </c>
      <c r="D4863" t="str">
        <f>"9783428456598"</f>
        <v>9783428456598</v>
      </c>
      <c r="E4863" t="s">
        <v>12661</v>
      </c>
      <c r="F4863" t="s">
        <v>12661</v>
      </c>
      <c r="G4863" s="1">
        <v>44792</v>
      </c>
      <c r="H4863" s="1">
        <v>44840</v>
      </c>
      <c r="I4863" t="s">
        <v>189</v>
      </c>
      <c r="J4863">
        <v>1</v>
      </c>
      <c r="K4863" t="s">
        <v>12662</v>
      </c>
      <c r="L4863" t="s">
        <v>12976</v>
      </c>
      <c r="M4863" t="s">
        <v>249</v>
      </c>
      <c r="Q4863" t="s">
        <v>408</v>
      </c>
      <c r="R4863" t="s">
        <v>261</v>
      </c>
      <c r="S4863" t="s">
        <v>261</v>
      </c>
      <c r="T4863" t="s">
        <v>261</v>
      </c>
      <c r="U4863" t="s">
        <v>262</v>
      </c>
      <c r="V4863" t="s">
        <v>262</v>
      </c>
      <c r="W4863" t="s">
        <v>261</v>
      </c>
      <c r="X4863" t="s">
        <v>262</v>
      </c>
      <c r="Y4863" t="s">
        <v>261</v>
      </c>
      <c r="AB4863" t="s">
        <v>409</v>
      </c>
      <c r="AC4863" t="s">
        <v>409</v>
      </c>
      <c r="AD4863" t="s">
        <v>261</v>
      </c>
      <c r="AH4863" t="s">
        <v>262</v>
      </c>
      <c r="AI4863" t="s">
        <v>262</v>
      </c>
      <c r="AJ4863" t="s">
        <v>261</v>
      </c>
      <c r="AK4863" t="s">
        <v>261</v>
      </c>
      <c r="AM4863" t="s">
        <v>262</v>
      </c>
      <c r="AN4863" t="s">
        <v>12977</v>
      </c>
    </row>
    <row r="4864" spans="1:40" x14ac:dyDescent="0.35">
      <c r="A4864">
        <v>7101024</v>
      </c>
      <c r="B4864" t="s">
        <v>12978</v>
      </c>
      <c r="C4864" t="str">
        <f>"9783428056811"</f>
        <v>9783428056811</v>
      </c>
      <c r="D4864" t="str">
        <f>"9783428456819"</f>
        <v>9783428456819</v>
      </c>
      <c r="E4864" t="s">
        <v>12661</v>
      </c>
      <c r="F4864" t="s">
        <v>12661</v>
      </c>
      <c r="G4864" s="1">
        <v>44792</v>
      </c>
      <c r="H4864" s="1">
        <v>44840</v>
      </c>
      <c r="I4864" t="s">
        <v>189</v>
      </c>
      <c r="J4864">
        <v>1</v>
      </c>
      <c r="K4864" t="s">
        <v>12662</v>
      </c>
      <c r="L4864" t="s">
        <v>12950</v>
      </c>
      <c r="M4864" t="s">
        <v>249</v>
      </c>
      <c r="Q4864" t="s">
        <v>408</v>
      </c>
      <c r="R4864" t="s">
        <v>261</v>
      </c>
      <c r="S4864" t="s">
        <v>261</v>
      </c>
      <c r="T4864" t="s">
        <v>261</v>
      </c>
      <c r="U4864" t="s">
        <v>262</v>
      </c>
      <c r="V4864" t="s">
        <v>262</v>
      </c>
      <c r="W4864" t="s">
        <v>261</v>
      </c>
      <c r="X4864" t="s">
        <v>262</v>
      </c>
      <c r="Y4864" t="s">
        <v>261</v>
      </c>
      <c r="AB4864" t="s">
        <v>409</v>
      </c>
      <c r="AC4864" t="s">
        <v>409</v>
      </c>
      <c r="AD4864" t="s">
        <v>261</v>
      </c>
      <c r="AH4864" t="s">
        <v>262</v>
      </c>
      <c r="AI4864" t="s">
        <v>262</v>
      </c>
      <c r="AJ4864" t="s">
        <v>261</v>
      </c>
      <c r="AK4864" t="s">
        <v>261</v>
      </c>
      <c r="AM4864" t="s">
        <v>262</v>
      </c>
      <c r="AN4864" t="s">
        <v>12979</v>
      </c>
    </row>
    <row r="4865" spans="1:40" x14ac:dyDescent="0.35">
      <c r="A4865">
        <v>7101025</v>
      </c>
      <c r="B4865" t="s">
        <v>12980</v>
      </c>
      <c r="C4865" t="str">
        <f>"9783428057603"</f>
        <v>9783428057603</v>
      </c>
      <c r="D4865" t="str">
        <f>"9783428457601"</f>
        <v>9783428457601</v>
      </c>
      <c r="E4865" t="s">
        <v>12661</v>
      </c>
      <c r="F4865" t="s">
        <v>12661</v>
      </c>
      <c r="G4865" s="1">
        <v>44792</v>
      </c>
      <c r="H4865" s="1">
        <v>44840</v>
      </c>
      <c r="I4865" t="s">
        <v>189</v>
      </c>
      <c r="J4865">
        <v>1</v>
      </c>
      <c r="K4865" t="s">
        <v>12662</v>
      </c>
      <c r="L4865" t="s">
        <v>12959</v>
      </c>
      <c r="M4865" t="s">
        <v>282</v>
      </c>
    </row>
    <row r="4866" spans="1:40" x14ac:dyDescent="0.35">
      <c r="A4866">
        <v>7101026</v>
      </c>
      <c r="B4866" t="s">
        <v>12981</v>
      </c>
      <c r="C4866" t="str">
        <f>"9783428057726"</f>
        <v>9783428057726</v>
      </c>
      <c r="D4866" t="str">
        <f>"9783428457724"</f>
        <v>9783428457724</v>
      </c>
      <c r="E4866" t="s">
        <v>12661</v>
      </c>
      <c r="F4866" t="s">
        <v>12661</v>
      </c>
      <c r="G4866" s="1">
        <v>43518</v>
      </c>
      <c r="H4866" s="1">
        <v>44845</v>
      </c>
      <c r="I4866" t="s">
        <v>189</v>
      </c>
      <c r="J4866">
        <v>1</v>
      </c>
      <c r="K4866" t="s">
        <v>12732</v>
      </c>
      <c r="L4866" t="s">
        <v>12982</v>
      </c>
      <c r="M4866" t="s">
        <v>3871</v>
      </c>
    </row>
    <row r="4867" spans="1:40" x14ac:dyDescent="0.35">
      <c r="A4867">
        <v>7101027</v>
      </c>
      <c r="B4867" t="s">
        <v>12983</v>
      </c>
      <c r="C4867" t="str">
        <f>"9783428058433"</f>
        <v>9783428058433</v>
      </c>
      <c r="D4867" t="str">
        <f>"9783428458431"</f>
        <v>9783428458431</v>
      </c>
      <c r="E4867" t="s">
        <v>12661</v>
      </c>
      <c r="F4867" t="s">
        <v>12661</v>
      </c>
      <c r="G4867" s="1">
        <v>43518</v>
      </c>
      <c r="H4867" s="1">
        <v>44845</v>
      </c>
      <c r="I4867" t="s">
        <v>189</v>
      </c>
      <c r="J4867">
        <v>1</v>
      </c>
      <c r="K4867" t="s">
        <v>12732</v>
      </c>
      <c r="L4867" t="s">
        <v>12984</v>
      </c>
      <c r="M4867" t="s">
        <v>210</v>
      </c>
      <c r="Q4867" t="s">
        <v>408</v>
      </c>
      <c r="R4867" t="s">
        <v>261</v>
      </c>
      <c r="S4867" t="s">
        <v>261</v>
      </c>
      <c r="T4867" t="s">
        <v>261</v>
      </c>
      <c r="U4867" t="s">
        <v>262</v>
      </c>
      <c r="V4867" t="s">
        <v>262</v>
      </c>
      <c r="W4867" t="s">
        <v>261</v>
      </c>
      <c r="X4867" t="s">
        <v>262</v>
      </c>
      <c r="Y4867" t="s">
        <v>261</v>
      </c>
      <c r="AB4867" t="s">
        <v>409</v>
      </c>
      <c r="AC4867" t="s">
        <v>409</v>
      </c>
      <c r="AD4867" t="s">
        <v>261</v>
      </c>
      <c r="AH4867" t="s">
        <v>262</v>
      </c>
      <c r="AI4867" t="s">
        <v>262</v>
      </c>
      <c r="AJ4867" t="s">
        <v>261</v>
      </c>
      <c r="AK4867" t="s">
        <v>261</v>
      </c>
      <c r="AM4867" t="s">
        <v>262</v>
      </c>
      <c r="AN4867" t="s">
        <v>12985</v>
      </c>
    </row>
    <row r="4868" spans="1:40" x14ac:dyDescent="0.35">
      <c r="A4868">
        <v>7101028</v>
      </c>
      <c r="B4868" t="s">
        <v>12986</v>
      </c>
      <c r="C4868" t="str">
        <f>"9783428058402"</f>
        <v>9783428058402</v>
      </c>
      <c r="D4868" t="str">
        <f>"9783428458400"</f>
        <v>9783428458400</v>
      </c>
      <c r="E4868" t="s">
        <v>12661</v>
      </c>
      <c r="F4868" t="s">
        <v>12661</v>
      </c>
      <c r="G4868" s="1">
        <v>44792</v>
      </c>
      <c r="H4868" s="1">
        <v>44840</v>
      </c>
      <c r="I4868" t="s">
        <v>189</v>
      </c>
      <c r="J4868">
        <v>1</v>
      </c>
      <c r="K4868" t="s">
        <v>12662</v>
      </c>
      <c r="L4868" t="s">
        <v>12987</v>
      </c>
      <c r="M4868" t="s">
        <v>210</v>
      </c>
      <c r="Q4868" t="s">
        <v>408</v>
      </c>
      <c r="R4868" t="s">
        <v>261</v>
      </c>
      <c r="S4868" t="s">
        <v>261</v>
      </c>
      <c r="T4868" t="s">
        <v>261</v>
      </c>
      <c r="U4868" t="s">
        <v>262</v>
      </c>
      <c r="V4868" t="s">
        <v>262</v>
      </c>
      <c r="W4868" t="s">
        <v>261</v>
      </c>
      <c r="X4868" t="s">
        <v>262</v>
      </c>
      <c r="Y4868" t="s">
        <v>261</v>
      </c>
      <c r="AB4868" t="s">
        <v>409</v>
      </c>
      <c r="AC4868" t="s">
        <v>409</v>
      </c>
      <c r="AD4868" t="s">
        <v>261</v>
      </c>
      <c r="AH4868" t="s">
        <v>262</v>
      </c>
      <c r="AI4868" t="s">
        <v>262</v>
      </c>
      <c r="AJ4868" t="s">
        <v>261</v>
      </c>
      <c r="AK4868" t="s">
        <v>261</v>
      </c>
      <c r="AM4868" t="s">
        <v>262</v>
      </c>
      <c r="AN4868" t="s">
        <v>12988</v>
      </c>
    </row>
    <row r="4869" spans="1:40" x14ac:dyDescent="0.35">
      <c r="A4869">
        <v>7101029</v>
      </c>
      <c r="B4869" t="s">
        <v>12989</v>
      </c>
      <c r="C4869" t="str">
        <f>"9783428059102"</f>
        <v>9783428059102</v>
      </c>
      <c r="D4869" t="str">
        <f>"9783428459100"</f>
        <v>9783428459100</v>
      </c>
      <c r="E4869" t="s">
        <v>12661</v>
      </c>
      <c r="F4869" t="s">
        <v>12661</v>
      </c>
      <c r="G4869" s="1">
        <v>44792</v>
      </c>
      <c r="H4869" s="1">
        <v>44840</v>
      </c>
      <c r="I4869" t="s">
        <v>189</v>
      </c>
      <c r="J4869">
        <v>1</v>
      </c>
      <c r="K4869" t="s">
        <v>12662</v>
      </c>
      <c r="L4869" t="s">
        <v>12990</v>
      </c>
      <c r="M4869" t="s">
        <v>329</v>
      </c>
    </row>
    <row r="4870" spans="1:40" x14ac:dyDescent="0.35">
      <c r="A4870">
        <v>7101030</v>
      </c>
      <c r="B4870" t="s">
        <v>12991</v>
      </c>
      <c r="C4870" t="str">
        <f>"9783428059225"</f>
        <v>9783428059225</v>
      </c>
      <c r="D4870" t="str">
        <f>"9783428459223"</f>
        <v>9783428459223</v>
      </c>
      <c r="E4870" t="s">
        <v>12661</v>
      </c>
      <c r="F4870" t="s">
        <v>12661</v>
      </c>
      <c r="G4870" s="1">
        <v>44792</v>
      </c>
      <c r="H4870" s="1">
        <v>44840</v>
      </c>
      <c r="I4870" t="s">
        <v>189</v>
      </c>
      <c r="J4870">
        <v>1</v>
      </c>
      <c r="K4870" t="s">
        <v>12662</v>
      </c>
      <c r="L4870" t="s">
        <v>12959</v>
      </c>
      <c r="M4870" t="s">
        <v>282</v>
      </c>
      <c r="Q4870" t="s">
        <v>408</v>
      </c>
      <c r="R4870" t="s">
        <v>261</v>
      </c>
      <c r="S4870" t="s">
        <v>261</v>
      </c>
      <c r="T4870" t="s">
        <v>261</v>
      </c>
      <c r="U4870" t="s">
        <v>262</v>
      </c>
      <c r="V4870" t="s">
        <v>262</v>
      </c>
      <c r="W4870" t="s">
        <v>261</v>
      </c>
      <c r="X4870" t="s">
        <v>262</v>
      </c>
      <c r="Y4870" t="s">
        <v>261</v>
      </c>
      <c r="AB4870" t="s">
        <v>409</v>
      </c>
      <c r="AC4870" t="s">
        <v>409</v>
      </c>
      <c r="AD4870" t="s">
        <v>261</v>
      </c>
      <c r="AH4870" t="s">
        <v>262</v>
      </c>
      <c r="AI4870" t="s">
        <v>262</v>
      </c>
      <c r="AJ4870" t="s">
        <v>261</v>
      </c>
      <c r="AK4870" t="s">
        <v>261</v>
      </c>
      <c r="AM4870" t="s">
        <v>262</v>
      </c>
      <c r="AN4870" t="s">
        <v>12992</v>
      </c>
    </row>
    <row r="4871" spans="1:40" x14ac:dyDescent="0.35">
      <c r="A4871">
        <v>7101031</v>
      </c>
      <c r="B4871" t="s">
        <v>12993</v>
      </c>
      <c r="C4871" t="str">
        <f>"9783428059232"</f>
        <v>9783428059232</v>
      </c>
      <c r="D4871" t="str">
        <f>"9783428459230"</f>
        <v>9783428459230</v>
      </c>
      <c r="E4871" t="s">
        <v>12661</v>
      </c>
      <c r="F4871" t="s">
        <v>12661</v>
      </c>
      <c r="G4871" s="1">
        <v>44792</v>
      </c>
      <c r="H4871" s="1">
        <v>44840</v>
      </c>
      <c r="I4871" t="s">
        <v>189</v>
      </c>
      <c r="J4871">
        <v>1</v>
      </c>
      <c r="K4871" t="s">
        <v>12662</v>
      </c>
      <c r="L4871" t="s">
        <v>12970</v>
      </c>
      <c r="M4871" t="s">
        <v>249</v>
      </c>
      <c r="Q4871" t="s">
        <v>408</v>
      </c>
      <c r="R4871" t="s">
        <v>261</v>
      </c>
      <c r="S4871" t="s">
        <v>261</v>
      </c>
      <c r="T4871" t="s">
        <v>261</v>
      </c>
      <c r="U4871" t="s">
        <v>262</v>
      </c>
      <c r="V4871" t="s">
        <v>262</v>
      </c>
      <c r="W4871" t="s">
        <v>261</v>
      </c>
      <c r="X4871" t="s">
        <v>262</v>
      </c>
      <c r="Y4871" t="s">
        <v>261</v>
      </c>
      <c r="AB4871" t="s">
        <v>409</v>
      </c>
      <c r="AC4871" t="s">
        <v>409</v>
      </c>
      <c r="AD4871" t="s">
        <v>261</v>
      </c>
      <c r="AH4871" t="s">
        <v>262</v>
      </c>
      <c r="AI4871" t="s">
        <v>262</v>
      </c>
      <c r="AJ4871" t="s">
        <v>261</v>
      </c>
      <c r="AK4871" t="s">
        <v>261</v>
      </c>
      <c r="AM4871" t="s">
        <v>262</v>
      </c>
      <c r="AN4871" t="s">
        <v>12994</v>
      </c>
    </row>
    <row r="4872" spans="1:40" x14ac:dyDescent="0.35">
      <c r="A4872">
        <v>7101032</v>
      </c>
      <c r="B4872" t="s">
        <v>12995</v>
      </c>
      <c r="C4872" t="str">
        <f>"9783428059249"</f>
        <v>9783428059249</v>
      </c>
      <c r="D4872" t="str">
        <f>"9783428459247"</f>
        <v>9783428459247</v>
      </c>
      <c r="E4872" t="s">
        <v>12661</v>
      </c>
      <c r="F4872" t="s">
        <v>12661</v>
      </c>
      <c r="G4872" s="1">
        <v>44792</v>
      </c>
      <c r="H4872" s="1">
        <v>44840</v>
      </c>
      <c r="I4872" t="s">
        <v>189</v>
      </c>
      <c r="J4872">
        <v>1</v>
      </c>
      <c r="K4872" t="s">
        <v>12662</v>
      </c>
      <c r="L4872" t="s">
        <v>12810</v>
      </c>
      <c r="M4872" t="s">
        <v>282</v>
      </c>
      <c r="Q4872" t="s">
        <v>408</v>
      </c>
      <c r="R4872" t="s">
        <v>261</v>
      </c>
      <c r="S4872" t="s">
        <v>261</v>
      </c>
      <c r="T4872" t="s">
        <v>261</v>
      </c>
      <c r="U4872" t="s">
        <v>262</v>
      </c>
      <c r="V4872" t="s">
        <v>262</v>
      </c>
      <c r="W4872" t="s">
        <v>261</v>
      </c>
      <c r="X4872" t="s">
        <v>262</v>
      </c>
      <c r="Y4872" t="s">
        <v>261</v>
      </c>
      <c r="AB4872" t="s">
        <v>409</v>
      </c>
      <c r="AC4872" t="s">
        <v>409</v>
      </c>
      <c r="AD4872" t="s">
        <v>261</v>
      </c>
      <c r="AH4872" t="s">
        <v>262</v>
      </c>
      <c r="AI4872" t="s">
        <v>262</v>
      </c>
      <c r="AJ4872" t="s">
        <v>261</v>
      </c>
      <c r="AK4872" t="s">
        <v>261</v>
      </c>
      <c r="AM4872" t="s">
        <v>262</v>
      </c>
      <c r="AN4872" t="s">
        <v>12996</v>
      </c>
    </row>
    <row r="4873" spans="1:40" x14ac:dyDescent="0.35">
      <c r="A4873">
        <v>7101033</v>
      </c>
      <c r="B4873" t="s">
        <v>12997</v>
      </c>
      <c r="C4873" t="str">
        <f>"9783428059492"</f>
        <v>9783428059492</v>
      </c>
      <c r="D4873" t="str">
        <f>"9783428459490"</f>
        <v>9783428459490</v>
      </c>
      <c r="E4873" t="s">
        <v>12661</v>
      </c>
      <c r="F4873" t="s">
        <v>12661</v>
      </c>
      <c r="G4873" s="1">
        <v>44792</v>
      </c>
      <c r="H4873" s="1">
        <v>44840</v>
      </c>
      <c r="I4873" t="s">
        <v>189</v>
      </c>
      <c r="J4873">
        <v>1</v>
      </c>
      <c r="K4873" t="s">
        <v>12662</v>
      </c>
      <c r="L4873" t="s">
        <v>12973</v>
      </c>
      <c r="M4873" t="s">
        <v>210</v>
      </c>
      <c r="Q4873" t="s">
        <v>408</v>
      </c>
      <c r="R4873" t="s">
        <v>261</v>
      </c>
      <c r="S4873" t="s">
        <v>261</v>
      </c>
      <c r="T4873" t="s">
        <v>261</v>
      </c>
      <c r="U4873" t="s">
        <v>262</v>
      </c>
      <c r="V4873" t="s">
        <v>262</v>
      </c>
      <c r="W4873" t="s">
        <v>261</v>
      </c>
      <c r="X4873" t="s">
        <v>262</v>
      </c>
      <c r="Y4873" t="s">
        <v>261</v>
      </c>
      <c r="AB4873" t="s">
        <v>409</v>
      </c>
      <c r="AC4873" t="s">
        <v>409</v>
      </c>
      <c r="AD4873" t="s">
        <v>261</v>
      </c>
      <c r="AH4873" t="s">
        <v>262</v>
      </c>
      <c r="AI4873" t="s">
        <v>262</v>
      </c>
      <c r="AJ4873" t="s">
        <v>261</v>
      </c>
      <c r="AK4873" t="s">
        <v>261</v>
      </c>
      <c r="AM4873" t="s">
        <v>262</v>
      </c>
      <c r="AN4873" t="s">
        <v>12998</v>
      </c>
    </row>
    <row r="4874" spans="1:40" x14ac:dyDescent="0.35">
      <c r="A4874">
        <v>7101034</v>
      </c>
      <c r="B4874" t="s">
        <v>12999</v>
      </c>
      <c r="C4874" t="str">
        <f>"9783428059324"</f>
        <v>9783428059324</v>
      </c>
      <c r="D4874" t="str">
        <f>"9783428459322"</f>
        <v>9783428459322</v>
      </c>
      <c r="E4874" t="s">
        <v>12661</v>
      </c>
      <c r="F4874" t="s">
        <v>12661</v>
      </c>
      <c r="G4874" s="1">
        <v>44792</v>
      </c>
      <c r="H4874" s="1">
        <v>44840</v>
      </c>
      <c r="I4874" t="s">
        <v>189</v>
      </c>
      <c r="J4874">
        <v>1</v>
      </c>
      <c r="K4874" t="s">
        <v>12662</v>
      </c>
      <c r="L4874" t="s">
        <v>12808</v>
      </c>
      <c r="M4874" t="s">
        <v>210</v>
      </c>
      <c r="Q4874" t="s">
        <v>408</v>
      </c>
      <c r="R4874" t="s">
        <v>261</v>
      </c>
      <c r="S4874" t="s">
        <v>261</v>
      </c>
      <c r="T4874" t="s">
        <v>261</v>
      </c>
      <c r="U4874" t="s">
        <v>262</v>
      </c>
      <c r="V4874" t="s">
        <v>262</v>
      </c>
      <c r="W4874" t="s">
        <v>261</v>
      </c>
      <c r="X4874" t="s">
        <v>262</v>
      </c>
      <c r="Y4874" t="s">
        <v>261</v>
      </c>
      <c r="AB4874" t="s">
        <v>409</v>
      </c>
      <c r="AC4874" t="s">
        <v>409</v>
      </c>
      <c r="AD4874" t="s">
        <v>261</v>
      </c>
      <c r="AH4874" t="s">
        <v>262</v>
      </c>
      <c r="AI4874" t="s">
        <v>262</v>
      </c>
      <c r="AJ4874" t="s">
        <v>261</v>
      </c>
      <c r="AK4874" t="s">
        <v>261</v>
      </c>
      <c r="AM4874" t="s">
        <v>262</v>
      </c>
      <c r="AN4874" t="s">
        <v>13000</v>
      </c>
    </row>
    <row r="4875" spans="1:40" x14ac:dyDescent="0.35">
      <c r="A4875">
        <v>7101035</v>
      </c>
      <c r="B4875" t="s">
        <v>13001</v>
      </c>
      <c r="C4875" t="str">
        <f>"9783428059690"</f>
        <v>9783428059690</v>
      </c>
      <c r="D4875" t="str">
        <f>"9783428459698"</f>
        <v>9783428459698</v>
      </c>
      <c r="E4875" t="s">
        <v>12661</v>
      </c>
      <c r="F4875" t="s">
        <v>12661</v>
      </c>
      <c r="G4875" s="1">
        <v>44792</v>
      </c>
      <c r="H4875" s="1">
        <v>44840</v>
      </c>
      <c r="I4875" t="s">
        <v>189</v>
      </c>
      <c r="J4875">
        <v>1</v>
      </c>
      <c r="K4875" t="s">
        <v>12662</v>
      </c>
      <c r="L4875" t="s">
        <v>13002</v>
      </c>
      <c r="M4875" t="s">
        <v>210</v>
      </c>
      <c r="Q4875" t="s">
        <v>408</v>
      </c>
      <c r="R4875" t="s">
        <v>261</v>
      </c>
      <c r="S4875" t="s">
        <v>261</v>
      </c>
      <c r="T4875" t="s">
        <v>261</v>
      </c>
      <c r="U4875" t="s">
        <v>262</v>
      </c>
      <c r="V4875" t="s">
        <v>262</v>
      </c>
      <c r="W4875" t="s">
        <v>261</v>
      </c>
      <c r="X4875" t="s">
        <v>262</v>
      </c>
      <c r="Y4875" t="s">
        <v>261</v>
      </c>
      <c r="AB4875" t="s">
        <v>409</v>
      </c>
      <c r="AC4875" t="s">
        <v>409</v>
      </c>
      <c r="AD4875" t="s">
        <v>261</v>
      </c>
      <c r="AH4875" t="s">
        <v>262</v>
      </c>
      <c r="AI4875" t="s">
        <v>262</v>
      </c>
      <c r="AJ4875" t="s">
        <v>261</v>
      </c>
      <c r="AK4875" t="s">
        <v>261</v>
      </c>
      <c r="AM4875" t="s">
        <v>262</v>
      </c>
      <c r="AN4875" t="s">
        <v>13003</v>
      </c>
    </row>
    <row r="4876" spans="1:40" x14ac:dyDescent="0.35">
      <c r="A4876">
        <v>7101036</v>
      </c>
      <c r="B4876" t="s">
        <v>13004</v>
      </c>
      <c r="C4876" t="str">
        <f>"9783428059720"</f>
        <v>9783428059720</v>
      </c>
      <c r="D4876" t="str">
        <f>"9783428459728"</f>
        <v>9783428459728</v>
      </c>
      <c r="E4876" t="s">
        <v>12661</v>
      </c>
      <c r="F4876" t="s">
        <v>12661</v>
      </c>
      <c r="G4876" s="1">
        <v>44792</v>
      </c>
      <c r="H4876" s="1">
        <v>44840</v>
      </c>
      <c r="I4876" t="s">
        <v>189</v>
      </c>
      <c r="J4876">
        <v>1</v>
      </c>
      <c r="K4876" t="s">
        <v>12662</v>
      </c>
      <c r="L4876" t="s">
        <v>13005</v>
      </c>
      <c r="M4876" t="s">
        <v>282</v>
      </c>
      <c r="Q4876" t="s">
        <v>408</v>
      </c>
      <c r="R4876" t="s">
        <v>261</v>
      </c>
      <c r="S4876" t="s">
        <v>261</v>
      </c>
      <c r="T4876" t="s">
        <v>261</v>
      </c>
      <c r="U4876" t="s">
        <v>262</v>
      </c>
      <c r="V4876" t="s">
        <v>262</v>
      </c>
      <c r="W4876" t="s">
        <v>261</v>
      </c>
      <c r="X4876" t="s">
        <v>262</v>
      </c>
      <c r="Y4876" t="s">
        <v>261</v>
      </c>
      <c r="AB4876" t="s">
        <v>409</v>
      </c>
      <c r="AC4876" t="s">
        <v>409</v>
      </c>
      <c r="AD4876" t="s">
        <v>261</v>
      </c>
      <c r="AH4876" t="s">
        <v>262</v>
      </c>
      <c r="AI4876" t="s">
        <v>262</v>
      </c>
      <c r="AJ4876" t="s">
        <v>261</v>
      </c>
      <c r="AK4876" t="s">
        <v>261</v>
      </c>
      <c r="AM4876" t="s">
        <v>262</v>
      </c>
      <c r="AN4876" t="s">
        <v>13006</v>
      </c>
    </row>
    <row r="4877" spans="1:40" x14ac:dyDescent="0.35">
      <c r="A4877">
        <v>7101037</v>
      </c>
      <c r="B4877" t="s">
        <v>13007</v>
      </c>
      <c r="C4877" t="str">
        <f>"9783428059737"</f>
        <v>9783428059737</v>
      </c>
      <c r="D4877" t="str">
        <f>"9783428459735"</f>
        <v>9783428459735</v>
      </c>
      <c r="E4877" t="s">
        <v>12661</v>
      </c>
      <c r="F4877" t="s">
        <v>12661</v>
      </c>
      <c r="G4877" s="1">
        <v>44792</v>
      </c>
      <c r="H4877" s="1">
        <v>44840</v>
      </c>
      <c r="I4877" t="s">
        <v>189</v>
      </c>
      <c r="J4877">
        <v>1</v>
      </c>
      <c r="K4877" t="s">
        <v>12662</v>
      </c>
      <c r="L4877" t="s">
        <v>12950</v>
      </c>
      <c r="M4877" t="s">
        <v>249</v>
      </c>
      <c r="Q4877" t="s">
        <v>408</v>
      </c>
      <c r="R4877" t="s">
        <v>261</v>
      </c>
      <c r="S4877" t="s">
        <v>261</v>
      </c>
      <c r="T4877" t="s">
        <v>261</v>
      </c>
      <c r="U4877" t="s">
        <v>262</v>
      </c>
      <c r="V4877" t="s">
        <v>262</v>
      </c>
      <c r="W4877" t="s">
        <v>261</v>
      </c>
      <c r="X4877" t="s">
        <v>262</v>
      </c>
      <c r="Y4877" t="s">
        <v>261</v>
      </c>
      <c r="AB4877" t="s">
        <v>409</v>
      </c>
      <c r="AC4877" t="s">
        <v>409</v>
      </c>
      <c r="AD4877" t="s">
        <v>261</v>
      </c>
      <c r="AH4877" t="s">
        <v>262</v>
      </c>
      <c r="AI4877" t="s">
        <v>262</v>
      </c>
      <c r="AJ4877" t="s">
        <v>261</v>
      </c>
      <c r="AK4877" t="s">
        <v>261</v>
      </c>
      <c r="AM4877" t="s">
        <v>262</v>
      </c>
      <c r="AN4877" t="s">
        <v>13008</v>
      </c>
    </row>
    <row r="4878" spans="1:40" x14ac:dyDescent="0.35">
      <c r="A4878">
        <v>7101038</v>
      </c>
      <c r="B4878" t="s">
        <v>13009</v>
      </c>
      <c r="C4878" t="str">
        <f>"9783428059904"</f>
        <v>9783428059904</v>
      </c>
      <c r="D4878" t="str">
        <f>"9783428459902"</f>
        <v>9783428459902</v>
      </c>
      <c r="E4878" t="s">
        <v>12661</v>
      </c>
      <c r="F4878" t="s">
        <v>12661</v>
      </c>
      <c r="G4878" s="1">
        <v>43518</v>
      </c>
      <c r="H4878" s="1">
        <v>44840</v>
      </c>
      <c r="I4878" t="s">
        <v>189</v>
      </c>
      <c r="J4878">
        <v>1</v>
      </c>
      <c r="K4878" t="s">
        <v>12732</v>
      </c>
      <c r="L4878" t="s">
        <v>13010</v>
      </c>
      <c r="M4878" t="s">
        <v>210</v>
      </c>
      <c r="Q4878" t="s">
        <v>408</v>
      </c>
      <c r="R4878" t="s">
        <v>261</v>
      </c>
      <c r="S4878" t="s">
        <v>261</v>
      </c>
      <c r="T4878" t="s">
        <v>261</v>
      </c>
      <c r="U4878" t="s">
        <v>262</v>
      </c>
      <c r="V4878" t="s">
        <v>262</v>
      </c>
      <c r="W4878" t="s">
        <v>261</v>
      </c>
      <c r="X4878" t="s">
        <v>262</v>
      </c>
      <c r="Y4878" t="s">
        <v>261</v>
      </c>
      <c r="AB4878" t="s">
        <v>409</v>
      </c>
      <c r="AC4878" t="s">
        <v>409</v>
      </c>
      <c r="AD4878" t="s">
        <v>261</v>
      </c>
      <c r="AH4878" t="s">
        <v>262</v>
      </c>
      <c r="AI4878" t="s">
        <v>262</v>
      </c>
      <c r="AJ4878" t="s">
        <v>261</v>
      </c>
      <c r="AK4878" t="s">
        <v>261</v>
      </c>
      <c r="AM4878" t="s">
        <v>262</v>
      </c>
      <c r="AN4878" t="s">
        <v>13011</v>
      </c>
    </row>
    <row r="4879" spans="1:40" x14ac:dyDescent="0.35">
      <c r="A4879">
        <v>7101039</v>
      </c>
      <c r="B4879" t="s">
        <v>13012</v>
      </c>
      <c r="C4879" t="str">
        <f>"9783428060436"</f>
        <v>9783428060436</v>
      </c>
      <c r="D4879" t="str">
        <f>"9783428460434"</f>
        <v>9783428460434</v>
      </c>
      <c r="E4879" t="s">
        <v>12661</v>
      </c>
      <c r="F4879" t="s">
        <v>12661</v>
      </c>
      <c r="G4879" s="1">
        <v>44792</v>
      </c>
      <c r="H4879" s="1">
        <v>44840</v>
      </c>
      <c r="I4879" t="s">
        <v>189</v>
      </c>
      <c r="J4879">
        <v>1</v>
      </c>
      <c r="K4879" t="s">
        <v>12662</v>
      </c>
      <c r="L4879" t="s">
        <v>13013</v>
      </c>
      <c r="M4879" t="s">
        <v>282</v>
      </c>
      <c r="Q4879" t="s">
        <v>408</v>
      </c>
      <c r="R4879" t="s">
        <v>261</v>
      </c>
      <c r="S4879" t="s">
        <v>261</v>
      </c>
      <c r="T4879" t="s">
        <v>261</v>
      </c>
      <c r="U4879" t="s">
        <v>262</v>
      </c>
      <c r="V4879" t="s">
        <v>262</v>
      </c>
      <c r="W4879" t="s">
        <v>261</v>
      </c>
      <c r="X4879" t="s">
        <v>262</v>
      </c>
      <c r="Y4879" t="s">
        <v>261</v>
      </c>
      <c r="AB4879" t="s">
        <v>409</v>
      </c>
      <c r="AC4879" t="s">
        <v>409</v>
      </c>
      <c r="AD4879" t="s">
        <v>261</v>
      </c>
      <c r="AH4879" t="s">
        <v>262</v>
      </c>
      <c r="AI4879" t="s">
        <v>262</v>
      </c>
      <c r="AJ4879" t="s">
        <v>261</v>
      </c>
      <c r="AK4879" t="s">
        <v>261</v>
      </c>
      <c r="AM4879" t="s">
        <v>262</v>
      </c>
      <c r="AN4879" t="s">
        <v>13014</v>
      </c>
    </row>
    <row r="4880" spans="1:40" x14ac:dyDescent="0.35">
      <c r="A4880">
        <v>7101040</v>
      </c>
      <c r="B4880" t="s">
        <v>13015</v>
      </c>
      <c r="C4880" t="str">
        <f>"9783428060474"</f>
        <v>9783428060474</v>
      </c>
      <c r="D4880" t="str">
        <f>"9783428460472"</f>
        <v>9783428460472</v>
      </c>
      <c r="E4880" t="s">
        <v>12661</v>
      </c>
      <c r="F4880" t="s">
        <v>12661</v>
      </c>
      <c r="G4880" s="1">
        <v>44792</v>
      </c>
      <c r="H4880" s="1">
        <v>44840</v>
      </c>
      <c r="I4880" t="s">
        <v>189</v>
      </c>
      <c r="J4880">
        <v>1</v>
      </c>
      <c r="K4880" t="s">
        <v>12662</v>
      </c>
      <c r="L4880" t="s">
        <v>12973</v>
      </c>
      <c r="M4880" t="s">
        <v>210</v>
      </c>
      <c r="Q4880" t="s">
        <v>408</v>
      </c>
      <c r="R4880" t="s">
        <v>261</v>
      </c>
      <c r="S4880" t="s">
        <v>261</v>
      </c>
      <c r="T4880" t="s">
        <v>261</v>
      </c>
      <c r="U4880" t="s">
        <v>262</v>
      </c>
      <c r="V4880" t="s">
        <v>262</v>
      </c>
      <c r="W4880" t="s">
        <v>261</v>
      </c>
      <c r="X4880" t="s">
        <v>262</v>
      </c>
      <c r="Y4880" t="s">
        <v>261</v>
      </c>
      <c r="AB4880" t="s">
        <v>409</v>
      </c>
      <c r="AC4880" t="s">
        <v>409</v>
      </c>
      <c r="AD4880" t="s">
        <v>261</v>
      </c>
      <c r="AH4880" t="s">
        <v>262</v>
      </c>
      <c r="AI4880" t="s">
        <v>262</v>
      </c>
      <c r="AJ4880" t="s">
        <v>261</v>
      </c>
      <c r="AK4880" t="s">
        <v>261</v>
      </c>
      <c r="AM4880" t="s">
        <v>262</v>
      </c>
      <c r="AN4880" t="s">
        <v>13016</v>
      </c>
    </row>
    <row r="4881" spans="1:40" x14ac:dyDescent="0.35">
      <c r="A4881">
        <v>7101041</v>
      </c>
      <c r="B4881" t="s">
        <v>13017</v>
      </c>
      <c r="C4881" t="str">
        <f>"9783428060771"</f>
        <v>9783428060771</v>
      </c>
      <c r="D4881" t="str">
        <f>"9783428460779"</f>
        <v>9783428460779</v>
      </c>
      <c r="E4881" t="s">
        <v>12661</v>
      </c>
      <c r="F4881" t="s">
        <v>12661</v>
      </c>
      <c r="G4881" s="1">
        <v>44792</v>
      </c>
      <c r="H4881" s="1">
        <v>44840</v>
      </c>
      <c r="I4881" t="s">
        <v>189</v>
      </c>
      <c r="J4881">
        <v>1</v>
      </c>
      <c r="K4881" t="s">
        <v>12662</v>
      </c>
      <c r="L4881" t="s">
        <v>13018</v>
      </c>
      <c r="M4881" t="s">
        <v>282</v>
      </c>
    </row>
    <row r="4882" spans="1:40" x14ac:dyDescent="0.35">
      <c r="A4882">
        <v>7101042</v>
      </c>
      <c r="B4882" t="s">
        <v>13019</v>
      </c>
      <c r="C4882" t="str">
        <f>"9783428061006"</f>
        <v>9783428061006</v>
      </c>
      <c r="D4882" t="str">
        <f>"9783428461004"</f>
        <v>9783428461004</v>
      </c>
      <c r="E4882" t="s">
        <v>12661</v>
      </c>
      <c r="F4882" t="s">
        <v>12661</v>
      </c>
      <c r="G4882" s="1">
        <v>44792</v>
      </c>
      <c r="H4882" s="1">
        <v>44840</v>
      </c>
      <c r="I4882" t="s">
        <v>189</v>
      </c>
      <c r="J4882">
        <v>1</v>
      </c>
      <c r="K4882" t="s">
        <v>12662</v>
      </c>
      <c r="L4882" t="s">
        <v>12959</v>
      </c>
      <c r="M4882" t="s">
        <v>282</v>
      </c>
      <c r="Q4882" t="s">
        <v>408</v>
      </c>
      <c r="R4882" t="s">
        <v>261</v>
      </c>
      <c r="S4882" t="s">
        <v>261</v>
      </c>
      <c r="T4882" t="s">
        <v>261</v>
      </c>
      <c r="U4882" t="s">
        <v>262</v>
      </c>
      <c r="V4882" t="s">
        <v>262</v>
      </c>
      <c r="W4882" t="s">
        <v>261</v>
      </c>
      <c r="X4882" t="s">
        <v>262</v>
      </c>
      <c r="Y4882" t="s">
        <v>261</v>
      </c>
      <c r="AB4882" t="s">
        <v>409</v>
      </c>
      <c r="AC4882" t="s">
        <v>409</v>
      </c>
      <c r="AD4882" t="s">
        <v>261</v>
      </c>
      <c r="AH4882" t="s">
        <v>262</v>
      </c>
      <c r="AI4882" t="s">
        <v>262</v>
      </c>
      <c r="AJ4882" t="s">
        <v>261</v>
      </c>
      <c r="AK4882" t="s">
        <v>261</v>
      </c>
      <c r="AM4882" t="s">
        <v>262</v>
      </c>
      <c r="AN4882" t="s">
        <v>13020</v>
      </c>
    </row>
    <row r="4883" spans="1:40" x14ac:dyDescent="0.35">
      <c r="A4883">
        <v>7101043</v>
      </c>
      <c r="B4883" t="s">
        <v>13021</v>
      </c>
      <c r="C4883" t="str">
        <f>"9783428060825"</f>
        <v>9783428060825</v>
      </c>
      <c r="D4883" t="str">
        <f>"9783428460823"</f>
        <v>9783428460823</v>
      </c>
      <c r="E4883" t="s">
        <v>12661</v>
      </c>
      <c r="F4883" t="s">
        <v>12661</v>
      </c>
      <c r="G4883" s="1">
        <v>44792</v>
      </c>
      <c r="H4883" s="1">
        <v>44840</v>
      </c>
      <c r="I4883" t="s">
        <v>189</v>
      </c>
      <c r="J4883">
        <v>1</v>
      </c>
      <c r="K4883" t="s">
        <v>12662</v>
      </c>
      <c r="L4883" t="s">
        <v>13022</v>
      </c>
      <c r="M4883" t="s">
        <v>210</v>
      </c>
      <c r="Q4883" t="s">
        <v>408</v>
      </c>
      <c r="R4883" t="s">
        <v>261</v>
      </c>
      <c r="S4883" t="s">
        <v>261</v>
      </c>
      <c r="T4883" t="s">
        <v>261</v>
      </c>
      <c r="U4883" t="s">
        <v>262</v>
      </c>
      <c r="V4883" t="s">
        <v>262</v>
      </c>
      <c r="W4883" t="s">
        <v>261</v>
      </c>
      <c r="X4883" t="s">
        <v>262</v>
      </c>
      <c r="Y4883" t="s">
        <v>261</v>
      </c>
      <c r="AB4883" t="s">
        <v>409</v>
      </c>
      <c r="AC4883" t="s">
        <v>409</v>
      </c>
      <c r="AD4883" t="s">
        <v>261</v>
      </c>
      <c r="AH4883" t="s">
        <v>262</v>
      </c>
      <c r="AI4883" t="s">
        <v>262</v>
      </c>
      <c r="AJ4883" t="s">
        <v>261</v>
      </c>
      <c r="AK4883" t="s">
        <v>261</v>
      </c>
      <c r="AM4883" t="s">
        <v>262</v>
      </c>
      <c r="AN4883" t="s">
        <v>13023</v>
      </c>
    </row>
    <row r="4884" spans="1:40" x14ac:dyDescent="0.35">
      <c r="A4884">
        <v>7101044</v>
      </c>
      <c r="B4884" t="s">
        <v>13024</v>
      </c>
      <c r="C4884" t="str">
        <f>"9783428061235"</f>
        <v>9783428061235</v>
      </c>
      <c r="D4884" t="str">
        <f>"9783428461233"</f>
        <v>9783428461233</v>
      </c>
      <c r="E4884" t="s">
        <v>12661</v>
      </c>
      <c r="F4884" t="s">
        <v>12661</v>
      </c>
      <c r="G4884" s="1">
        <v>44792</v>
      </c>
      <c r="H4884" s="1">
        <v>44840</v>
      </c>
      <c r="I4884" t="s">
        <v>189</v>
      </c>
      <c r="J4884">
        <v>1</v>
      </c>
      <c r="K4884" t="s">
        <v>12662</v>
      </c>
      <c r="L4884" t="s">
        <v>13005</v>
      </c>
      <c r="M4884" t="s">
        <v>282</v>
      </c>
      <c r="Q4884" t="s">
        <v>408</v>
      </c>
      <c r="R4884" t="s">
        <v>261</v>
      </c>
      <c r="S4884" t="s">
        <v>261</v>
      </c>
      <c r="T4884" t="s">
        <v>261</v>
      </c>
      <c r="U4884" t="s">
        <v>262</v>
      </c>
      <c r="V4884" t="s">
        <v>262</v>
      </c>
      <c r="W4884" t="s">
        <v>261</v>
      </c>
      <c r="X4884" t="s">
        <v>262</v>
      </c>
      <c r="Y4884" t="s">
        <v>261</v>
      </c>
      <c r="AB4884" t="s">
        <v>409</v>
      </c>
      <c r="AC4884" t="s">
        <v>409</v>
      </c>
      <c r="AD4884" t="s">
        <v>261</v>
      </c>
      <c r="AH4884" t="s">
        <v>262</v>
      </c>
      <c r="AI4884" t="s">
        <v>262</v>
      </c>
      <c r="AJ4884" t="s">
        <v>261</v>
      </c>
      <c r="AK4884" t="s">
        <v>261</v>
      </c>
      <c r="AM4884" t="s">
        <v>262</v>
      </c>
      <c r="AN4884" t="s">
        <v>13025</v>
      </c>
    </row>
    <row r="4885" spans="1:40" x14ac:dyDescent="0.35">
      <c r="A4885">
        <v>7101045</v>
      </c>
      <c r="B4885" t="s">
        <v>13026</v>
      </c>
      <c r="C4885" t="str">
        <f>"9783428061266"</f>
        <v>9783428061266</v>
      </c>
      <c r="D4885" t="str">
        <f>"9783428461264"</f>
        <v>9783428461264</v>
      </c>
      <c r="E4885" t="s">
        <v>12661</v>
      </c>
      <c r="F4885" t="s">
        <v>12661</v>
      </c>
      <c r="G4885" s="1">
        <v>44792</v>
      </c>
      <c r="H4885" s="1">
        <v>44840</v>
      </c>
      <c r="I4885" t="s">
        <v>189</v>
      </c>
      <c r="J4885">
        <v>1</v>
      </c>
      <c r="K4885" t="s">
        <v>12662</v>
      </c>
      <c r="L4885" t="s">
        <v>12810</v>
      </c>
      <c r="M4885" t="s">
        <v>282</v>
      </c>
      <c r="Q4885" t="s">
        <v>408</v>
      </c>
      <c r="R4885" t="s">
        <v>261</v>
      </c>
      <c r="S4885" t="s">
        <v>261</v>
      </c>
      <c r="T4885" t="s">
        <v>261</v>
      </c>
      <c r="U4885" t="s">
        <v>262</v>
      </c>
      <c r="V4885" t="s">
        <v>262</v>
      </c>
      <c r="W4885" t="s">
        <v>261</v>
      </c>
      <c r="X4885" t="s">
        <v>262</v>
      </c>
      <c r="Y4885" t="s">
        <v>261</v>
      </c>
      <c r="AB4885" t="s">
        <v>409</v>
      </c>
      <c r="AC4885" t="s">
        <v>409</v>
      </c>
      <c r="AD4885" t="s">
        <v>261</v>
      </c>
      <c r="AH4885" t="s">
        <v>262</v>
      </c>
      <c r="AI4885" t="s">
        <v>262</v>
      </c>
      <c r="AJ4885" t="s">
        <v>261</v>
      </c>
      <c r="AK4885" t="s">
        <v>261</v>
      </c>
      <c r="AM4885" t="s">
        <v>262</v>
      </c>
      <c r="AN4885" t="s">
        <v>13027</v>
      </c>
    </row>
    <row r="4886" spans="1:40" x14ac:dyDescent="0.35">
      <c r="A4886">
        <v>7101046</v>
      </c>
      <c r="B4886" t="s">
        <v>13028</v>
      </c>
      <c r="C4886" t="str">
        <f>"9783428061648"</f>
        <v>9783428061648</v>
      </c>
      <c r="D4886" t="str">
        <f>"9783428461646"</f>
        <v>9783428461646</v>
      </c>
      <c r="E4886" t="s">
        <v>12661</v>
      </c>
      <c r="F4886" t="s">
        <v>12661</v>
      </c>
      <c r="G4886" s="1">
        <v>44792</v>
      </c>
      <c r="H4886" s="1">
        <v>44840</v>
      </c>
      <c r="I4886" t="s">
        <v>189</v>
      </c>
      <c r="J4886">
        <v>1</v>
      </c>
      <c r="K4886" t="s">
        <v>12662</v>
      </c>
      <c r="L4886" t="s">
        <v>13002</v>
      </c>
      <c r="M4886" t="s">
        <v>210</v>
      </c>
    </row>
    <row r="4887" spans="1:40" x14ac:dyDescent="0.35">
      <c r="A4887">
        <v>7101047</v>
      </c>
      <c r="B4887" t="s">
        <v>13029</v>
      </c>
      <c r="C4887" t="str">
        <f>"9783428061693"</f>
        <v>9783428061693</v>
      </c>
      <c r="D4887" t="str">
        <f>"9783428461691"</f>
        <v>9783428461691</v>
      </c>
      <c r="E4887" t="s">
        <v>12661</v>
      </c>
      <c r="F4887" t="s">
        <v>12661</v>
      </c>
      <c r="G4887" s="1">
        <v>44792</v>
      </c>
      <c r="H4887" s="1">
        <v>44840</v>
      </c>
      <c r="I4887" t="s">
        <v>189</v>
      </c>
      <c r="J4887">
        <v>1</v>
      </c>
      <c r="K4887" t="s">
        <v>12662</v>
      </c>
      <c r="L4887" t="s">
        <v>12968</v>
      </c>
      <c r="M4887" t="s">
        <v>389</v>
      </c>
    </row>
    <row r="4888" spans="1:40" x14ac:dyDescent="0.35">
      <c r="A4888">
        <v>7101048</v>
      </c>
      <c r="B4888" t="s">
        <v>13030</v>
      </c>
      <c r="C4888" t="str">
        <f>"9783428062478"</f>
        <v>9783428062478</v>
      </c>
      <c r="D4888" t="str">
        <f>"9783428462476"</f>
        <v>9783428462476</v>
      </c>
      <c r="E4888" t="s">
        <v>12661</v>
      </c>
      <c r="F4888" t="s">
        <v>12661</v>
      </c>
      <c r="G4888" s="1">
        <v>44792</v>
      </c>
      <c r="H4888" s="1">
        <v>44840</v>
      </c>
      <c r="I4888" t="s">
        <v>189</v>
      </c>
      <c r="J4888">
        <v>1</v>
      </c>
      <c r="K4888" t="s">
        <v>12662</v>
      </c>
      <c r="L4888" t="s">
        <v>13031</v>
      </c>
      <c r="M4888" t="s">
        <v>282</v>
      </c>
      <c r="Q4888" t="s">
        <v>408</v>
      </c>
      <c r="R4888" t="s">
        <v>261</v>
      </c>
      <c r="S4888" t="s">
        <v>261</v>
      </c>
      <c r="T4888" t="s">
        <v>261</v>
      </c>
      <c r="U4888" t="s">
        <v>262</v>
      </c>
      <c r="V4888" t="s">
        <v>262</v>
      </c>
      <c r="W4888" t="s">
        <v>261</v>
      </c>
      <c r="X4888" t="s">
        <v>262</v>
      </c>
      <c r="Y4888" t="s">
        <v>261</v>
      </c>
      <c r="AB4888" t="s">
        <v>409</v>
      </c>
      <c r="AC4888" t="s">
        <v>409</v>
      </c>
      <c r="AD4888" t="s">
        <v>261</v>
      </c>
      <c r="AH4888" t="s">
        <v>262</v>
      </c>
      <c r="AI4888" t="s">
        <v>262</v>
      </c>
      <c r="AJ4888" t="s">
        <v>261</v>
      </c>
      <c r="AK4888" t="s">
        <v>261</v>
      </c>
      <c r="AM4888" t="s">
        <v>262</v>
      </c>
      <c r="AN4888" t="s">
        <v>13032</v>
      </c>
    </row>
    <row r="4889" spans="1:40" x14ac:dyDescent="0.35">
      <c r="A4889">
        <v>7101049</v>
      </c>
      <c r="B4889" t="s">
        <v>13033</v>
      </c>
      <c r="C4889" t="str">
        <f>"9783428062720"</f>
        <v>9783428062720</v>
      </c>
      <c r="D4889" t="str">
        <f>"9783428462728"</f>
        <v>9783428462728</v>
      </c>
      <c r="E4889" t="s">
        <v>12661</v>
      </c>
      <c r="F4889" t="s">
        <v>12661</v>
      </c>
      <c r="G4889" s="1">
        <v>44792</v>
      </c>
      <c r="H4889" s="1">
        <v>44840</v>
      </c>
      <c r="I4889" t="s">
        <v>189</v>
      </c>
      <c r="J4889">
        <v>1</v>
      </c>
      <c r="K4889" t="s">
        <v>12662</v>
      </c>
      <c r="L4889" t="s">
        <v>13034</v>
      </c>
      <c r="M4889" t="s">
        <v>282</v>
      </c>
      <c r="Q4889" t="s">
        <v>408</v>
      </c>
      <c r="R4889" t="s">
        <v>261</v>
      </c>
      <c r="S4889" t="s">
        <v>261</v>
      </c>
      <c r="T4889" t="s">
        <v>261</v>
      </c>
      <c r="U4889" t="s">
        <v>262</v>
      </c>
      <c r="V4889" t="s">
        <v>262</v>
      </c>
      <c r="W4889" t="s">
        <v>261</v>
      </c>
      <c r="X4889" t="s">
        <v>262</v>
      </c>
      <c r="Y4889" t="s">
        <v>261</v>
      </c>
      <c r="AB4889" t="s">
        <v>409</v>
      </c>
      <c r="AC4889" t="s">
        <v>409</v>
      </c>
      <c r="AD4889" t="s">
        <v>261</v>
      </c>
      <c r="AH4889" t="s">
        <v>262</v>
      </c>
      <c r="AI4889" t="s">
        <v>262</v>
      </c>
      <c r="AJ4889" t="s">
        <v>261</v>
      </c>
      <c r="AK4889" t="s">
        <v>261</v>
      </c>
      <c r="AM4889" t="s">
        <v>262</v>
      </c>
      <c r="AN4889" t="s">
        <v>13035</v>
      </c>
    </row>
    <row r="4890" spans="1:40" x14ac:dyDescent="0.35">
      <c r="A4890">
        <v>7101050</v>
      </c>
      <c r="B4890" t="s">
        <v>13036</v>
      </c>
      <c r="C4890" t="str">
        <f>"9783428062836"</f>
        <v>9783428062836</v>
      </c>
      <c r="D4890" t="str">
        <f>"9783428462834"</f>
        <v>9783428462834</v>
      </c>
      <c r="E4890" t="s">
        <v>12661</v>
      </c>
      <c r="F4890" t="s">
        <v>12661</v>
      </c>
      <c r="G4890" s="1">
        <v>44792</v>
      </c>
      <c r="H4890" s="1">
        <v>44840</v>
      </c>
      <c r="I4890" t="s">
        <v>189</v>
      </c>
      <c r="J4890">
        <v>1</v>
      </c>
      <c r="K4890" t="s">
        <v>12662</v>
      </c>
      <c r="L4890" t="s">
        <v>12970</v>
      </c>
      <c r="M4890" t="s">
        <v>282</v>
      </c>
      <c r="Q4890" t="s">
        <v>408</v>
      </c>
      <c r="R4890" t="s">
        <v>261</v>
      </c>
      <c r="S4890" t="s">
        <v>261</v>
      </c>
      <c r="T4890" t="s">
        <v>261</v>
      </c>
      <c r="U4890" t="s">
        <v>262</v>
      </c>
      <c r="V4890" t="s">
        <v>262</v>
      </c>
      <c r="W4890" t="s">
        <v>261</v>
      </c>
      <c r="X4890" t="s">
        <v>262</v>
      </c>
      <c r="Y4890" t="s">
        <v>261</v>
      </c>
      <c r="AB4890" t="s">
        <v>409</v>
      </c>
      <c r="AC4890" t="s">
        <v>409</v>
      </c>
      <c r="AD4890" t="s">
        <v>261</v>
      </c>
      <c r="AH4890" t="s">
        <v>262</v>
      </c>
      <c r="AI4890" t="s">
        <v>262</v>
      </c>
      <c r="AJ4890" t="s">
        <v>261</v>
      </c>
      <c r="AK4890" t="s">
        <v>261</v>
      </c>
      <c r="AM4890" t="s">
        <v>262</v>
      </c>
      <c r="AN4890" t="s">
        <v>13037</v>
      </c>
    </row>
    <row r="4891" spans="1:40" x14ac:dyDescent="0.35">
      <c r="A4891">
        <v>7101051</v>
      </c>
      <c r="B4891" t="s">
        <v>13038</v>
      </c>
      <c r="C4891" t="str">
        <f>"9783428064250"</f>
        <v>9783428064250</v>
      </c>
      <c r="D4891" t="str">
        <f>"9783428464258"</f>
        <v>9783428464258</v>
      </c>
      <c r="E4891" t="s">
        <v>12661</v>
      </c>
      <c r="F4891" t="s">
        <v>12661</v>
      </c>
      <c r="G4891" s="1">
        <v>44792</v>
      </c>
      <c r="H4891" s="1">
        <v>44840</v>
      </c>
      <c r="I4891" t="s">
        <v>189</v>
      </c>
      <c r="J4891">
        <v>1</v>
      </c>
      <c r="K4891" t="s">
        <v>12662</v>
      </c>
      <c r="L4891" t="s">
        <v>13039</v>
      </c>
      <c r="M4891" t="s">
        <v>249</v>
      </c>
      <c r="Q4891" t="s">
        <v>408</v>
      </c>
      <c r="R4891" t="s">
        <v>261</v>
      </c>
      <c r="S4891" t="s">
        <v>261</v>
      </c>
      <c r="T4891" t="s">
        <v>261</v>
      </c>
      <c r="U4891" t="s">
        <v>262</v>
      </c>
      <c r="V4891" t="s">
        <v>262</v>
      </c>
      <c r="W4891" t="s">
        <v>261</v>
      </c>
      <c r="X4891" t="s">
        <v>262</v>
      </c>
      <c r="Y4891" t="s">
        <v>261</v>
      </c>
      <c r="AB4891" t="s">
        <v>409</v>
      </c>
      <c r="AC4891" t="s">
        <v>409</v>
      </c>
      <c r="AD4891" t="s">
        <v>261</v>
      </c>
      <c r="AH4891" t="s">
        <v>262</v>
      </c>
      <c r="AI4891" t="s">
        <v>262</v>
      </c>
      <c r="AJ4891" t="s">
        <v>261</v>
      </c>
      <c r="AK4891" t="s">
        <v>261</v>
      </c>
      <c r="AM4891" t="s">
        <v>262</v>
      </c>
      <c r="AN4891" t="s">
        <v>13040</v>
      </c>
    </row>
    <row r="4892" spans="1:40" x14ac:dyDescent="0.35">
      <c r="A4892">
        <v>7101052</v>
      </c>
      <c r="B4892" t="s">
        <v>13041</v>
      </c>
      <c r="C4892" t="str">
        <f>"9783428064274"</f>
        <v>9783428064274</v>
      </c>
      <c r="D4892" t="str">
        <f>"9783428464272"</f>
        <v>9783428464272</v>
      </c>
      <c r="E4892" t="s">
        <v>12661</v>
      </c>
      <c r="F4892" t="s">
        <v>12661</v>
      </c>
      <c r="G4892" s="1">
        <v>44792</v>
      </c>
      <c r="H4892" s="1">
        <v>44840</v>
      </c>
      <c r="I4892" t="s">
        <v>189</v>
      </c>
      <c r="J4892">
        <v>1</v>
      </c>
      <c r="K4892" t="s">
        <v>12662</v>
      </c>
      <c r="L4892" t="s">
        <v>13042</v>
      </c>
      <c r="M4892" t="s">
        <v>210</v>
      </c>
    </row>
    <row r="4893" spans="1:40" x14ac:dyDescent="0.35">
      <c r="A4893">
        <v>7101053</v>
      </c>
      <c r="B4893" t="s">
        <v>13043</v>
      </c>
      <c r="C4893" t="str">
        <f>"9783428064328"</f>
        <v>9783428064328</v>
      </c>
      <c r="D4893" t="str">
        <f>"9783428464326"</f>
        <v>9783428464326</v>
      </c>
      <c r="E4893" t="s">
        <v>12661</v>
      </c>
      <c r="F4893" t="s">
        <v>12661</v>
      </c>
      <c r="G4893" s="1">
        <v>44792</v>
      </c>
      <c r="H4893" s="1">
        <v>44840</v>
      </c>
      <c r="I4893" t="s">
        <v>189</v>
      </c>
      <c r="J4893">
        <v>1</v>
      </c>
      <c r="K4893" t="s">
        <v>12662</v>
      </c>
      <c r="L4893" t="s">
        <v>13002</v>
      </c>
      <c r="M4893" t="s">
        <v>210</v>
      </c>
      <c r="Q4893" t="s">
        <v>408</v>
      </c>
      <c r="R4893" t="s">
        <v>261</v>
      </c>
      <c r="S4893" t="s">
        <v>261</v>
      </c>
      <c r="T4893" t="s">
        <v>261</v>
      </c>
      <c r="U4893" t="s">
        <v>262</v>
      </c>
      <c r="V4893" t="s">
        <v>262</v>
      </c>
      <c r="W4893" t="s">
        <v>261</v>
      </c>
      <c r="X4893" t="s">
        <v>262</v>
      </c>
      <c r="Y4893" t="s">
        <v>261</v>
      </c>
      <c r="AB4893" t="s">
        <v>409</v>
      </c>
      <c r="AC4893" t="s">
        <v>409</v>
      </c>
      <c r="AD4893" t="s">
        <v>261</v>
      </c>
      <c r="AH4893" t="s">
        <v>262</v>
      </c>
      <c r="AI4893" t="s">
        <v>262</v>
      </c>
      <c r="AJ4893" t="s">
        <v>261</v>
      </c>
      <c r="AK4893" t="s">
        <v>261</v>
      </c>
      <c r="AM4893" t="s">
        <v>262</v>
      </c>
      <c r="AN4893" t="s">
        <v>13044</v>
      </c>
    </row>
    <row r="4894" spans="1:40" x14ac:dyDescent="0.35">
      <c r="A4894">
        <v>7101054</v>
      </c>
      <c r="B4894" t="s">
        <v>13045</v>
      </c>
      <c r="C4894" t="str">
        <f>"9783428064335"</f>
        <v>9783428064335</v>
      </c>
      <c r="D4894" t="str">
        <f>"9783428464333"</f>
        <v>9783428464333</v>
      </c>
      <c r="E4894" t="s">
        <v>12661</v>
      </c>
      <c r="F4894" t="s">
        <v>12661</v>
      </c>
      <c r="G4894" s="1">
        <v>44792</v>
      </c>
      <c r="H4894" s="1">
        <v>44840</v>
      </c>
      <c r="I4894" t="s">
        <v>189</v>
      </c>
      <c r="J4894">
        <v>1</v>
      </c>
      <c r="K4894" t="s">
        <v>12662</v>
      </c>
      <c r="L4894" t="s">
        <v>13005</v>
      </c>
    </row>
    <row r="4895" spans="1:40" x14ac:dyDescent="0.35">
      <c r="A4895">
        <v>7101055</v>
      </c>
      <c r="B4895" t="s">
        <v>13046</v>
      </c>
      <c r="C4895" t="str">
        <f>"9783428064519"</f>
        <v>9783428064519</v>
      </c>
      <c r="D4895" t="str">
        <f>"9783428464517"</f>
        <v>9783428464517</v>
      </c>
      <c r="E4895" t="s">
        <v>12661</v>
      </c>
      <c r="F4895" t="s">
        <v>12661</v>
      </c>
      <c r="G4895" s="1">
        <v>44792</v>
      </c>
      <c r="H4895" s="1">
        <v>44840</v>
      </c>
      <c r="I4895" t="s">
        <v>189</v>
      </c>
      <c r="J4895">
        <v>1</v>
      </c>
      <c r="K4895" t="s">
        <v>12662</v>
      </c>
      <c r="L4895" t="s">
        <v>13047</v>
      </c>
      <c r="M4895" t="s">
        <v>210</v>
      </c>
      <c r="Q4895" t="s">
        <v>408</v>
      </c>
      <c r="R4895" t="s">
        <v>261</v>
      </c>
      <c r="S4895" t="s">
        <v>261</v>
      </c>
      <c r="T4895" t="s">
        <v>261</v>
      </c>
      <c r="U4895" t="s">
        <v>262</v>
      </c>
      <c r="V4895" t="s">
        <v>262</v>
      </c>
      <c r="W4895" t="s">
        <v>261</v>
      </c>
      <c r="X4895" t="s">
        <v>262</v>
      </c>
      <c r="Y4895" t="s">
        <v>261</v>
      </c>
      <c r="AB4895" t="s">
        <v>409</v>
      </c>
      <c r="AC4895" t="s">
        <v>409</v>
      </c>
      <c r="AD4895" t="s">
        <v>261</v>
      </c>
      <c r="AH4895" t="s">
        <v>262</v>
      </c>
      <c r="AI4895" t="s">
        <v>262</v>
      </c>
      <c r="AJ4895" t="s">
        <v>261</v>
      </c>
      <c r="AK4895" t="s">
        <v>261</v>
      </c>
      <c r="AM4895" t="s">
        <v>262</v>
      </c>
      <c r="AN4895" t="s">
        <v>13048</v>
      </c>
    </row>
    <row r="4896" spans="1:40" x14ac:dyDescent="0.35">
      <c r="A4896">
        <v>7101056</v>
      </c>
      <c r="B4896" t="s">
        <v>13049</v>
      </c>
      <c r="C4896" t="str">
        <f>"9783428065356"</f>
        <v>9783428065356</v>
      </c>
      <c r="D4896" t="str">
        <f>"9783428465354"</f>
        <v>9783428465354</v>
      </c>
      <c r="E4896" t="s">
        <v>12661</v>
      </c>
      <c r="F4896" t="s">
        <v>12661</v>
      </c>
      <c r="G4896" s="1">
        <v>44829</v>
      </c>
      <c r="H4896" s="1">
        <v>44840</v>
      </c>
      <c r="I4896" t="s">
        <v>189</v>
      </c>
      <c r="J4896">
        <v>1</v>
      </c>
      <c r="K4896" t="s">
        <v>12662</v>
      </c>
      <c r="L4896" t="s">
        <v>12810</v>
      </c>
      <c r="M4896" t="s">
        <v>282</v>
      </c>
      <c r="Q4896" t="s">
        <v>408</v>
      </c>
      <c r="R4896" t="s">
        <v>261</v>
      </c>
      <c r="S4896" t="s">
        <v>261</v>
      </c>
      <c r="T4896" t="s">
        <v>261</v>
      </c>
      <c r="U4896" t="s">
        <v>262</v>
      </c>
      <c r="V4896" t="s">
        <v>262</v>
      </c>
      <c r="W4896" t="s">
        <v>261</v>
      </c>
      <c r="X4896" t="s">
        <v>262</v>
      </c>
      <c r="Y4896" t="s">
        <v>261</v>
      </c>
      <c r="AB4896" t="s">
        <v>409</v>
      </c>
      <c r="AC4896" t="s">
        <v>409</v>
      </c>
      <c r="AD4896" t="s">
        <v>261</v>
      </c>
      <c r="AH4896" t="s">
        <v>262</v>
      </c>
      <c r="AI4896" t="s">
        <v>262</v>
      </c>
      <c r="AJ4896" t="s">
        <v>261</v>
      </c>
      <c r="AK4896" t="s">
        <v>261</v>
      </c>
      <c r="AM4896" t="s">
        <v>262</v>
      </c>
      <c r="AN4896" t="s">
        <v>13050</v>
      </c>
    </row>
    <row r="4897" spans="1:40" x14ac:dyDescent="0.35">
      <c r="A4897">
        <v>7101057</v>
      </c>
      <c r="B4897" t="s">
        <v>13051</v>
      </c>
      <c r="C4897" t="str">
        <f>"9783428065134"</f>
        <v>9783428065134</v>
      </c>
      <c r="D4897" t="str">
        <f>"9783428465132"</f>
        <v>9783428465132</v>
      </c>
      <c r="E4897" t="s">
        <v>12661</v>
      </c>
      <c r="F4897" t="s">
        <v>12661</v>
      </c>
      <c r="G4897" s="1">
        <v>44791</v>
      </c>
      <c r="H4897" s="1">
        <v>44840</v>
      </c>
      <c r="I4897" t="s">
        <v>189</v>
      </c>
      <c r="J4897">
        <v>1</v>
      </c>
      <c r="K4897" t="s">
        <v>12662</v>
      </c>
      <c r="L4897" t="s">
        <v>13052</v>
      </c>
      <c r="M4897" t="s">
        <v>282</v>
      </c>
    </row>
    <row r="4898" spans="1:40" x14ac:dyDescent="0.35">
      <c r="A4898">
        <v>7101058</v>
      </c>
      <c r="B4898" t="s">
        <v>13053</v>
      </c>
      <c r="C4898" t="str">
        <f>"9783428065455"</f>
        <v>9783428065455</v>
      </c>
      <c r="D4898" t="str">
        <f>"9783428465453"</f>
        <v>9783428465453</v>
      </c>
      <c r="E4898" t="s">
        <v>12661</v>
      </c>
      <c r="F4898" t="s">
        <v>12661</v>
      </c>
      <c r="G4898" s="1">
        <v>44692</v>
      </c>
      <c r="H4898" s="1">
        <v>44840</v>
      </c>
      <c r="I4898" t="s">
        <v>189</v>
      </c>
      <c r="J4898">
        <v>1</v>
      </c>
      <c r="K4898" t="s">
        <v>12662</v>
      </c>
      <c r="L4898" t="s">
        <v>13054</v>
      </c>
      <c r="M4898" t="s">
        <v>282</v>
      </c>
      <c r="Q4898" t="s">
        <v>408</v>
      </c>
      <c r="R4898" t="s">
        <v>261</v>
      </c>
      <c r="S4898" t="s">
        <v>261</v>
      </c>
      <c r="T4898" t="s">
        <v>261</v>
      </c>
      <c r="U4898" t="s">
        <v>262</v>
      </c>
      <c r="V4898" t="s">
        <v>262</v>
      </c>
      <c r="W4898" t="s">
        <v>261</v>
      </c>
      <c r="X4898" t="s">
        <v>262</v>
      </c>
      <c r="Y4898" t="s">
        <v>261</v>
      </c>
      <c r="AB4898" t="s">
        <v>409</v>
      </c>
      <c r="AC4898" t="s">
        <v>409</v>
      </c>
      <c r="AD4898" t="s">
        <v>261</v>
      </c>
      <c r="AH4898" t="s">
        <v>262</v>
      </c>
      <c r="AI4898" t="s">
        <v>262</v>
      </c>
      <c r="AJ4898" t="s">
        <v>261</v>
      </c>
      <c r="AK4898" t="s">
        <v>261</v>
      </c>
      <c r="AM4898" t="s">
        <v>262</v>
      </c>
      <c r="AN4898" t="s">
        <v>13055</v>
      </c>
    </row>
    <row r="4899" spans="1:40" x14ac:dyDescent="0.35">
      <c r="A4899">
        <v>7101059</v>
      </c>
      <c r="B4899" t="s">
        <v>13056</v>
      </c>
      <c r="C4899" t="str">
        <f>"9783428065899"</f>
        <v>9783428065899</v>
      </c>
      <c r="D4899" t="str">
        <f>"9783428465897"</f>
        <v>9783428465897</v>
      </c>
      <c r="E4899" t="s">
        <v>12661</v>
      </c>
      <c r="F4899" t="s">
        <v>12661</v>
      </c>
      <c r="G4899" s="1">
        <v>44792</v>
      </c>
      <c r="H4899" s="1">
        <v>44840</v>
      </c>
      <c r="I4899" t="s">
        <v>189</v>
      </c>
      <c r="J4899">
        <v>1</v>
      </c>
      <c r="K4899" t="s">
        <v>12662</v>
      </c>
      <c r="L4899" t="s">
        <v>13057</v>
      </c>
      <c r="M4899" t="s">
        <v>282</v>
      </c>
      <c r="Q4899" t="s">
        <v>408</v>
      </c>
      <c r="R4899" t="s">
        <v>261</v>
      </c>
      <c r="S4899" t="s">
        <v>261</v>
      </c>
      <c r="T4899" t="s">
        <v>261</v>
      </c>
      <c r="U4899" t="s">
        <v>262</v>
      </c>
      <c r="V4899" t="s">
        <v>262</v>
      </c>
      <c r="W4899" t="s">
        <v>261</v>
      </c>
      <c r="X4899" t="s">
        <v>262</v>
      </c>
      <c r="Y4899" t="s">
        <v>261</v>
      </c>
      <c r="AB4899" t="s">
        <v>409</v>
      </c>
      <c r="AC4899" t="s">
        <v>409</v>
      </c>
      <c r="AD4899" t="s">
        <v>261</v>
      </c>
      <c r="AH4899" t="s">
        <v>262</v>
      </c>
      <c r="AI4899" t="s">
        <v>262</v>
      </c>
      <c r="AJ4899" t="s">
        <v>261</v>
      </c>
      <c r="AK4899" t="s">
        <v>261</v>
      </c>
      <c r="AM4899" t="s">
        <v>262</v>
      </c>
      <c r="AN4899" t="s">
        <v>13058</v>
      </c>
    </row>
    <row r="4900" spans="1:40" x14ac:dyDescent="0.35">
      <c r="A4900">
        <v>7101060</v>
      </c>
      <c r="B4900" t="s">
        <v>13059</v>
      </c>
      <c r="C4900" t="str">
        <f>"9783428066346"</f>
        <v>9783428066346</v>
      </c>
      <c r="D4900" t="str">
        <f>"9783428466344"</f>
        <v>9783428466344</v>
      </c>
      <c r="E4900" t="s">
        <v>12661</v>
      </c>
      <c r="F4900" t="s">
        <v>12661</v>
      </c>
      <c r="G4900" s="1">
        <v>44792</v>
      </c>
      <c r="H4900" s="1">
        <v>44840</v>
      </c>
      <c r="I4900" t="s">
        <v>189</v>
      </c>
      <c r="J4900">
        <v>1</v>
      </c>
      <c r="K4900" t="s">
        <v>12662</v>
      </c>
      <c r="L4900" t="s">
        <v>12810</v>
      </c>
      <c r="M4900" t="s">
        <v>282</v>
      </c>
      <c r="Q4900" t="s">
        <v>408</v>
      </c>
      <c r="R4900" t="s">
        <v>261</v>
      </c>
      <c r="S4900" t="s">
        <v>261</v>
      </c>
      <c r="T4900" t="s">
        <v>261</v>
      </c>
      <c r="U4900" t="s">
        <v>262</v>
      </c>
      <c r="V4900" t="s">
        <v>262</v>
      </c>
      <c r="W4900" t="s">
        <v>261</v>
      </c>
      <c r="X4900" t="s">
        <v>262</v>
      </c>
      <c r="Y4900" t="s">
        <v>261</v>
      </c>
      <c r="AB4900" t="s">
        <v>409</v>
      </c>
      <c r="AC4900" t="s">
        <v>409</v>
      </c>
      <c r="AD4900" t="s">
        <v>261</v>
      </c>
      <c r="AH4900" t="s">
        <v>262</v>
      </c>
      <c r="AI4900" t="s">
        <v>262</v>
      </c>
      <c r="AJ4900" t="s">
        <v>261</v>
      </c>
      <c r="AK4900" t="s">
        <v>261</v>
      </c>
      <c r="AM4900" t="s">
        <v>262</v>
      </c>
      <c r="AN4900" t="s">
        <v>13060</v>
      </c>
    </row>
    <row r="4901" spans="1:40" x14ac:dyDescent="0.35">
      <c r="A4901">
        <v>7101061</v>
      </c>
      <c r="B4901" t="s">
        <v>13061</v>
      </c>
      <c r="C4901" t="str">
        <f>"9783428066957"</f>
        <v>9783428066957</v>
      </c>
      <c r="D4901" t="str">
        <f>"9783428466955"</f>
        <v>9783428466955</v>
      </c>
      <c r="E4901" t="s">
        <v>12661</v>
      </c>
      <c r="F4901" t="s">
        <v>12661</v>
      </c>
      <c r="G4901" s="1">
        <v>44792</v>
      </c>
      <c r="H4901" s="1">
        <v>44840</v>
      </c>
      <c r="I4901" t="s">
        <v>189</v>
      </c>
      <c r="J4901">
        <v>1</v>
      </c>
      <c r="K4901" t="s">
        <v>12662</v>
      </c>
      <c r="L4901" t="s">
        <v>13002</v>
      </c>
      <c r="M4901" t="s">
        <v>282</v>
      </c>
    </row>
    <row r="4902" spans="1:40" x14ac:dyDescent="0.35">
      <c r="A4902">
        <v>7101062</v>
      </c>
      <c r="B4902" t="s">
        <v>13062</v>
      </c>
      <c r="C4902" t="str">
        <f>"9783428066483"</f>
        <v>9783428066483</v>
      </c>
      <c r="D4902" t="str">
        <f>"9783428466481"</f>
        <v>9783428466481</v>
      </c>
      <c r="E4902" t="s">
        <v>12661</v>
      </c>
      <c r="F4902" t="s">
        <v>12661</v>
      </c>
      <c r="G4902" s="1">
        <v>44518</v>
      </c>
      <c r="H4902" s="1">
        <v>44840</v>
      </c>
      <c r="I4902" t="s">
        <v>189</v>
      </c>
      <c r="J4902">
        <v>1</v>
      </c>
      <c r="K4902" t="s">
        <v>12662</v>
      </c>
      <c r="L4902" t="s">
        <v>13054</v>
      </c>
      <c r="M4902" t="s">
        <v>282</v>
      </c>
    </row>
    <row r="4903" spans="1:40" x14ac:dyDescent="0.35">
      <c r="A4903">
        <v>7101063</v>
      </c>
      <c r="B4903" t="s">
        <v>13063</v>
      </c>
      <c r="C4903" t="str">
        <f>"9783428066988"</f>
        <v>9783428066988</v>
      </c>
      <c r="D4903" t="str">
        <f>"9783428466986"</f>
        <v>9783428466986</v>
      </c>
      <c r="E4903" t="s">
        <v>12661</v>
      </c>
      <c r="F4903" t="s">
        <v>12661</v>
      </c>
      <c r="G4903" s="1">
        <v>44792</v>
      </c>
      <c r="H4903" s="1">
        <v>44840</v>
      </c>
      <c r="I4903" t="s">
        <v>189</v>
      </c>
      <c r="J4903">
        <v>1</v>
      </c>
      <c r="K4903" t="s">
        <v>12662</v>
      </c>
      <c r="L4903" t="s">
        <v>13064</v>
      </c>
      <c r="M4903" t="s">
        <v>282</v>
      </c>
      <c r="Q4903" t="s">
        <v>408</v>
      </c>
      <c r="R4903" t="s">
        <v>261</v>
      </c>
      <c r="S4903" t="s">
        <v>261</v>
      </c>
      <c r="T4903" t="s">
        <v>261</v>
      </c>
      <c r="U4903" t="s">
        <v>262</v>
      </c>
      <c r="V4903" t="s">
        <v>262</v>
      </c>
      <c r="W4903" t="s">
        <v>261</v>
      </c>
      <c r="X4903" t="s">
        <v>262</v>
      </c>
      <c r="Y4903" t="s">
        <v>261</v>
      </c>
      <c r="AB4903" t="s">
        <v>409</v>
      </c>
      <c r="AC4903" t="s">
        <v>409</v>
      </c>
      <c r="AD4903" t="s">
        <v>261</v>
      </c>
      <c r="AH4903" t="s">
        <v>262</v>
      </c>
      <c r="AI4903" t="s">
        <v>262</v>
      </c>
      <c r="AJ4903" t="s">
        <v>261</v>
      </c>
      <c r="AK4903" t="s">
        <v>261</v>
      </c>
      <c r="AM4903" t="s">
        <v>262</v>
      </c>
      <c r="AN4903" t="s">
        <v>13065</v>
      </c>
    </row>
    <row r="4904" spans="1:40" x14ac:dyDescent="0.35">
      <c r="A4904">
        <v>7101064</v>
      </c>
      <c r="B4904" t="s">
        <v>13066</v>
      </c>
      <c r="C4904" t="str">
        <f>"9783428067008"</f>
        <v>9783428067008</v>
      </c>
      <c r="D4904" t="str">
        <f>"9783428467006"</f>
        <v>9783428467006</v>
      </c>
      <c r="E4904" t="s">
        <v>12661</v>
      </c>
      <c r="F4904" t="s">
        <v>12661</v>
      </c>
      <c r="G4904" s="1">
        <v>44792</v>
      </c>
      <c r="H4904" s="1">
        <v>44840</v>
      </c>
      <c r="I4904" t="s">
        <v>189</v>
      </c>
      <c r="J4904">
        <v>1</v>
      </c>
      <c r="K4904" t="s">
        <v>12662</v>
      </c>
      <c r="L4904" t="s">
        <v>13067</v>
      </c>
      <c r="M4904" t="s">
        <v>282</v>
      </c>
      <c r="Q4904" t="s">
        <v>408</v>
      </c>
      <c r="R4904" t="s">
        <v>261</v>
      </c>
      <c r="S4904" t="s">
        <v>261</v>
      </c>
      <c r="T4904" t="s">
        <v>261</v>
      </c>
      <c r="U4904" t="s">
        <v>262</v>
      </c>
      <c r="V4904" t="s">
        <v>262</v>
      </c>
      <c r="W4904" t="s">
        <v>261</v>
      </c>
      <c r="X4904" t="s">
        <v>262</v>
      </c>
      <c r="Y4904" t="s">
        <v>261</v>
      </c>
      <c r="AB4904" t="s">
        <v>409</v>
      </c>
      <c r="AC4904" t="s">
        <v>409</v>
      </c>
      <c r="AD4904" t="s">
        <v>261</v>
      </c>
      <c r="AH4904" t="s">
        <v>262</v>
      </c>
      <c r="AI4904" t="s">
        <v>262</v>
      </c>
      <c r="AJ4904" t="s">
        <v>261</v>
      </c>
      <c r="AK4904" t="s">
        <v>261</v>
      </c>
      <c r="AM4904" t="s">
        <v>262</v>
      </c>
      <c r="AN4904" t="s">
        <v>13068</v>
      </c>
    </row>
    <row r="4905" spans="1:40" x14ac:dyDescent="0.35">
      <c r="A4905">
        <v>7101065</v>
      </c>
      <c r="B4905" t="s">
        <v>13069</v>
      </c>
      <c r="C4905" t="str">
        <f>"9783428067275"</f>
        <v>9783428067275</v>
      </c>
      <c r="D4905" t="str">
        <f>"9783428467273"</f>
        <v>9783428467273</v>
      </c>
      <c r="E4905" t="s">
        <v>12661</v>
      </c>
      <c r="F4905" t="s">
        <v>12661</v>
      </c>
      <c r="G4905" s="1">
        <v>44792</v>
      </c>
      <c r="H4905" s="1">
        <v>44840</v>
      </c>
      <c r="I4905" t="s">
        <v>189</v>
      </c>
      <c r="J4905">
        <v>1</v>
      </c>
      <c r="K4905" t="s">
        <v>12662</v>
      </c>
      <c r="L4905" t="s">
        <v>12776</v>
      </c>
      <c r="M4905" t="s">
        <v>282</v>
      </c>
    </row>
    <row r="4906" spans="1:40" x14ac:dyDescent="0.35">
      <c r="A4906">
        <v>7101066</v>
      </c>
      <c r="B4906" t="s">
        <v>13070</v>
      </c>
      <c r="C4906" t="str">
        <f>"9783428068616"</f>
        <v>9783428068616</v>
      </c>
      <c r="D4906" t="str">
        <f>"9783428468614"</f>
        <v>9783428468614</v>
      </c>
      <c r="E4906" t="s">
        <v>12661</v>
      </c>
      <c r="F4906" t="s">
        <v>12661</v>
      </c>
      <c r="G4906" s="1">
        <v>43518</v>
      </c>
      <c r="H4906" s="1">
        <v>44840</v>
      </c>
      <c r="I4906" t="s">
        <v>189</v>
      </c>
      <c r="J4906">
        <v>1</v>
      </c>
      <c r="K4906" t="s">
        <v>12732</v>
      </c>
      <c r="L4906" t="s">
        <v>13071</v>
      </c>
    </row>
    <row r="4907" spans="1:40" x14ac:dyDescent="0.35">
      <c r="A4907">
        <v>7101067</v>
      </c>
      <c r="B4907" t="s">
        <v>13072</v>
      </c>
      <c r="C4907" t="str">
        <f>"9783428069323"</f>
        <v>9783428069323</v>
      </c>
      <c r="D4907" t="str">
        <f>"9783428469321"</f>
        <v>9783428469321</v>
      </c>
      <c r="E4907" t="s">
        <v>12661</v>
      </c>
      <c r="F4907" t="s">
        <v>12661</v>
      </c>
      <c r="G4907" s="1">
        <v>43518</v>
      </c>
      <c r="H4907" s="1">
        <v>44840</v>
      </c>
      <c r="I4907" t="s">
        <v>189</v>
      </c>
      <c r="J4907">
        <v>1</v>
      </c>
      <c r="K4907" t="s">
        <v>12732</v>
      </c>
      <c r="L4907" t="s">
        <v>13073</v>
      </c>
      <c r="M4907" t="s">
        <v>282</v>
      </c>
      <c r="Q4907" t="s">
        <v>408</v>
      </c>
      <c r="R4907" t="s">
        <v>261</v>
      </c>
      <c r="S4907" t="s">
        <v>261</v>
      </c>
      <c r="T4907" t="s">
        <v>261</v>
      </c>
      <c r="U4907" t="s">
        <v>262</v>
      </c>
      <c r="V4907" t="s">
        <v>262</v>
      </c>
      <c r="W4907" t="s">
        <v>261</v>
      </c>
      <c r="X4907" t="s">
        <v>262</v>
      </c>
      <c r="Y4907" t="s">
        <v>261</v>
      </c>
      <c r="AB4907" t="s">
        <v>409</v>
      </c>
      <c r="AC4907" t="s">
        <v>409</v>
      </c>
      <c r="AD4907" t="s">
        <v>261</v>
      </c>
      <c r="AH4907" t="s">
        <v>262</v>
      </c>
      <c r="AI4907" t="s">
        <v>262</v>
      </c>
      <c r="AJ4907" t="s">
        <v>261</v>
      </c>
      <c r="AK4907" t="s">
        <v>261</v>
      </c>
      <c r="AM4907" t="s">
        <v>262</v>
      </c>
      <c r="AN4907" t="s">
        <v>13074</v>
      </c>
    </row>
    <row r="4908" spans="1:40" x14ac:dyDescent="0.35">
      <c r="A4908">
        <v>7101068</v>
      </c>
      <c r="B4908" t="s">
        <v>13075</v>
      </c>
      <c r="C4908" t="str">
        <f>"9783428069408"</f>
        <v>9783428069408</v>
      </c>
      <c r="D4908" t="str">
        <f>"9783428469406"</f>
        <v>9783428469406</v>
      </c>
      <c r="E4908" t="s">
        <v>12661</v>
      </c>
      <c r="F4908" t="s">
        <v>12661</v>
      </c>
      <c r="G4908" s="1">
        <v>43518</v>
      </c>
      <c r="H4908" s="1">
        <v>44840</v>
      </c>
      <c r="I4908" t="s">
        <v>189</v>
      </c>
      <c r="J4908">
        <v>1</v>
      </c>
      <c r="K4908" t="s">
        <v>12732</v>
      </c>
      <c r="L4908" t="s">
        <v>13076</v>
      </c>
    </row>
    <row r="4909" spans="1:40" x14ac:dyDescent="0.35">
      <c r="A4909">
        <v>7101069</v>
      </c>
      <c r="B4909" t="s">
        <v>13077</v>
      </c>
      <c r="C4909" t="str">
        <f>"9783428069781"</f>
        <v>9783428069781</v>
      </c>
      <c r="D4909" t="str">
        <f>"9783428469789"</f>
        <v>9783428469789</v>
      </c>
      <c r="E4909" t="s">
        <v>12661</v>
      </c>
      <c r="F4909" t="s">
        <v>12661</v>
      </c>
      <c r="G4909" s="1">
        <v>44518</v>
      </c>
      <c r="H4909" s="1">
        <v>44840</v>
      </c>
      <c r="I4909" t="s">
        <v>189</v>
      </c>
      <c r="J4909">
        <v>1</v>
      </c>
      <c r="K4909" t="s">
        <v>12662</v>
      </c>
      <c r="L4909" t="s">
        <v>13054</v>
      </c>
      <c r="M4909" t="s">
        <v>282</v>
      </c>
      <c r="Q4909" t="s">
        <v>408</v>
      </c>
      <c r="R4909" t="s">
        <v>261</v>
      </c>
      <c r="S4909" t="s">
        <v>261</v>
      </c>
      <c r="T4909" t="s">
        <v>261</v>
      </c>
      <c r="U4909" t="s">
        <v>262</v>
      </c>
      <c r="V4909" t="s">
        <v>262</v>
      </c>
      <c r="W4909" t="s">
        <v>261</v>
      </c>
      <c r="X4909" t="s">
        <v>262</v>
      </c>
      <c r="Y4909" t="s">
        <v>261</v>
      </c>
      <c r="AB4909" t="s">
        <v>409</v>
      </c>
      <c r="AC4909" t="s">
        <v>409</v>
      </c>
      <c r="AD4909" t="s">
        <v>261</v>
      </c>
      <c r="AH4909" t="s">
        <v>262</v>
      </c>
      <c r="AI4909" t="s">
        <v>262</v>
      </c>
      <c r="AJ4909" t="s">
        <v>261</v>
      </c>
      <c r="AK4909" t="s">
        <v>261</v>
      </c>
      <c r="AM4909" t="s">
        <v>262</v>
      </c>
      <c r="AN4909" t="s">
        <v>13078</v>
      </c>
    </row>
    <row r="4910" spans="1:40" x14ac:dyDescent="0.35">
      <c r="A4910">
        <v>7101070</v>
      </c>
      <c r="B4910" t="s">
        <v>13079</v>
      </c>
      <c r="C4910" t="str">
        <f>"9783428071258"</f>
        <v>9783428071258</v>
      </c>
      <c r="D4910" t="str">
        <f>"9783428471256"</f>
        <v>9783428471256</v>
      </c>
      <c r="E4910" t="s">
        <v>12661</v>
      </c>
      <c r="F4910" t="s">
        <v>12661</v>
      </c>
      <c r="G4910" s="1">
        <v>43518</v>
      </c>
      <c r="H4910" s="1">
        <v>44840</v>
      </c>
      <c r="I4910" t="s">
        <v>189</v>
      </c>
      <c r="J4910">
        <v>1</v>
      </c>
      <c r="K4910" t="s">
        <v>12732</v>
      </c>
      <c r="L4910" t="s">
        <v>13080</v>
      </c>
      <c r="M4910" t="s">
        <v>210</v>
      </c>
    </row>
    <row r="4911" spans="1:40" x14ac:dyDescent="0.35">
      <c r="A4911">
        <v>7101071</v>
      </c>
      <c r="B4911" t="s">
        <v>13081</v>
      </c>
      <c r="C4911" t="str">
        <f>"9783428073412"</f>
        <v>9783428073412</v>
      </c>
      <c r="D4911" t="str">
        <f>"9783428473410"</f>
        <v>9783428473410</v>
      </c>
      <c r="E4911" t="s">
        <v>12661</v>
      </c>
      <c r="F4911" t="s">
        <v>12661</v>
      </c>
      <c r="G4911" s="1">
        <v>43518</v>
      </c>
      <c r="H4911" s="1">
        <v>44840</v>
      </c>
      <c r="I4911" t="s">
        <v>189</v>
      </c>
      <c r="J4911">
        <v>1</v>
      </c>
      <c r="K4911" t="s">
        <v>12732</v>
      </c>
      <c r="L4911" t="s">
        <v>13082</v>
      </c>
      <c r="M4911" t="s">
        <v>3871</v>
      </c>
      <c r="Q4911" t="s">
        <v>408</v>
      </c>
      <c r="R4911" t="s">
        <v>261</v>
      </c>
      <c r="S4911" t="s">
        <v>261</v>
      </c>
      <c r="T4911" t="s">
        <v>261</v>
      </c>
      <c r="U4911" t="s">
        <v>262</v>
      </c>
      <c r="V4911" t="s">
        <v>262</v>
      </c>
      <c r="W4911" t="s">
        <v>261</v>
      </c>
      <c r="X4911" t="s">
        <v>262</v>
      </c>
      <c r="Y4911" t="s">
        <v>261</v>
      </c>
      <c r="AB4911" t="s">
        <v>409</v>
      </c>
      <c r="AC4911" t="s">
        <v>409</v>
      </c>
      <c r="AD4911" t="s">
        <v>261</v>
      </c>
      <c r="AH4911" t="s">
        <v>262</v>
      </c>
      <c r="AI4911" t="s">
        <v>262</v>
      </c>
      <c r="AJ4911" t="s">
        <v>261</v>
      </c>
      <c r="AK4911" t="s">
        <v>261</v>
      </c>
      <c r="AM4911" t="s">
        <v>262</v>
      </c>
      <c r="AN4911" t="s">
        <v>13083</v>
      </c>
    </row>
    <row r="4912" spans="1:40" x14ac:dyDescent="0.35">
      <c r="A4912">
        <v>7101072</v>
      </c>
      <c r="B4912" t="s">
        <v>13084</v>
      </c>
      <c r="C4912" t="str">
        <f>"9783428073450"</f>
        <v>9783428073450</v>
      </c>
      <c r="D4912" t="str">
        <f>"9783428473458"</f>
        <v>9783428473458</v>
      </c>
      <c r="E4912" t="s">
        <v>12661</v>
      </c>
      <c r="F4912" t="s">
        <v>12661</v>
      </c>
      <c r="G4912" s="1">
        <v>44518</v>
      </c>
      <c r="H4912" s="1">
        <v>44840</v>
      </c>
      <c r="I4912" t="s">
        <v>189</v>
      </c>
      <c r="J4912">
        <v>1</v>
      </c>
      <c r="K4912" t="s">
        <v>12662</v>
      </c>
      <c r="L4912" t="s">
        <v>13054</v>
      </c>
      <c r="M4912" t="s">
        <v>282</v>
      </c>
      <c r="Q4912" t="s">
        <v>408</v>
      </c>
      <c r="R4912" t="s">
        <v>261</v>
      </c>
      <c r="S4912" t="s">
        <v>261</v>
      </c>
      <c r="T4912" t="s">
        <v>261</v>
      </c>
      <c r="U4912" t="s">
        <v>262</v>
      </c>
      <c r="V4912" t="s">
        <v>262</v>
      </c>
      <c r="W4912" t="s">
        <v>261</v>
      </c>
      <c r="X4912" t="s">
        <v>262</v>
      </c>
      <c r="Y4912" t="s">
        <v>261</v>
      </c>
      <c r="AB4912" t="s">
        <v>409</v>
      </c>
      <c r="AC4912" t="s">
        <v>409</v>
      </c>
      <c r="AD4912" t="s">
        <v>261</v>
      </c>
      <c r="AH4912" t="s">
        <v>262</v>
      </c>
      <c r="AI4912" t="s">
        <v>262</v>
      </c>
      <c r="AJ4912" t="s">
        <v>261</v>
      </c>
      <c r="AK4912" t="s">
        <v>261</v>
      </c>
      <c r="AM4912" t="s">
        <v>262</v>
      </c>
      <c r="AN4912" t="s">
        <v>13085</v>
      </c>
    </row>
    <row r="4913" spans="1:40" x14ac:dyDescent="0.35">
      <c r="A4913">
        <v>7101073</v>
      </c>
      <c r="B4913" t="s">
        <v>13086</v>
      </c>
      <c r="C4913" t="str">
        <f>"9783428076628"</f>
        <v>9783428076628</v>
      </c>
      <c r="D4913" t="str">
        <f>"9783428476626"</f>
        <v>9783428476626</v>
      </c>
      <c r="E4913" t="s">
        <v>12661</v>
      </c>
      <c r="F4913" t="s">
        <v>12661</v>
      </c>
      <c r="G4913" s="1">
        <v>43518</v>
      </c>
      <c r="H4913" s="1">
        <v>44840</v>
      </c>
      <c r="I4913" t="s">
        <v>189</v>
      </c>
      <c r="J4913">
        <v>1</v>
      </c>
      <c r="K4913" t="s">
        <v>12732</v>
      </c>
      <c r="L4913" t="s">
        <v>13087</v>
      </c>
    </row>
    <row r="4914" spans="1:40" x14ac:dyDescent="0.35">
      <c r="A4914">
        <v>7101074</v>
      </c>
      <c r="B4914" t="s">
        <v>13088</v>
      </c>
      <c r="C4914" t="str">
        <f>"9783428078202"</f>
        <v>9783428078202</v>
      </c>
      <c r="D4914" t="str">
        <f>"9783428478200"</f>
        <v>9783428478200</v>
      </c>
      <c r="E4914" t="s">
        <v>12661</v>
      </c>
      <c r="F4914" t="s">
        <v>12661</v>
      </c>
      <c r="G4914" s="1">
        <v>43518</v>
      </c>
      <c r="H4914" s="1">
        <v>44840</v>
      </c>
      <c r="I4914" t="s">
        <v>189</v>
      </c>
      <c r="J4914">
        <v>1</v>
      </c>
      <c r="K4914" t="s">
        <v>12732</v>
      </c>
      <c r="L4914" t="s">
        <v>13089</v>
      </c>
      <c r="M4914" t="s">
        <v>210</v>
      </c>
    </row>
    <row r="4915" spans="1:40" x14ac:dyDescent="0.35">
      <c r="A4915">
        <v>7101075</v>
      </c>
      <c r="B4915" t="s">
        <v>13090</v>
      </c>
      <c r="C4915" t="str">
        <f>"9783428079551"</f>
        <v>9783428079551</v>
      </c>
      <c r="D4915" t="str">
        <f>"9783428479559"</f>
        <v>9783428479559</v>
      </c>
      <c r="E4915" t="s">
        <v>12661</v>
      </c>
      <c r="F4915" t="s">
        <v>12661</v>
      </c>
      <c r="G4915" s="1">
        <v>43517</v>
      </c>
      <c r="H4915" s="1">
        <v>44840</v>
      </c>
      <c r="I4915" t="s">
        <v>189</v>
      </c>
      <c r="J4915">
        <v>1</v>
      </c>
      <c r="K4915" t="s">
        <v>12732</v>
      </c>
      <c r="L4915" t="s">
        <v>13091</v>
      </c>
      <c r="M4915" t="s">
        <v>210</v>
      </c>
    </row>
    <row r="4916" spans="1:40" x14ac:dyDescent="0.35">
      <c r="A4916">
        <v>7101076</v>
      </c>
      <c r="B4916" t="s">
        <v>13092</v>
      </c>
      <c r="C4916" t="str">
        <f>"9783428082315"</f>
        <v>9783428082315</v>
      </c>
      <c r="D4916" t="str">
        <f>"9783428482313"</f>
        <v>9783428482313</v>
      </c>
      <c r="E4916" t="s">
        <v>12661</v>
      </c>
      <c r="F4916" t="s">
        <v>12661</v>
      </c>
      <c r="G4916" s="1">
        <v>43517</v>
      </c>
      <c r="H4916" s="1">
        <v>44840</v>
      </c>
      <c r="I4916" t="s">
        <v>189</v>
      </c>
      <c r="J4916">
        <v>1</v>
      </c>
      <c r="K4916" t="s">
        <v>12732</v>
      </c>
      <c r="L4916" t="s">
        <v>13093</v>
      </c>
    </row>
    <row r="4917" spans="1:40" x14ac:dyDescent="0.35">
      <c r="A4917">
        <v>7101077</v>
      </c>
      <c r="B4917" t="s">
        <v>13094</v>
      </c>
      <c r="C4917" t="str">
        <f>"9783428082919"</f>
        <v>9783428082919</v>
      </c>
      <c r="D4917" t="str">
        <f>"9783428482917"</f>
        <v>9783428482917</v>
      </c>
      <c r="E4917" t="s">
        <v>12661</v>
      </c>
      <c r="F4917" t="s">
        <v>12661</v>
      </c>
      <c r="G4917" s="1">
        <v>43517</v>
      </c>
      <c r="H4917" s="1">
        <v>44840</v>
      </c>
      <c r="I4917" t="s">
        <v>189</v>
      </c>
      <c r="J4917">
        <v>1</v>
      </c>
      <c r="K4917" t="s">
        <v>12732</v>
      </c>
      <c r="L4917" t="s">
        <v>13095</v>
      </c>
      <c r="M4917" t="s">
        <v>249</v>
      </c>
    </row>
    <row r="4918" spans="1:40" x14ac:dyDescent="0.35">
      <c r="A4918">
        <v>7101078</v>
      </c>
      <c r="B4918" t="s">
        <v>13096</v>
      </c>
      <c r="C4918" t="str">
        <f>"9783428084159"</f>
        <v>9783428084159</v>
      </c>
      <c r="D4918" t="str">
        <f>"9783428484157"</f>
        <v>9783428484157</v>
      </c>
      <c r="E4918" t="s">
        <v>12661</v>
      </c>
      <c r="F4918" t="s">
        <v>12661</v>
      </c>
      <c r="G4918" s="1">
        <v>43257</v>
      </c>
      <c r="H4918" s="1">
        <v>44840</v>
      </c>
      <c r="I4918" t="s">
        <v>189</v>
      </c>
      <c r="J4918">
        <v>1</v>
      </c>
      <c r="K4918" t="s">
        <v>12732</v>
      </c>
      <c r="L4918" t="s">
        <v>136</v>
      </c>
      <c r="M4918" t="s">
        <v>210</v>
      </c>
    </row>
    <row r="4919" spans="1:40" x14ac:dyDescent="0.35">
      <c r="A4919">
        <v>7101079</v>
      </c>
      <c r="B4919" t="s">
        <v>13097</v>
      </c>
      <c r="C4919" t="str">
        <f>"9783428086054"</f>
        <v>9783428086054</v>
      </c>
      <c r="D4919" t="str">
        <f>"9783428486052"</f>
        <v>9783428486052</v>
      </c>
      <c r="E4919" t="s">
        <v>12661</v>
      </c>
      <c r="F4919" t="s">
        <v>12661</v>
      </c>
      <c r="G4919" s="1">
        <v>43256</v>
      </c>
      <c r="H4919" s="1">
        <v>44840</v>
      </c>
      <c r="I4919" t="s">
        <v>189</v>
      </c>
      <c r="J4919">
        <v>1</v>
      </c>
      <c r="K4919" t="s">
        <v>12732</v>
      </c>
      <c r="L4919" t="s">
        <v>13098</v>
      </c>
      <c r="M4919" t="s">
        <v>847</v>
      </c>
    </row>
    <row r="4920" spans="1:40" x14ac:dyDescent="0.35">
      <c r="A4920">
        <v>7101080</v>
      </c>
      <c r="B4920" t="s">
        <v>13099</v>
      </c>
      <c r="C4920" t="str">
        <f>"9783428092505"</f>
        <v>9783428092505</v>
      </c>
      <c r="D4920" t="str">
        <f>"9783428492503"</f>
        <v>9783428492503</v>
      </c>
      <c r="E4920" t="s">
        <v>12661</v>
      </c>
      <c r="F4920" t="s">
        <v>12661</v>
      </c>
      <c r="G4920" s="1">
        <v>43250</v>
      </c>
      <c r="H4920" s="1">
        <v>44840</v>
      </c>
      <c r="I4920" t="s">
        <v>189</v>
      </c>
      <c r="J4920">
        <v>1</v>
      </c>
      <c r="K4920" t="s">
        <v>12732</v>
      </c>
      <c r="L4920" t="s">
        <v>13100</v>
      </c>
      <c r="M4920" t="s">
        <v>210</v>
      </c>
      <c r="Q4920" t="s">
        <v>408</v>
      </c>
      <c r="R4920" t="s">
        <v>261</v>
      </c>
      <c r="S4920" t="s">
        <v>261</v>
      </c>
      <c r="T4920" t="s">
        <v>261</v>
      </c>
      <c r="U4920" t="s">
        <v>262</v>
      </c>
      <c r="V4920" t="s">
        <v>262</v>
      </c>
      <c r="W4920" t="s">
        <v>261</v>
      </c>
      <c r="X4920" t="s">
        <v>262</v>
      </c>
      <c r="Y4920" t="s">
        <v>261</v>
      </c>
      <c r="AB4920" t="s">
        <v>409</v>
      </c>
      <c r="AC4920" t="s">
        <v>409</v>
      </c>
      <c r="AD4920" t="s">
        <v>261</v>
      </c>
      <c r="AH4920" t="s">
        <v>262</v>
      </c>
      <c r="AI4920" t="s">
        <v>262</v>
      </c>
      <c r="AJ4920" t="s">
        <v>261</v>
      </c>
      <c r="AK4920" t="s">
        <v>261</v>
      </c>
      <c r="AM4920" t="s">
        <v>262</v>
      </c>
      <c r="AN4920" t="s">
        <v>13101</v>
      </c>
    </row>
    <row r="4921" spans="1:40" x14ac:dyDescent="0.35">
      <c r="A4921">
        <v>7101081</v>
      </c>
      <c r="B4921" t="s">
        <v>13102</v>
      </c>
      <c r="C4921" t="str">
        <f>"9783428102600"</f>
        <v>9783428102600</v>
      </c>
      <c r="D4921" t="str">
        <f>"9783428502608"</f>
        <v>9783428502608</v>
      </c>
      <c r="E4921" t="s">
        <v>12661</v>
      </c>
      <c r="F4921" t="s">
        <v>12661</v>
      </c>
      <c r="G4921" s="1">
        <v>43171</v>
      </c>
      <c r="H4921" s="1">
        <v>44840</v>
      </c>
      <c r="I4921" t="s">
        <v>189</v>
      </c>
      <c r="J4921">
        <v>1</v>
      </c>
      <c r="K4921" t="s">
        <v>13103</v>
      </c>
      <c r="L4921" t="s">
        <v>13104</v>
      </c>
      <c r="M4921" t="s">
        <v>210</v>
      </c>
    </row>
    <row r="4922" spans="1:40" x14ac:dyDescent="0.35">
      <c r="A4922">
        <v>7101167</v>
      </c>
      <c r="B4922" t="s">
        <v>13105</v>
      </c>
      <c r="C4922" t="str">
        <f>"9783428154234"</f>
        <v>9783428154234</v>
      </c>
      <c r="D4922" t="str">
        <f>"9783428554232"</f>
        <v>9783428554232</v>
      </c>
      <c r="E4922" t="s">
        <v>12661</v>
      </c>
      <c r="F4922" t="s">
        <v>12661</v>
      </c>
      <c r="G4922" s="1">
        <v>43677</v>
      </c>
      <c r="H4922" s="1">
        <v>44840</v>
      </c>
      <c r="I4922" t="s">
        <v>189</v>
      </c>
      <c r="J4922">
        <v>1</v>
      </c>
      <c r="K4922" t="s">
        <v>13106</v>
      </c>
      <c r="L4922" t="s">
        <v>13107</v>
      </c>
      <c r="M4922" t="s">
        <v>316</v>
      </c>
      <c r="Q4922" t="s">
        <v>260</v>
      </c>
      <c r="R4922" t="s">
        <v>261</v>
      </c>
      <c r="S4922" t="s">
        <v>261</v>
      </c>
      <c r="T4922" t="s">
        <v>261</v>
      </c>
      <c r="U4922" t="s">
        <v>262</v>
      </c>
      <c r="V4922" t="s">
        <v>262</v>
      </c>
      <c r="W4922" t="s">
        <v>261</v>
      </c>
      <c r="X4922" t="s">
        <v>262</v>
      </c>
      <c r="Y4922" t="s">
        <v>261</v>
      </c>
      <c r="AB4922" t="s">
        <v>409</v>
      </c>
      <c r="AC4922" t="s">
        <v>409</v>
      </c>
      <c r="AD4922" t="s">
        <v>261</v>
      </c>
      <c r="AH4922" t="s">
        <v>262</v>
      </c>
      <c r="AI4922" t="s">
        <v>262</v>
      </c>
      <c r="AJ4922" t="s">
        <v>261</v>
      </c>
      <c r="AK4922" t="s">
        <v>261</v>
      </c>
      <c r="AM4922" t="s">
        <v>262</v>
      </c>
      <c r="AN4922" t="s">
        <v>13108</v>
      </c>
    </row>
    <row r="4923" spans="1:40" x14ac:dyDescent="0.35">
      <c r="A4923">
        <v>7101175</v>
      </c>
      <c r="B4923" t="s">
        <v>13109</v>
      </c>
      <c r="C4923" t="str">
        <f>"9783428150441"</f>
        <v>9783428150441</v>
      </c>
      <c r="D4923" t="str">
        <f>"9783428550449"</f>
        <v>9783428550449</v>
      </c>
      <c r="E4923" t="s">
        <v>12661</v>
      </c>
      <c r="F4923" t="s">
        <v>12661</v>
      </c>
      <c r="G4923" s="1">
        <v>42978</v>
      </c>
      <c r="H4923" s="1">
        <v>44840</v>
      </c>
      <c r="I4923" t="s">
        <v>189</v>
      </c>
      <c r="J4923">
        <v>1</v>
      </c>
      <c r="K4923" t="s">
        <v>13110</v>
      </c>
      <c r="L4923" t="s">
        <v>13111</v>
      </c>
    </row>
    <row r="4924" spans="1:40" x14ac:dyDescent="0.35">
      <c r="A4924">
        <v>7101176</v>
      </c>
      <c r="B4924" t="s">
        <v>13112</v>
      </c>
      <c r="C4924" t="str">
        <f>"9783428153329"</f>
        <v>9783428153329</v>
      </c>
      <c r="D4924" t="str">
        <f>"9783428553327"</f>
        <v>9783428553327</v>
      </c>
      <c r="E4924" t="s">
        <v>12661</v>
      </c>
      <c r="F4924" t="s">
        <v>12661</v>
      </c>
      <c r="G4924" s="1">
        <v>43412</v>
      </c>
      <c r="H4924" s="1">
        <v>44840</v>
      </c>
      <c r="I4924" t="s">
        <v>189</v>
      </c>
      <c r="J4924">
        <v>1</v>
      </c>
      <c r="K4924" t="s">
        <v>13110</v>
      </c>
      <c r="L4924" t="s">
        <v>13113</v>
      </c>
    </row>
    <row r="4925" spans="1:40" x14ac:dyDescent="0.35">
      <c r="A4925">
        <v>7101177</v>
      </c>
      <c r="B4925" t="s">
        <v>13114</v>
      </c>
      <c r="C4925" t="str">
        <f>"9783428154449"</f>
        <v>9783428154449</v>
      </c>
      <c r="D4925" t="str">
        <f>"9783428554447"</f>
        <v>9783428554447</v>
      </c>
      <c r="E4925" t="s">
        <v>12661</v>
      </c>
      <c r="F4925" t="s">
        <v>12661</v>
      </c>
      <c r="G4925" s="1">
        <v>43535</v>
      </c>
      <c r="H4925" s="1">
        <v>44840</v>
      </c>
      <c r="I4925" t="s">
        <v>189</v>
      </c>
      <c r="J4925">
        <v>1</v>
      </c>
      <c r="K4925" t="s">
        <v>13110</v>
      </c>
      <c r="L4925" t="s">
        <v>13111</v>
      </c>
    </row>
    <row r="4926" spans="1:40" x14ac:dyDescent="0.35">
      <c r="A4926">
        <v>7101178</v>
      </c>
      <c r="B4926" t="s">
        <v>13115</v>
      </c>
      <c r="C4926" t="str">
        <f>"9783428155415"</f>
        <v>9783428155415</v>
      </c>
      <c r="D4926" t="str">
        <f>"9783428555413"</f>
        <v>9783428555413</v>
      </c>
      <c r="E4926" t="s">
        <v>12661</v>
      </c>
      <c r="F4926" t="s">
        <v>12661</v>
      </c>
      <c r="G4926" s="1">
        <v>43874</v>
      </c>
      <c r="H4926" s="1">
        <v>44840</v>
      </c>
      <c r="I4926" t="s">
        <v>189</v>
      </c>
      <c r="J4926">
        <v>1</v>
      </c>
      <c r="K4926" t="s">
        <v>13110</v>
      </c>
      <c r="L4926" t="s">
        <v>13116</v>
      </c>
    </row>
    <row r="4927" spans="1:40" x14ac:dyDescent="0.35">
      <c r="A4927">
        <v>7101179</v>
      </c>
      <c r="B4927" t="s">
        <v>13117</v>
      </c>
      <c r="C4927" t="str">
        <f>"9783428157167"</f>
        <v>9783428157167</v>
      </c>
      <c r="D4927" t="str">
        <f>"9783428557165"</f>
        <v>9783428557165</v>
      </c>
      <c r="E4927" t="s">
        <v>12661</v>
      </c>
      <c r="F4927" t="s">
        <v>12661</v>
      </c>
      <c r="G4927" s="1">
        <v>44253</v>
      </c>
      <c r="H4927" s="1">
        <v>44840</v>
      </c>
      <c r="I4927" t="s">
        <v>189</v>
      </c>
      <c r="J4927">
        <v>1</v>
      </c>
      <c r="K4927" t="s">
        <v>13110</v>
      </c>
      <c r="L4927" t="s">
        <v>13118</v>
      </c>
    </row>
    <row r="4928" spans="1:40" x14ac:dyDescent="0.35">
      <c r="A4928">
        <v>7101180</v>
      </c>
      <c r="B4928" t="s">
        <v>13119</v>
      </c>
      <c r="C4928" t="str">
        <f>"9783428157310"</f>
        <v>9783428157310</v>
      </c>
      <c r="D4928" t="str">
        <f>"9783428557318"</f>
        <v>9783428557318</v>
      </c>
      <c r="E4928" t="s">
        <v>12661</v>
      </c>
      <c r="F4928" t="s">
        <v>12661</v>
      </c>
      <c r="G4928" s="1">
        <v>44163</v>
      </c>
      <c r="H4928" s="1">
        <v>44840</v>
      </c>
      <c r="I4928" t="s">
        <v>189</v>
      </c>
      <c r="J4928">
        <v>1</v>
      </c>
      <c r="K4928" t="s">
        <v>13110</v>
      </c>
      <c r="L4928" t="s">
        <v>13120</v>
      </c>
      <c r="M4928" t="s">
        <v>239</v>
      </c>
      <c r="Q4928" t="s">
        <v>408</v>
      </c>
      <c r="R4928" t="s">
        <v>261</v>
      </c>
      <c r="S4928" t="s">
        <v>261</v>
      </c>
      <c r="T4928" t="s">
        <v>261</v>
      </c>
      <c r="U4928" t="s">
        <v>262</v>
      </c>
      <c r="V4928" t="s">
        <v>262</v>
      </c>
      <c r="W4928" t="s">
        <v>261</v>
      </c>
      <c r="X4928" t="s">
        <v>262</v>
      </c>
      <c r="Y4928" t="s">
        <v>261</v>
      </c>
      <c r="AB4928" t="s">
        <v>409</v>
      </c>
      <c r="AC4928" t="s">
        <v>409</v>
      </c>
      <c r="AD4928" t="s">
        <v>261</v>
      </c>
      <c r="AH4928" t="s">
        <v>262</v>
      </c>
      <c r="AI4928" t="s">
        <v>262</v>
      </c>
      <c r="AJ4928" t="s">
        <v>261</v>
      </c>
      <c r="AK4928" t="s">
        <v>261</v>
      </c>
      <c r="AM4928" t="s">
        <v>262</v>
      </c>
      <c r="AN4928" t="s">
        <v>13121</v>
      </c>
    </row>
    <row r="4929" spans="1:40" x14ac:dyDescent="0.35">
      <c r="A4929">
        <v>7101181</v>
      </c>
      <c r="B4929" t="s">
        <v>13122</v>
      </c>
      <c r="C4929" t="str">
        <f>"9783428159314"</f>
        <v>9783428159314</v>
      </c>
      <c r="D4929" t="str">
        <f>"9783428559312"</f>
        <v>9783428559312</v>
      </c>
      <c r="E4929" t="s">
        <v>12661</v>
      </c>
      <c r="F4929" t="s">
        <v>12661</v>
      </c>
      <c r="G4929" s="1">
        <v>43950</v>
      </c>
      <c r="H4929" s="1">
        <v>44840</v>
      </c>
      <c r="I4929" t="s">
        <v>189</v>
      </c>
      <c r="J4929">
        <v>1</v>
      </c>
      <c r="K4929" t="s">
        <v>13123</v>
      </c>
      <c r="L4929" t="s">
        <v>13124</v>
      </c>
      <c r="M4929" t="s">
        <v>316</v>
      </c>
      <c r="Q4929" t="s">
        <v>408</v>
      </c>
      <c r="R4929" t="s">
        <v>261</v>
      </c>
      <c r="S4929" t="s">
        <v>261</v>
      </c>
      <c r="T4929" t="s">
        <v>261</v>
      </c>
      <c r="U4929" t="s">
        <v>262</v>
      </c>
      <c r="V4929" t="s">
        <v>262</v>
      </c>
      <c r="W4929" t="s">
        <v>261</v>
      </c>
      <c r="X4929" t="s">
        <v>262</v>
      </c>
      <c r="Y4929" t="s">
        <v>261</v>
      </c>
      <c r="AB4929" t="s">
        <v>409</v>
      </c>
      <c r="AC4929" t="s">
        <v>409</v>
      </c>
      <c r="AD4929" t="s">
        <v>261</v>
      </c>
      <c r="AH4929" t="s">
        <v>262</v>
      </c>
      <c r="AI4929" t="s">
        <v>262</v>
      </c>
      <c r="AJ4929" t="s">
        <v>261</v>
      </c>
      <c r="AK4929" t="s">
        <v>261</v>
      </c>
      <c r="AM4929" t="s">
        <v>262</v>
      </c>
      <c r="AN4929" t="s">
        <v>13125</v>
      </c>
    </row>
    <row r="4930" spans="1:40" x14ac:dyDescent="0.35">
      <c r="A4930">
        <v>7101182</v>
      </c>
      <c r="B4930" t="s">
        <v>13126</v>
      </c>
      <c r="C4930" t="str">
        <f>"9783428161263"</f>
        <v>9783428161263</v>
      </c>
      <c r="D4930" t="str">
        <f>"9783428561261"</f>
        <v>9783428561261</v>
      </c>
      <c r="E4930" t="s">
        <v>12661</v>
      </c>
      <c r="F4930" t="s">
        <v>12661</v>
      </c>
      <c r="G4930" s="1">
        <v>44751</v>
      </c>
      <c r="H4930" s="1">
        <v>44840</v>
      </c>
      <c r="I4930" t="s">
        <v>189</v>
      </c>
      <c r="J4930">
        <v>1</v>
      </c>
      <c r="K4930" t="s">
        <v>13127</v>
      </c>
      <c r="L4930" t="s">
        <v>13128</v>
      </c>
      <c r="M4930" t="s">
        <v>249</v>
      </c>
      <c r="Q4930" t="s">
        <v>408</v>
      </c>
      <c r="R4930" t="s">
        <v>261</v>
      </c>
      <c r="S4930" t="s">
        <v>261</v>
      </c>
      <c r="T4930" t="s">
        <v>261</v>
      </c>
      <c r="U4930" t="s">
        <v>262</v>
      </c>
      <c r="V4930" t="s">
        <v>262</v>
      </c>
      <c r="W4930" t="s">
        <v>261</v>
      </c>
      <c r="X4930" t="s">
        <v>262</v>
      </c>
      <c r="Y4930" t="s">
        <v>261</v>
      </c>
      <c r="AB4930" t="s">
        <v>409</v>
      </c>
      <c r="AC4930" t="s">
        <v>409</v>
      </c>
      <c r="AD4930" t="s">
        <v>261</v>
      </c>
      <c r="AH4930" t="s">
        <v>262</v>
      </c>
      <c r="AI4930" t="s">
        <v>262</v>
      </c>
      <c r="AJ4930" t="s">
        <v>261</v>
      </c>
      <c r="AK4930" t="s">
        <v>261</v>
      </c>
      <c r="AM4930" t="s">
        <v>262</v>
      </c>
      <c r="AN4930" t="s">
        <v>13129</v>
      </c>
    </row>
    <row r="4931" spans="1:40" x14ac:dyDescent="0.35">
      <c r="A4931">
        <v>7101183</v>
      </c>
      <c r="B4931" t="s">
        <v>13130</v>
      </c>
      <c r="C4931" t="str">
        <f>"9783428161652"</f>
        <v>9783428161652</v>
      </c>
      <c r="D4931" t="str">
        <f>"9783428561650"</f>
        <v>9783428561650</v>
      </c>
      <c r="E4931" t="s">
        <v>12661</v>
      </c>
      <c r="F4931" t="s">
        <v>12661</v>
      </c>
      <c r="G4931" s="1">
        <v>44769</v>
      </c>
      <c r="H4931" s="1">
        <v>44840</v>
      </c>
      <c r="I4931" t="s">
        <v>189</v>
      </c>
      <c r="J4931">
        <v>1</v>
      </c>
      <c r="K4931" t="s">
        <v>13127</v>
      </c>
      <c r="L4931" t="s">
        <v>13131</v>
      </c>
      <c r="M4931" t="s">
        <v>239</v>
      </c>
    </row>
    <row r="4932" spans="1:40" x14ac:dyDescent="0.35">
      <c r="A4932">
        <v>7101184</v>
      </c>
      <c r="B4932" t="s">
        <v>13132</v>
      </c>
      <c r="C4932" t="str">
        <f>"9783428165698"</f>
        <v>9783428165698</v>
      </c>
      <c r="D4932" t="str">
        <f>"9783428565696"</f>
        <v>9783428565696</v>
      </c>
      <c r="E4932" t="s">
        <v>12661</v>
      </c>
      <c r="F4932" t="s">
        <v>12661</v>
      </c>
      <c r="G4932" s="1">
        <v>44758</v>
      </c>
      <c r="H4932" s="1">
        <v>44840</v>
      </c>
      <c r="I4932" t="s">
        <v>189</v>
      </c>
      <c r="J4932">
        <v>1</v>
      </c>
      <c r="K4932" t="s">
        <v>13127</v>
      </c>
      <c r="L4932" t="s">
        <v>13133</v>
      </c>
      <c r="M4932" t="s">
        <v>282</v>
      </c>
      <c r="Q4932" t="s">
        <v>408</v>
      </c>
      <c r="R4932" t="s">
        <v>261</v>
      </c>
      <c r="S4932" t="s">
        <v>261</v>
      </c>
      <c r="T4932" t="s">
        <v>261</v>
      </c>
      <c r="U4932" t="s">
        <v>262</v>
      </c>
      <c r="V4932" t="s">
        <v>262</v>
      </c>
      <c r="W4932" t="s">
        <v>261</v>
      </c>
      <c r="X4932" t="s">
        <v>262</v>
      </c>
      <c r="Y4932" t="s">
        <v>261</v>
      </c>
      <c r="AB4932" t="s">
        <v>409</v>
      </c>
      <c r="AC4932" t="s">
        <v>409</v>
      </c>
      <c r="AD4932" t="s">
        <v>261</v>
      </c>
      <c r="AH4932" t="s">
        <v>262</v>
      </c>
      <c r="AI4932" t="s">
        <v>262</v>
      </c>
      <c r="AJ4932" t="s">
        <v>261</v>
      </c>
      <c r="AK4932" t="s">
        <v>261</v>
      </c>
      <c r="AM4932" t="s">
        <v>262</v>
      </c>
      <c r="AN4932" t="s">
        <v>13134</v>
      </c>
    </row>
    <row r="4933" spans="1:40" x14ac:dyDescent="0.35">
      <c r="A4933">
        <v>7101185</v>
      </c>
      <c r="B4933" t="s">
        <v>13135</v>
      </c>
      <c r="C4933" t="str">
        <f>"9783428168453"</f>
        <v>9783428168453</v>
      </c>
      <c r="D4933" t="str">
        <f>"9783428568451"</f>
        <v>9783428568451</v>
      </c>
      <c r="E4933" t="s">
        <v>12661</v>
      </c>
      <c r="F4933" t="s">
        <v>12661</v>
      </c>
      <c r="G4933" s="1">
        <v>44776</v>
      </c>
      <c r="H4933" s="1">
        <v>44840</v>
      </c>
      <c r="I4933" t="s">
        <v>189</v>
      </c>
      <c r="J4933">
        <v>1</v>
      </c>
      <c r="K4933" t="s">
        <v>13127</v>
      </c>
      <c r="L4933" t="s">
        <v>13136</v>
      </c>
      <c r="M4933" t="s">
        <v>282</v>
      </c>
    </row>
    <row r="4934" spans="1:40" x14ac:dyDescent="0.35">
      <c r="A4934">
        <v>7101186</v>
      </c>
      <c r="B4934" t="s">
        <v>13137</v>
      </c>
      <c r="C4934" t="str">
        <f>"9783428168460"</f>
        <v>9783428168460</v>
      </c>
      <c r="D4934" t="str">
        <f>"9783428568468"</f>
        <v>9783428568468</v>
      </c>
      <c r="E4934" t="s">
        <v>12661</v>
      </c>
      <c r="F4934" t="s">
        <v>12661</v>
      </c>
      <c r="G4934" s="1">
        <v>44776</v>
      </c>
      <c r="H4934" s="1">
        <v>44840</v>
      </c>
      <c r="I4934" t="s">
        <v>189</v>
      </c>
      <c r="J4934">
        <v>1</v>
      </c>
      <c r="K4934" t="s">
        <v>13127</v>
      </c>
      <c r="L4934" t="s">
        <v>13136</v>
      </c>
      <c r="M4934" t="s">
        <v>282</v>
      </c>
    </row>
    <row r="4935" spans="1:40" x14ac:dyDescent="0.35">
      <c r="A4935">
        <v>7101187</v>
      </c>
      <c r="B4935" t="s">
        <v>13138</v>
      </c>
      <c r="C4935" t="str">
        <f>"9783428172146"</f>
        <v>9783428172146</v>
      </c>
      <c r="D4935" t="str">
        <f>"9783428572144"</f>
        <v>9783428572144</v>
      </c>
      <c r="E4935" t="s">
        <v>12661</v>
      </c>
      <c r="F4935" t="s">
        <v>12661</v>
      </c>
      <c r="G4935" s="1">
        <v>44769</v>
      </c>
      <c r="H4935" s="1">
        <v>44840</v>
      </c>
      <c r="I4935" t="s">
        <v>189</v>
      </c>
      <c r="J4935">
        <v>1</v>
      </c>
      <c r="K4935" t="s">
        <v>13127</v>
      </c>
      <c r="L4935" t="s">
        <v>144</v>
      </c>
    </row>
    <row r="4936" spans="1:40" x14ac:dyDescent="0.35">
      <c r="A4936">
        <v>7101188</v>
      </c>
      <c r="B4936" t="s">
        <v>13139</v>
      </c>
      <c r="C4936" t="str">
        <f>"9783428172481"</f>
        <v>9783428172481</v>
      </c>
      <c r="D4936" t="str">
        <f>"9783428572489"</f>
        <v>9783428572489</v>
      </c>
      <c r="E4936" t="s">
        <v>12661</v>
      </c>
      <c r="F4936" t="s">
        <v>12661</v>
      </c>
      <c r="G4936" s="1">
        <v>44675</v>
      </c>
      <c r="H4936" s="1">
        <v>44845</v>
      </c>
      <c r="I4936" t="s">
        <v>189</v>
      </c>
      <c r="J4936">
        <v>1</v>
      </c>
      <c r="K4936" t="s">
        <v>13127</v>
      </c>
      <c r="L4936" t="s">
        <v>13140</v>
      </c>
      <c r="M4936" t="s">
        <v>282</v>
      </c>
      <c r="Q4936" t="s">
        <v>408</v>
      </c>
      <c r="R4936" t="s">
        <v>261</v>
      </c>
      <c r="S4936" t="s">
        <v>261</v>
      </c>
      <c r="T4936" t="s">
        <v>261</v>
      </c>
      <c r="U4936" t="s">
        <v>262</v>
      </c>
      <c r="V4936" t="s">
        <v>262</v>
      </c>
      <c r="W4936" t="s">
        <v>261</v>
      </c>
      <c r="X4936" t="s">
        <v>262</v>
      </c>
      <c r="Y4936" t="s">
        <v>261</v>
      </c>
      <c r="AB4936" t="s">
        <v>409</v>
      </c>
      <c r="AC4936" t="s">
        <v>409</v>
      </c>
      <c r="AD4936" t="s">
        <v>261</v>
      </c>
      <c r="AH4936" t="s">
        <v>262</v>
      </c>
      <c r="AI4936" t="s">
        <v>262</v>
      </c>
      <c r="AJ4936" t="s">
        <v>261</v>
      </c>
      <c r="AK4936" t="s">
        <v>261</v>
      </c>
      <c r="AM4936" t="s">
        <v>262</v>
      </c>
      <c r="AN4936" t="s">
        <v>13141</v>
      </c>
    </row>
    <row r="4937" spans="1:40" x14ac:dyDescent="0.35">
      <c r="A4937">
        <v>7101189</v>
      </c>
      <c r="B4937" t="s">
        <v>13142</v>
      </c>
      <c r="C4937" t="str">
        <f>"9783428172498"</f>
        <v>9783428172498</v>
      </c>
      <c r="D4937" t="str">
        <f>"9783428572496"</f>
        <v>9783428572496</v>
      </c>
      <c r="E4937" t="s">
        <v>12661</v>
      </c>
      <c r="F4937" t="s">
        <v>12661</v>
      </c>
      <c r="G4937" s="1">
        <v>44675</v>
      </c>
      <c r="H4937" s="1">
        <v>44845</v>
      </c>
      <c r="I4937" t="s">
        <v>189</v>
      </c>
      <c r="J4937">
        <v>1</v>
      </c>
      <c r="K4937" t="s">
        <v>13127</v>
      </c>
      <c r="L4937" t="s">
        <v>13140</v>
      </c>
      <c r="M4937" t="s">
        <v>316</v>
      </c>
      <c r="Q4937" t="s">
        <v>408</v>
      </c>
      <c r="R4937" t="s">
        <v>261</v>
      </c>
      <c r="S4937" t="s">
        <v>261</v>
      </c>
      <c r="T4937" t="s">
        <v>261</v>
      </c>
      <c r="U4937" t="s">
        <v>262</v>
      </c>
      <c r="V4937" t="s">
        <v>262</v>
      </c>
      <c r="W4937" t="s">
        <v>261</v>
      </c>
      <c r="X4937" t="s">
        <v>262</v>
      </c>
      <c r="Y4937" t="s">
        <v>261</v>
      </c>
      <c r="AB4937" t="s">
        <v>409</v>
      </c>
      <c r="AC4937" t="s">
        <v>409</v>
      </c>
      <c r="AD4937" t="s">
        <v>261</v>
      </c>
      <c r="AH4937" t="s">
        <v>262</v>
      </c>
      <c r="AI4937" t="s">
        <v>262</v>
      </c>
      <c r="AJ4937" t="s">
        <v>261</v>
      </c>
      <c r="AK4937" t="s">
        <v>261</v>
      </c>
      <c r="AM4937" t="s">
        <v>262</v>
      </c>
      <c r="AN4937" t="s">
        <v>13143</v>
      </c>
    </row>
    <row r="4938" spans="1:40" x14ac:dyDescent="0.35">
      <c r="A4938">
        <v>7101190</v>
      </c>
      <c r="B4938" t="s">
        <v>13144</v>
      </c>
      <c r="C4938" t="str">
        <f>"9783428172504"</f>
        <v>9783428172504</v>
      </c>
      <c r="D4938" t="str">
        <f>"9783428572502"</f>
        <v>9783428572502</v>
      </c>
      <c r="E4938" t="s">
        <v>12661</v>
      </c>
      <c r="F4938" t="s">
        <v>12661</v>
      </c>
      <c r="G4938" s="1">
        <v>44675</v>
      </c>
      <c r="H4938" s="1">
        <v>44845</v>
      </c>
      <c r="I4938" t="s">
        <v>189</v>
      </c>
      <c r="J4938">
        <v>1</v>
      </c>
      <c r="K4938" t="s">
        <v>13127</v>
      </c>
      <c r="L4938" t="s">
        <v>13140</v>
      </c>
      <c r="M4938" t="s">
        <v>282</v>
      </c>
      <c r="Q4938" t="s">
        <v>408</v>
      </c>
      <c r="R4938" t="s">
        <v>261</v>
      </c>
      <c r="S4938" t="s">
        <v>261</v>
      </c>
      <c r="T4938" t="s">
        <v>261</v>
      </c>
      <c r="U4938" t="s">
        <v>262</v>
      </c>
      <c r="V4938" t="s">
        <v>262</v>
      </c>
      <c r="W4938" t="s">
        <v>261</v>
      </c>
      <c r="X4938" t="s">
        <v>262</v>
      </c>
      <c r="Y4938" t="s">
        <v>261</v>
      </c>
      <c r="AB4938" t="s">
        <v>409</v>
      </c>
      <c r="AC4938" t="s">
        <v>409</v>
      </c>
      <c r="AD4938" t="s">
        <v>261</v>
      </c>
      <c r="AH4938" t="s">
        <v>262</v>
      </c>
      <c r="AI4938" t="s">
        <v>262</v>
      </c>
      <c r="AJ4938" t="s">
        <v>261</v>
      </c>
      <c r="AK4938" t="s">
        <v>261</v>
      </c>
      <c r="AM4938" t="s">
        <v>262</v>
      </c>
      <c r="AN4938" t="s">
        <v>13145</v>
      </c>
    </row>
    <row r="4939" spans="1:40" x14ac:dyDescent="0.35">
      <c r="A4939">
        <v>7101191</v>
      </c>
      <c r="B4939" t="s">
        <v>13146</v>
      </c>
      <c r="C4939" t="str">
        <f>"9783428172511"</f>
        <v>9783428172511</v>
      </c>
      <c r="D4939" t="str">
        <f>"9783428572519"</f>
        <v>9783428572519</v>
      </c>
      <c r="E4939" t="s">
        <v>12661</v>
      </c>
      <c r="F4939" t="s">
        <v>12661</v>
      </c>
      <c r="G4939" s="1">
        <v>44675</v>
      </c>
      <c r="H4939" s="1">
        <v>44845</v>
      </c>
      <c r="I4939" t="s">
        <v>189</v>
      </c>
      <c r="J4939">
        <v>1</v>
      </c>
      <c r="K4939" t="s">
        <v>13127</v>
      </c>
      <c r="L4939" t="s">
        <v>13140</v>
      </c>
      <c r="M4939" t="s">
        <v>282</v>
      </c>
    </row>
    <row r="4940" spans="1:40" x14ac:dyDescent="0.35">
      <c r="A4940">
        <v>7101192</v>
      </c>
      <c r="B4940" t="s">
        <v>13147</v>
      </c>
      <c r="C4940" t="str">
        <f>"9783428172528"</f>
        <v>9783428172528</v>
      </c>
      <c r="D4940" t="str">
        <f>"9783428572526"</f>
        <v>9783428572526</v>
      </c>
      <c r="E4940" t="s">
        <v>12661</v>
      </c>
      <c r="F4940" t="s">
        <v>12661</v>
      </c>
      <c r="G4940" s="1">
        <v>44675</v>
      </c>
      <c r="H4940" s="1">
        <v>44845</v>
      </c>
      <c r="I4940" t="s">
        <v>189</v>
      </c>
      <c r="J4940">
        <v>1</v>
      </c>
      <c r="K4940" t="s">
        <v>13127</v>
      </c>
      <c r="L4940" t="s">
        <v>13140</v>
      </c>
      <c r="M4940" t="s">
        <v>210</v>
      </c>
      <c r="Q4940" t="s">
        <v>408</v>
      </c>
      <c r="R4940" t="s">
        <v>261</v>
      </c>
      <c r="S4940" t="s">
        <v>261</v>
      </c>
      <c r="T4940" t="s">
        <v>261</v>
      </c>
      <c r="U4940" t="s">
        <v>262</v>
      </c>
      <c r="V4940" t="s">
        <v>262</v>
      </c>
      <c r="W4940" t="s">
        <v>261</v>
      </c>
      <c r="X4940" t="s">
        <v>262</v>
      </c>
      <c r="Y4940" t="s">
        <v>261</v>
      </c>
      <c r="AB4940" t="s">
        <v>409</v>
      </c>
      <c r="AC4940" t="s">
        <v>409</v>
      </c>
      <c r="AD4940" t="s">
        <v>261</v>
      </c>
      <c r="AH4940" t="s">
        <v>262</v>
      </c>
      <c r="AI4940" t="s">
        <v>262</v>
      </c>
      <c r="AJ4940" t="s">
        <v>261</v>
      </c>
      <c r="AK4940" t="s">
        <v>261</v>
      </c>
      <c r="AM4940" t="s">
        <v>262</v>
      </c>
      <c r="AN4940" t="s">
        <v>13148</v>
      </c>
    </row>
    <row r="4941" spans="1:40" x14ac:dyDescent="0.35">
      <c r="A4941">
        <v>7101193</v>
      </c>
      <c r="B4941" t="s">
        <v>13149</v>
      </c>
      <c r="C4941" t="str">
        <f>"9783428172535"</f>
        <v>9783428172535</v>
      </c>
      <c r="D4941" t="str">
        <f>"9783428572533"</f>
        <v>9783428572533</v>
      </c>
      <c r="E4941" t="s">
        <v>12661</v>
      </c>
      <c r="F4941" t="s">
        <v>12661</v>
      </c>
      <c r="G4941" s="1">
        <v>44675</v>
      </c>
      <c r="H4941" s="1">
        <v>44845</v>
      </c>
      <c r="I4941" t="s">
        <v>189</v>
      </c>
      <c r="J4941">
        <v>1</v>
      </c>
      <c r="K4941" t="s">
        <v>13127</v>
      </c>
      <c r="L4941" t="s">
        <v>13140</v>
      </c>
      <c r="M4941" t="s">
        <v>210</v>
      </c>
      <c r="Q4941" t="s">
        <v>408</v>
      </c>
      <c r="R4941" t="s">
        <v>261</v>
      </c>
      <c r="S4941" t="s">
        <v>261</v>
      </c>
      <c r="T4941" t="s">
        <v>261</v>
      </c>
      <c r="U4941" t="s">
        <v>262</v>
      </c>
      <c r="V4941" t="s">
        <v>262</v>
      </c>
      <c r="W4941" t="s">
        <v>261</v>
      </c>
      <c r="X4941" t="s">
        <v>262</v>
      </c>
      <c r="Y4941" t="s">
        <v>261</v>
      </c>
      <c r="AB4941" t="s">
        <v>409</v>
      </c>
      <c r="AC4941" t="s">
        <v>409</v>
      </c>
      <c r="AD4941" t="s">
        <v>261</v>
      </c>
      <c r="AH4941" t="s">
        <v>262</v>
      </c>
      <c r="AI4941" t="s">
        <v>262</v>
      </c>
      <c r="AJ4941" t="s">
        <v>261</v>
      </c>
      <c r="AK4941" t="s">
        <v>261</v>
      </c>
      <c r="AM4941" t="s">
        <v>262</v>
      </c>
      <c r="AN4941" t="s">
        <v>13150</v>
      </c>
    </row>
    <row r="4942" spans="1:40" x14ac:dyDescent="0.35">
      <c r="A4942">
        <v>7101194</v>
      </c>
      <c r="B4942" t="s">
        <v>13151</v>
      </c>
      <c r="C4942" t="str">
        <f>"9783428172542"</f>
        <v>9783428172542</v>
      </c>
      <c r="D4942" t="str">
        <f>"9783428572540"</f>
        <v>9783428572540</v>
      </c>
      <c r="E4942" t="s">
        <v>12661</v>
      </c>
      <c r="F4942" t="s">
        <v>12661</v>
      </c>
      <c r="G4942" s="1">
        <v>44675</v>
      </c>
      <c r="H4942" s="1">
        <v>44845</v>
      </c>
      <c r="I4942" t="s">
        <v>189</v>
      </c>
      <c r="J4942">
        <v>1</v>
      </c>
      <c r="K4942" t="s">
        <v>13127</v>
      </c>
      <c r="L4942" t="s">
        <v>13140</v>
      </c>
      <c r="M4942" t="s">
        <v>316</v>
      </c>
      <c r="Q4942" t="s">
        <v>408</v>
      </c>
      <c r="R4942" t="s">
        <v>261</v>
      </c>
      <c r="S4942" t="s">
        <v>261</v>
      </c>
      <c r="T4942" t="s">
        <v>261</v>
      </c>
      <c r="U4942" t="s">
        <v>262</v>
      </c>
      <c r="V4942" t="s">
        <v>262</v>
      </c>
      <c r="W4942" t="s">
        <v>261</v>
      </c>
      <c r="X4942" t="s">
        <v>262</v>
      </c>
      <c r="Y4942" t="s">
        <v>261</v>
      </c>
      <c r="AB4942" t="s">
        <v>409</v>
      </c>
      <c r="AC4942" t="s">
        <v>409</v>
      </c>
      <c r="AD4942" t="s">
        <v>261</v>
      </c>
      <c r="AH4942" t="s">
        <v>262</v>
      </c>
      <c r="AI4942" t="s">
        <v>262</v>
      </c>
      <c r="AJ4942" t="s">
        <v>261</v>
      </c>
      <c r="AK4942" t="s">
        <v>261</v>
      </c>
      <c r="AM4942" t="s">
        <v>262</v>
      </c>
      <c r="AN4942" t="s">
        <v>13152</v>
      </c>
    </row>
    <row r="4943" spans="1:40" x14ac:dyDescent="0.35">
      <c r="A4943">
        <v>7101195</v>
      </c>
      <c r="B4943" t="s">
        <v>13153</v>
      </c>
      <c r="C4943" t="str">
        <f>"9783428172559"</f>
        <v>9783428172559</v>
      </c>
      <c r="D4943" t="str">
        <f>"9783428572557"</f>
        <v>9783428572557</v>
      </c>
      <c r="E4943" t="s">
        <v>12661</v>
      </c>
      <c r="F4943" t="s">
        <v>12661</v>
      </c>
      <c r="G4943" s="1">
        <v>44675</v>
      </c>
      <c r="H4943" s="1">
        <v>44840</v>
      </c>
      <c r="I4943" t="s">
        <v>189</v>
      </c>
      <c r="J4943">
        <v>1</v>
      </c>
      <c r="K4943" t="s">
        <v>13127</v>
      </c>
      <c r="L4943" t="s">
        <v>13154</v>
      </c>
      <c r="M4943" t="s">
        <v>282</v>
      </c>
      <c r="Q4943" t="s">
        <v>408</v>
      </c>
      <c r="R4943" t="s">
        <v>261</v>
      </c>
      <c r="S4943" t="s">
        <v>261</v>
      </c>
      <c r="T4943" t="s">
        <v>261</v>
      </c>
      <c r="U4943" t="s">
        <v>262</v>
      </c>
      <c r="V4943" t="s">
        <v>262</v>
      </c>
      <c r="W4943" t="s">
        <v>261</v>
      </c>
      <c r="X4943" t="s">
        <v>262</v>
      </c>
      <c r="Y4943" t="s">
        <v>261</v>
      </c>
      <c r="AB4943" t="s">
        <v>409</v>
      </c>
      <c r="AC4943" t="s">
        <v>409</v>
      </c>
      <c r="AD4943" t="s">
        <v>261</v>
      </c>
      <c r="AH4943" t="s">
        <v>262</v>
      </c>
      <c r="AI4943" t="s">
        <v>262</v>
      </c>
      <c r="AJ4943" t="s">
        <v>261</v>
      </c>
      <c r="AK4943" t="s">
        <v>261</v>
      </c>
      <c r="AM4943" t="s">
        <v>262</v>
      </c>
      <c r="AN4943" t="s">
        <v>13155</v>
      </c>
    </row>
    <row r="4944" spans="1:40" x14ac:dyDescent="0.35">
      <c r="A4944">
        <v>7101196</v>
      </c>
      <c r="B4944" t="s">
        <v>13156</v>
      </c>
      <c r="C4944" t="str">
        <f>"9783428172566"</f>
        <v>9783428172566</v>
      </c>
      <c r="D4944" t="str">
        <f>"9783428572564"</f>
        <v>9783428572564</v>
      </c>
      <c r="E4944" t="s">
        <v>12661</v>
      </c>
      <c r="F4944" t="s">
        <v>12661</v>
      </c>
      <c r="G4944" s="1">
        <v>44675</v>
      </c>
      <c r="H4944" s="1">
        <v>44845</v>
      </c>
      <c r="I4944" t="s">
        <v>189</v>
      </c>
      <c r="J4944">
        <v>1</v>
      </c>
      <c r="K4944" t="s">
        <v>13127</v>
      </c>
      <c r="L4944" t="s">
        <v>13140</v>
      </c>
      <c r="M4944" t="s">
        <v>210</v>
      </c>
    </row>
    <row r="4945" spans="1:40" x14ac:dyDescent="0.35">
      <c r="A4945">
        <v>7101197</v>
      </c>
      <c r="B4945" t="s">
        <v>13157</v>
      </c>
      <c r="C4945" t="str">
        <f>"9783428172573"</f>
        <v>9783428172573</v>
      </c>
      <c r="D4945" t="str">
        <f>"9783428572571"</f>
        <v>9783428572571</v>
      </c>
      <c r="E4945" t="s">
        <v>12661</v>
      </c>
      <c r="F4945" t="s">
        <v>12661</v>
      </c>
      <c r="G4945" s="1">
        <v>44675</v>
      </c>
      <c r="H4945" s="1">
        <v>44845</v>
      </c>
      <c r="I4945" t="s">
        <v>189</v>
      </c>
      <c r="J4945">
        <v>1</v>
      </c>
      <c r="K4945" t="s">
        <v>13127</v>
      </c>
      <c r="L4945" t="s">
        <v>13140</v>
      </c>
      <c r="M4945" t="s">
        <v>210</v>
      </c>
      <c r="Q4945" t="s">
        <v>408</v>
      </c>
      <c r="R4945" t="s">
        <v>261</v>
      </c>
      <c r="S4945" t="s">
        <v>261</v>
      </c>
      <c r="T4945" t="s">
        <v>261</v>
      </c>
      <c r="U4945" t="s">
        <v>262</v>
      </c>
      <c r="V4945" t="s">
        <v>262</v>
      </c>
      <c r="W4945" t="s">
        <v>261</v>
      </c>
      <c r="X4945" t="s">
        <v>262</v>
      </c>
      <c r="Y4945" t="s">
        <v>261</v>
      </c>
      <c r="AB4945" t="s">
        <v>409</v>
      </c>
      <c r="AC4945" t="s">
        <v>409</v>
      </c>
      <c r="AD4945" t="s">
        <v>261</v>
      </c>
      <c r="AH4945" t="s">
        <v>262</v>
      </c>
      <c r="AI4945" t="s">
        <v>262</v>
      </c>
      <c r="AJ4945" t="s">
        <v>261</v>
      </c>
      <c r="AK4945" t="s">
        <v>261</v>
      </c>
      <c r="AM4945" t="s">
        <v>262</v>
      </c>
      <c r="AN4945" t="s">
        <v>13158</v>
      </c>
    </row>
    <row r="4946" spans="1:40" x14ac:dyDescent="0.35">
      <c r="A4946">
        <v>7101198</v>
      </c>
      <c r="B4946" t="s">
        <v>13159</v>
      </c>
      <c r="C4946" t="str">
        <f>"9783428172580"</f>
        <v>9783428172580</v>
      </c>
      <c r="D4946" t="str">
        <f>"9783428572588"</f>
        <v>9783428572588</v>
      </c>
      <c r="E4946" t="s">
        <v>12661</v>
      </c>
      <c r="F4946" t="s">
        <v>12661</v>
      </c>
      <c r="G4946" s="1">
        <v>44681</v>
      </c>
      <c r="H4946" s="1">
        <v>44845</v>
      </c>
      <c r="I4946" t="s">
        <v>189</v>
      </c>
      <c r="J4946">
        <v>1</v>
      </c>
      <c r="K4946" t="s">
        <v>13127</v>
      </c>
      <c r="L4946" t="s">
        <v>13140</v>
      </c>
      <c r="M4946" t="s">
        <v>210</v>
      </c>
    </row>
    <row r="4947" spans="1:40" x14ac:dyDescent="0.35">
      <c r="A4947">
        <v>7101199</v>
      </c>
      <c r="B4947" t="s">
        <v>13160</v>
      </c>
      <c r="C4947" t="str">
        <f>"9783428172597"</f>
        <v>9783428172597</v>
      </c>
      <c r="D4947" t="str">
        <f>"9783428572595"</f>
        <v>9783428572595</v>
      </c>
      <c r="E4947" t="s">
        <v>12661</v>
      </c>
      <c r="F4947" t="s">
        <v>12661</v>
      </c>
      <c r="G4947" s="1">
        <v>44681</v>
      </c>
      <c r="H4947" s="1">
        <v>44845</v>
      </c>
      <c r="I4947" t="s">
        <v>189</v>
      </c>
      <c r="J4947">
        <v>1</v>
      </c>
      <c r="K4947" t="s">
        <v>13127</v>
      </c>
      <c r="L4947" t="s">
        <v>13140</v>
      </c>
      <c r="M4947" t="s">
        <v>282</v>
      </c>
      <c r="Q4947" t="s">
        <v>408</v>
      </c>
      <c r="R4947" t="s">
        <v>261</v>
      </c>
      <c r="S4947" t="s">
        <v>261</v>
      </c>
      <c r="T4947" t="s">
        <v>261</v>
      </c>
      <c r="U4947" t="s">
        <v>262</v>
      </c>
      <c r="V4947" t="s">
        <v>262</v>
      </c>
      <c r="W4947" t="s">
        <v>261</v>
      </c>
      <c r="X4947" t="s">
        <v>262</v>
      </c>
      <c r="Y4947" t="s">
        <v>261</v>
      </c>
      <c r="AB4947" t="s">
        <v>409</v>
      </c>
      <c r="AC4947" t="s">
        <v>409</v>
      </c>
      <c r="AD4947" t="s">
        <v>261</v>
      </c>
      <c r="AH4947" t="s">
        <v>262</v>
      </c>
      <c r="AI4947" t="s">
        <v>262</v>
      </c>
      <c r="AJ4947" t="s">
        <v>261</v>
      </c>
      <c r="AK4947" t="s">
        <v>261</v>
      </c>
      <c r="AM4947" t="s">
        <v>262</v>
      </c>
      <c r="AN4947" t="s">
        <v>13161</v>
      </c>
    </row>
    <row r="4948" spans="1:40" x14ac:dyDescent="0.35">
      <c r="A4948">
        <v>7101200</v>
      </c>
      <c r="B4948" t="s">
        <v>13162</v>
      </c>
      <c r="C4948" t="str">
        <f>"9783428172603"</f>
        <v>9783428172603</v>
      </c>
      <c r="D4948" t="str">
        <f>"9783428572601"</f>
        <v>9783428572601</v>
      </c>
      <c r="E4948" t="s">
        <v>12661</v>
      </c>
      <c r="F4948" t="s">
        <v>12661</v>
      </c>
      <c r="G4948" s="1">
        <v>44681</v>
      </c>
      <c r="H4948" s="1">
        <v>44845</v>
      </c>
      <c r="I4948" t="s">
        <v>189</v>
      </c>
      <c r="J4948">
        <v>1</v>
      </c>
      <c r="K4948" t="s">
        <v>13127</v>
      </c>
      <c r="L4948" t="s">
        <v>13140</v>
      </c>
      <c r="M4948" t="s">
        <v>210</v>
      </c>
      <c r="Q4948" t="s">
        <v>408</v>
      </c>
      <c r="R4948" t="s">
        <v>261</v>
      </c>
      <c r="S4948" t="s">
        <v>261</v>
      </c>
      <c r="T4948" t="s">
        <v>261</v>
      </c>
      <c r="U4948" t="s">
        <v>262</v>
      </c>
      <c r="V4948" t="s">
        <v>262</v>
      </c>
      <c r="W4948" t="s">
        <v>261</v>
      </c>
      <c r="X4948" t="s">
        <v>262</v>
      </c>
      <c r="Y4948" t="s">
        <v>261</v>
      </c>
      <c r="AB4948" t="s">
        <v>409</v>
      </c>
      <c r="AC4948" t="s">
        <v>409</v>
      </c>
      <c r="AD4948" t="s">
        <v>261</v>
      </c>
      <c r="AH4948" t="s">
        <v>262</v>
      </c>
      <c r="AI4948" t="s">
        <v>262</v>
      </c>
      <c r="AJ4948" t="s">
        <v>261</v>
      </c>
      <c r="AK4948" t="s">
        <v>261</v>
      </c>
      <c r="AM4948" t="s">
        <v>262</v>
      </c>
      <c r="AN4948" t="s">
        <v>13163</v>
      </c>
    </row>
    <row r="4949" spans="1:40" x14ac:dyDescent="0.35">
      <c r="A4949">
        <v>7101201</v>
      </c>
      <c r="B4949" t="s">
        <v>13164</v>
      </c>
      <c r="C4949" t="str">
        <f>"9783428172610"</f>
        <v>9783428172610</v>
      </c>
      <c r="D4949" t="str">
        <f>"9783428572618"</f>
        <v>9783428572618</v>
      </c>
      <c r="E4949" t="s">
        <v>12661</v>
      </c>
      <c r="F4949" t="s">
        <v>12661</v>
      </c>
      <c r="G4949" s="1">
        <v>44681</v>
      </c>
      <c r="H4949" s="1">
        <v>44845</v>
      </c>
      <c r="I4949" t="s">
        <v>189</v>
      </c>
      <c r="J4949">
        <v>1</v>
      </c>
      <c r="K4949" t="s">
        <v>13127</v>
      </c>
      <c r="L4949" t="s">
        <v>13140</v>
      </c>
      <c r="M4949" t="s">
        <v>249</v>
      </c>
    </row>
    <row r="4950" spans="1:40" x14ac:dyDescent="0.35">
      <c r="A4950">
        <v>7101202</v>
      </c>
      <c r="B4950" t="s">
        <v>13165</v>
      </c>
      <c r="C4950" t="str">
        <f>"9783428172627"</f>
        <v>9783428172627</v>
      </c>
      <c r="D4950" t="str">
        <f>"9783428572625"</f>
        <v>9783428572625</v>
      </c>
      <c r="E4950" t="s">
        <v>12661</v>
      </c>
      <c r="F4950" t="s">
        <v>12661</v>
      </c>
      <c r="G4950" s="1">
        <v>44681</v>
      </c>
      <c r="H4950" s="1">
        <v>44845</v>
      </c>
      <c r="I4950" t="s">
        <v>189</v>
      </c>
      <c r="J4950">
        <v>1</v>
      </c>
      <c r="K4950" t="s">
        <v>13127</v>
      </c>
      <c r="L4950" t="s">
        <v>13140</v>
      </c>
      <c r="M4950" t="s">
        <v>210</v>
      </c>
      <c r="Q4950" t="s">
        <v>408</v>
      </c>
      <c r="R4950" t="s">
        <v>261</v>
      </c>
      <c r="S4950" t="s">
        <v>261</v>
      </c>
      <c r="T4950" t="s">
        <v>261</v>
      </c>
      <c r="U4950" t="s">
        <v>262</v>
      </c>
      <c r="V4950" t="s">
        <v>262</v>
      </c>
      <c r="W4950" t="s">
        <v>261</v>
      </c>
      <c r="X4950" t="s">
        <v>262</v>
      </c>
      <c r="Y4950" t="s">
        <v>261</v>
      </c>
      <c r="AB4950" t="s">
        <v>409</v>
      </c>
      <c r="AC4950" t="s">
        <v>409</v>
      </c>
      <c r="AD4950" t="s">
        <v>261</v>
      </c>
      <c r="AH4950" t="s">
        <v>262</v>
      </c>
      <c r="AI4950" t="s">
        <v>262</v>
      </c>
      <c r="AJ4950" t="s">
        <v>261</v>
      </c>
      <c r="AK4950" t="s">
        <v>261</v>
      </c>
      <c r="AM4950" t="s">
        <v>262</v>
      </c>
      <c r="AN4950" t="s">
        <v>13166</v>
      </c>
    </row>
    <row r="4951" spans="1:40" x14ac:dyDescent="0.35">
      <c r="A4951">
        <v>7101203</v>
      </c>
      <c r="B4951" t="s">
        <v>13167</v>
      </c>
      <c r="C4951" t="str">
        <f>"9783428172634"</f>
        <v>9783428172634</v>
      </c>
      <c r="D4951" t="str">
        <f>"9783428572632"</f>
        <v>9783428572632</v>
      </c>
      <c r="E4951" t="s">
        <v>12661</v>
      </c>
      <c r="F4951" t="s">
        <v>12661</v>
      </c>
      <c r="G4951" s="1">
        <v>44681</v>
      </c>
      <c r="H4951" s="1">
        <v>44845</v>
      </c>
      <c r="I4951" t="s">
        <v>189</v>
      </c>
      <c r="J4951">
        <v>1</v>
      </c>
      <c r="K4951" t="s">
        <v>13127</v>
      </c>
      <c r="L4951" t="s">
        <v>13140</v>
      </c>
      <c r="M4951" t="s">
        <v>210</v>
      </c>
      <c r="Q4951" t="s">
        <v>408</v>
      </c>
      <c r="R4951" t="s">
        <v>261</v>
      </c>
      <c r="S4951" t="s">
        <v>261</v>
      </c>
      <c r="T4951" t="s">
        <v>261</v>
      </c>
      <c r="U4951" t="s">
        <v>262</v>
      </c>
      <c r="V4951" t="s">
        <v>262</v>
      </c>
      <c r="W4951" t="s">
        <v>261</v>
      </c>
      <c r="X4951" t="s">
        <v>262</v>
      </c>
      <c r="Y4951" t="s">
        <v>261</v>
      </c>
      <c r="AB4951" t="s">
        <v>409</v>
      </c>
      <c r="AC4951" t="s">
        <v>409</v>
      </c>
      <c r="AD4951" t="s">
        <v>261</v>
      </c>
      <c r="AH4951" t="s">
        <v>262</v>
      </c>
      <c r="AI4951" t="s">
        <v>262</v>
      </c>
      <c r="AJ4951" t="s">
        <v>261</v>
      </c>
      <c r="AK4951" t="s">
        <v>261</v>
      </c>
      <c r="AM4951" t="s">
        <v>262</v>
      </c>
      <c r="AN4951" t="s">
        <v>13168</v>
      </c>
    </row>
    <row r="4952" spans="1:40" x14ac:dyDescent="0.35">
      <c r="A4952">
        <v>7101204</v>
      </c>
      <c r="B4952" t="s">
        <v>13169</v>
      </c>
      <c r="C4952" t="str">
        <f>"9783428172658"</f>
        <v>9783428172658</v>
      </c>
      <c r="D4952" t="str">
        <f>"9783428572656"</f>
        <v>9783428572656</v>
      </c>
      <c r="E4952" t="s">
        <v>12661</v>
      </c>
      <c r="F4952" t="s">
        <v>12661</v>
      </c>
      <c r="G4952" s="1">
        <v>44681</v>
      </c>
      <c r="H4952" s="1">
        <v>44840</v>
      </c>
      <c r="I4952" t="s">
        <v>189</v>
      </c>
      <c r="J4952">
        <v>1</v>
      </c>
      <c r="K4952" t="s">
        <v>13127</v>
      </c>
      <c r="L4952" t="s">
        <v>13170</v>
      </c>
      <c r="M4952" t="s">
        <v>210</v>
      </c>
      <c r="Q4952" t="s">
        <v>408</v>
      </c>
      <c r="R4952" t="s">
        <v>261</v>
      </c>
      <c r="S4952" t="s">
        <v>261</v>
      </c>
      <c r="T4952" t="s">
        <v>261</v>
      </c>
      <c r="U4952" t="s">
        <v>262</v>
      </c>
      <c r="V4952" t="s">
        <v>262</v>
      </c>
      <c r="W4952" t="s">
        <v>261</v>
      </c>
      <c r="X4952" t="s">
        <v>262</v>
      </c>
      <c r="Y4952" t="s">
        <v>261</v>
      </c>
      <c r="AB4952" t="s">
        <v>409</v>
      </c>
      <c r="AC4952" t="s">
        <v>409</v>
      </c>
      <c r="AD4952" t="s">
        <v>261</v>
      </c>
      <c r="AH4952" t="s">
        <v>262</v>
      </c>
      <c r="AI4952" t="s">
        <v>262</v>
      </c>
      <c r="AJ4952" t="s">
        <v>261</v>
      </c>
      <c r="AK4952" t="s">
        <v>261</v>
      </c>
      <c r="AM4952" t="s">
        <v>262</v>
      </c>
      <c r="AN4952" t="s">
        <v>13171</v>
      </c>
    </row>
    <row r="4953" spans="1:40" x14ac:dyDescent="0.35">
      <c r="A4953">
        <v>7101205</v>
      </c>
      <c r="B4953" t="s">
        <v>13172</v>
      </c>
      <c r="C4953" t="str">
        <f>"9783428172641"</f>
        <v>9783428172641</v>
      </c>
      <c r="D4953" t="str">
        <f>"9783428572649"</f>
        <v>9783428572649</v>
      </c>
      <c r="E4953" t="s">
        <v>12661</v>
      </c>
      <c r="F4953" t="s">
        <v>12661</v>
      </c>
      <c r="G4953" s="1">
        <v>44681</v>
      </c>
      <c r="H4953" s="1">
        <v>44840</v>
      </c>
      <c r="I4953" t="s">
        <v>189</v>
      </c>
      <c r="J4953">
        <v>1</v>
      </c>
      <c r="K4953" t="s">
        <v>13127</v>
      </c>
      <c r="L4953" t="s">
        <v>13173</v>
      </c>
      <c r="M4953" t="s">
        <v>210</v>
      </c>
      <c r="Q4953" t="s">
        <v>408</v>
      </c>
      <c r="R4953" t="s">
        <v>261</v>
      </c>
      <c r="S4953" t="s">
        <v>261</v>
      </c>
      <c r="T4953" t="s">
        <v>261</v>
      </c>
      <c r="U4953" t="s">
        <v>262</v>
      </c>
      <c r="V4953" t="s">
        <v>262</v>
      </c>
      <c r="W4953" t="s">
        <v>261</v>
      </c>
      <c r="X4953" t="s">
        <v>262</v>
      </c>
      <c r="Y4953" t="s">
        <v>261</v>
      </c>
      <c r="AB4953" t="s">
        <v>409</v>
      </c>
      <c r="AC4953" t="s">
        <v>409</v>
      </c>
      <c r="AD4953" t="s">
        <v>261</v>
      </c>
      <c r="AH4953" t="s">
        <v>262</v>
      </c>
      <c r="AI4953" t="s">
        <v>262</v>
      </c>
      <c r="AJ4953" t="s">
        <v>261</v>
      </c>
      <c r="AK4953" t="s">
        <v>261</v>
      </c>
      <c r="AM4953" t="s">
        <v>262</v>
      </c>
      <c r="AN4953" t="s">
        <v>13174</v>
      </c>
    </row>
    <row r="4954" spans="1:40" x14ac:dyDescent="0.35">
      <c r="A4954">
        <v>7101206</v>
      </c>
      <c r="B4954" t="s">
        <v>13175</v>
      </c>
      <c r="C4954" t="str">
        <f>"9783428172665"</f>
        <v>9783428172665</v>
      </c>
      <c r="D4954" t="str">
        <f>"9783428572663"</f>
        <v>9783428572663</v>
      </c>
      <c r="E4954" t="s">
        <v>12661</v>
      </c>
      <c r="F4954" t="s">
        <v>12661</v>
      </c>
      <c r="G4954" s="1">
        <v>44681</v>
      </c>
      <c r="H4954" s="1">
        <v>44845</v>
      </c>
      <c r="I4954" t="s">
        <v>189</v>
      </c>
      <c r="J4954">
        <v>1</v>
      </c>
      <c r="K4954" t="s">
        <v>13127</v>
      </c>
      <c r="L4954" t="s">
        <v>13140</v>
      </c>
      <c r="M4954" t="s">
        <v>316</v>
      </c>
      <c r="Q4954" t="s">
        <v>408</v>
      </c>
      <c r="R4954" t="s">
        <v>261</v>
      </c>
      <c r="S4954" t="s">
        <v>261</v>
      </c>
      <c r="T4954" t="s">
        <v>261</v>
      </c>
      <c r="U4954" t="s">
        <v>262</v>
      </c>
      <c r="V4954" t="s">
        <v>262</v>
      </c>
      <c r="W4954" t="s">
        <v>261</v>
      </c>
      <c r="X4954" t="s">
        <v>262</v>
      </c>
      <c r="Y4954" t="s">
        <v>261</v>
      </c>
      <c r="AB4954" t="s">
        <v>409</v>
      </c>
      <c r="AC4954" t="s">
        <v>409</v>
      </c>
      <c r="AD4954" t="s">
        <v>261</v>
      </c>
      <c r="AH4954" t="s">
        <v>262</v>
      </c>
      <c r="AI4954" t="s">
        <v>262</v>
      </c>
      <c r="AJ4954" t="s">
        <v>261</v>
      </c>
      <c r="AK4954" t="s">
        <v>261</v>
      </c>
      <c r="AM4954" t="s">
        <v>262</v>
      </c>
      <c r="AN4954" t="s">
        <v>13176</v>
      </c>
    </row>
    <row r="4955" spans="1:40" x14ac:dyDescent="0.35">
      <c r="A4955">
        <v>7101207</v>
      </c>
      <c r="B4955" t="s">
        <v>13177</v>
      </c>
      <c r="C4955" t="str">
        <f>"9783428172672"</f>
        <v>9783428172672</v>
      </c>
      <c r="D4955" t="str">
        <f>"9783428572670"</f>
        <v>9783428572670</v>
      </c>
      <c r="E4955" t="s">
        <v>12661</v>
      </c>
      <c r="F4955" t="s">
        <v>12661</v>
      </c>
      <c r="G4955" s="1">
        <v>44681</v>
      </c>
      <c r="H4955" s="1">
        <v>44840</v>
      </c>
      <c r="I4955" t="s">
        <v>189</v>
      </c>
      <c r="J4955">
        <v>1</v>
      </c>
      <c r="K4955" t="s">
        <v>13127</v>
      </c>
      <c r="L4955" t="s">
        <v>13178</v>
      </c>
      <c r="M4955" t="s">
        <v>210</v>
      </c>
      <c r="Q4955" t="s">
        <v>408</v>
      </c>
      <c r="R4955" t="s">
        <v>261</v>
      </c>
      <c r="S4955" t="s">
        <v>261</v>
      </c>
      <c r="T4955" t="s">
        <v>261</v>
      </c>
      <c r="U4955" t="s">
        <v>262</v>
      </c>
      <c r="V4955" t="s">
        <v>262</v>
      </c>
      <c r="W4955" t="s">
        <v>261</v>
      </c>
      <c r="X4955" t="s">
        <v>262</v>
      </c>
      <c r="Y4955" t="s">
        <v>261</v>
      </c>
      <c r="AB4955" t="s">
        <v>409</v>
      </c>
      <c r="AC4955" t="s">
        <v>409</v>
      </c>
      <c r="AD4955" t="s">
        <v>261</v>
      </c>
      <c r="AH4955" t="s">
        <v>262</v>
      </c>
      <c r="AI4955" t="s">
        <v>262</v>
      </c>
      <c r="AJ4955" t="s">
        <v>261</v>
      </c>
      <c r="AK4955" t="s">
        <v>261</v>
      </c>
      <c r="AM4955" t="s">
        <v>262</v>
      </c>
      <c r="AN4955" t="s">
        <v>13179</v>
      </c>
    </row>
    <row r="4956" spans="1:40" x14ac:dyDescent="0.35">
      <c r="A4956">
        <v>7101208</v>
      </c>
      <c r="B4956" t="s">
        <v>13180</v>
      </c>
    </row>
    <row r="4957" spans="1:40" x14ac:dyDescent="0.35">
      <c r="A4957">
        <v>7101209</v>
      </c>
      <c r="B4957" t="s">
        <v>13181</v>
      </c>
      <c r="C4957" t="str">
        <f>"9783428172696"</f>
        <v>9783428172696</v>
      </c>
      <c r="D4957" t="str">
        <f>"9783428572694"</f>
        <v>9783428572694</v>
      </c>
      <c r="E4957" t="s">
        <v>12661</v>
      </c>
      <c r="F4957" t="s">
        <v>12661</v>
      </c>
      <c r="G4957" s="1">
        <v>44681</v>
      </c>
      <c r="H4957" s="1">
        <v>44845</v>
      </c>
      <c r="I4957" t="s">
        <v>189</v>
      </c>
      <c r="J4957">
        <v>1</v>
      </c>
      <c r="K4957" t="s">
        <v>13127</v>
      </c>
      <c r="L4957" t="s">
        <v>13140</v>
      </c>
      <c r="M4957" t="s">
        <v>210</v>
      </c>
      <c r="Q4957" t="s">
        <v>408</v>
      </c>
      <c r="R4957" t="s">
        <v>261</v>
      </c>
      <c r="S4957" t="s">
        <v>261</v>
      </c>
      <c r="T4957" t="s">
        <v>261</v>
      </c>
      <c r="U4957" t="s">
        <v>262</v>
      </c>
      <c r="V4957" t="s">
        <v>262</v>
      </c>
      <c r="W4957" t="s">
        <v>261</v>
      </c>
      <c r="X4957" t="s">
        <v>262</v>
      </c>
      <c r="Y4957" t="s">
        <v>261</v>
      </c>
      <c r="AB4957" t="s">
        <v>409</v>
      </c>
      <c r="AC4957" t="s">
        <v>409</v>
      </c>
      <c r="AD4957" t="s">
        <v>261</v>
      </c>
      <c r="AH4957" t="s">
        <v>262</v>
      </c>
      <c r="AI4957" t="s">
        <v>262</v>
      </c>
      <c r="AJ4957" t="s">
        <v>261</v>
      </c>
      <c r="AK4957" t="s">
        <v>261</v>
      </c>
      <c r="AM4957" t="s">
        <v>262</v>
      </c>
      <c r="AN4957" t="s">
        <v>13182</v>
      </c>
    </row>
    <row r="4958" spans="1:40" x14ac:dyDescent="0.35">
      <c r="A4958">
        <v>7101210</v>
      </c>
      <c r="B4958" t="s">
        <v>13183</v>
      </c>
      <c r="C4958" t="str">
        <f>"9783428172702"</f>
        <v>9783428172702</v>
      </c>
      <c r="D4958" t="str">
        <f>"9783428572700"</f>
        <v>9783428572700</v>
      </c>
      <c r="E4958" t="s">
        <v>12661</v>
      </c>
      <c r="F4958" t="s">
        <v>12661</v>
      </c>
      <c r="G4958" s="1">
        <v>44681</v>
      </c>
      <c r="H4958" s="1">
        <v>44845</v>
      </c>
      <c r="I4958" t="s">
        <v>189</v>
      </c>
      <c r="J4958">
        <v>1</v>
      </c>
      <c r="K4958" t="s">
        <v>13127</v>
      </c>
      <c r="L4958" t="s">
        <v>13140</v>
      </c>
      <c r="M4958" t="s">
        <v>210</v>
      </c>
      <c r="Q4958" t="s">
        <v>408</v>
      </c>
      <c r="R4958" t="s">
        <v>261</v>
      </c>
      <c r="S4958" t="s">
        <v>261</v>
      </c>
      <c r="T4958" t="s">
        <v>261</v>
      </c>
      <c r="U4958" t="s">
        <v>262</v>
      </c>
      <c r="V4958" t="s">
        <v>262</v>
      </c>
      <c r="W4958" t="s">
        <v>261</v>
      </c>
      <c r="X4958" t="s">
        <v>262</v>
      </c>
      <c r="Y4958" t="s">
        <v>261</v>
      </c>
      <c r="AB4958" t="s">
        <v>409</v>
      </c>
      <c r="AC4958" t="s">
        <v>409</v>
      </c>
      <c r="AD4958" t="s">
        <v>261</v>
      </c>
      <c r="AH4958" t="s">
        <v>262</v>
      </c>
      <c r="AI4958" t="s">
        <v>262</v>
      </c>
      <c r="AJ4958" t="s">
        <v>261</v>
      </c>
      <c r="AK4958" t="s">
        <v>261</v>
      </c>
      <c r="AM4958" t="s">
        <v>262</v>
      </c>
      <c r="AN4958" t="s">
        <v>13184</v>
      </c>
    </row>
    <row r="4959" spans="1:40" x14ac:dyDescent="0.35">
      <c r="A4959">
        <v>7101211</v>
      </c>
      <c r="B4959" t="s">
        <v>13185</v>
      </c>
      <c r="C4959" t="str">
        <f>"9783428172719"</f>
        <v>9783428172719</v>
      </c>
      <c r="D4959" t="str">
        <f>"9783428572717"</f>
        <v>9783428572717</v>
      </c>
      <c r="E4959" t="s">
        <v>12661</v>
      </c>
      <c r="F4959" t="s">
        <v>12661</v>
      </c>
      <c r="G4959" s="1">
        <v>44681</v>
      </c>
      <c r="H4959" s="1">
        <v>44845</v>
      </c>
      <c r="I4959" t="s">
        <v>189</v>
      </c>
      <c r="J4959">
        <v>1</v>
      </c>
      <c r="K4959" t="s">
        <v>13127</v>
      </c>
      <c r="L4959" t="s">
        <v>13140</v>
      </c>
      <c r="M4959" t="s">
        <v>210</v>
      </c>
      <c r="Q4959" t="s">
        <v>408</v>
      </c>
      <c r="R4959" t="s">
        <v>261</v>
      </c>
      <c r="S4959" t="s">
        <v>261</v>
      </c>
      <c r="T4959" t="s">
        <v>261</v>
      </c>
      <c r="U4959" t="s">
        <v>262</v>
      </c>
      <c r="V4959" t="s">
        <v>262</v>
      </c>
      <c r="W4959" t="s">
        <v>261</v>
      </c>
      <c r="X4959" t="s">
        <v>262</v>
      </c>
      <c r="Y4959" t="s">
        <v>261</v>
      </c>
      <c r="AB4959" t="s">
        <v>409</v>
      </c>
      <c r="AC4959" t="s">
        <v>409</v>
      </c>
      <c r="AD4959" t="s">
        <v>261</v>
      </c>
      <c r="AH4959" t="s">
        <v>262</v>
      </c>
      <c r="AI4959" t="s">
        <v>262</v>
      </c>
      <c r="AJ4959" t="s">
        <v>261</v>
      </c>
      <c r="AK4959" t="s">
        <v>261</v>
      </c>
      <c r="AM4959" t="s">
        <v>262</v>
      </c>
      <c r="AN4959" t="s">
        <v>13186</v>
      </c>
    </row>
    <row r="4960" spans="1:40" x14ac:dyDescent="0.35">
      <c r="A4960">
        <v>7101212</v>
      </c>
      <c r="B4960" t="s">
        <v>13187</v>
      </c>
      <c r="C4960" t="str">
        <f>"9783428172726"</f>
        <v>9783428172726</v>
      </c>
      <c r="D4960" t="str">
        <f>"9783428572724"</f>
        <v>9783428572724</v>
      </c>
      <c r="E4960" t="s">
        <v>12661</v>
      </c>
      <c r="F4960" t="s">
        <v>12661</v>
      </c>
      <c r="G4960" s="1">
        <v>44681</v>
      </c>
      <c r="H4960" s="1">
        <v>44840</v>
      </c>
      <c r="I4960" t="s">
        <v>189</v>
      </c>
      <c r="J4960">
        <v>1</v>
      </c>
      <c r="K4960" t="s">
        <v>13127</v>
      </c>
      <c r="L4960" t="s">
        <v>13178</v>
      </c>
      <c r="M4960" t="s">
        <v>210</v>
      </c>
      <c r="Q4960" t="s">
        <v>408</v>
      </c>
      <c r="R4960" t="s">
        <v>261</v>
      </c>
      <c r="S4960" t="s">
        <v>261</v>
      </c>
      <c r="T4960" t="s">
        <v>261</v>
      </c>
      <c r="U4960" t="s">
        <v>262</v>
      </c>
      <c r="V4960" t="s">
        <v>262</v>
      </c>
      <c r="W4960" t="s">
        <v>261</v>
      </c>
      <c r="X4960" t="s">
        <v>262</v>
      </c>
      <c r="Y4960" t="s">
        <v>261</v>
      </c>
      <c r="AB4960" t="s">
        <v>409</v>
      </c>
      <c r="AC4960" t="s">
        <v>409</v>
      </c>
      <c r="AD4960" t="s">
        <v>261</v>
      </c>
      <c r="AH4960" t="s">
        <v>262</v>
      </c>
      <c r="AI4960" t="s">
        <v>262</v>
      </c>
      <c r="AJ4960" t="s">
        <v>261</v>
      </c>
      <c r="AK4960" t="s">
        <v>261</v>
      </c>
      <c r="AM4960" t="s">
        <v>262</v>
      </c>
      <c r="AN4960" t="s">
        <v>13188</v>
      </c>
    </row>
    <row r="4961" spans="1:40" x14ac:dyDescent="0.35">
      <c r="A4961">
        <v>7101213</v>
      </c>
      <c r="B4961" t="s">
        <v>13189</v>
      </c>
      <c r="C4961" t="str">
        <f>"9783428172733"</f>
        <v>9783428172733</v>
      </c>
      <c r="D4961" t="str">
        <f>"9783428572731"</f>
        <v>9783428572731</v>
      </c>
      <c r="E4961" t="s">
        <v>12661</v>
      </c>
      <c r="F4961" t="s">
        <v>12661</v>
      </c>
      <c r="G4961" s="1">
        <v>44681</v>
      </c>
      <c r="H4961" s="1">
        <v>44840</v>
      </c>
      <c r="I4961" t="s">
        <v>189</v>
      </c>
      <c r="J4961">
        <v>1</v>
      </c>
      <c r="K4961" t="s">
        <v>13127</v>
      </c>
      <c r="L4961" t="s">
        <v>13190</v>
      </c>
      <c r="M4961" t="s">
        <v>210</v>
      </c>
      <c r="Q4961" t="s">
        <v>408</v>
      </c>
      <c r="R4961" t="s">
        <v>261</v>
      </c>
      <c r="S4961" t="s">
        <v>261</v>
      </c>
      <c r="T4961" t="s">
        <v>261</v>
      </c>
      <c r="U4961" t="s">
        <v>262</v>
      </c>
      <c r="V4961" t="s">
        <v>262</v>
      </c>
      <c r="W4961" t="s">
        <v>261</v>
      </c>
      <c r="X4961" t="s">
        <v>262</v>
      </c>
      <c r="Y4961" t="s">
        <v>261</v>
      </c>
      <c r="AB4961" t="s">
        <v>409</v>
      </c>
      <c r="AC4961" t="s">
        <v>409</v>
      </c>
      <c r="AD4961" t="s">
        <v>261</v>
      </c>
      <c r="AH4961" t="s">
        <v>262</v>
      </c>
      <c r="AI4961" t="s">
        <v>262</v>
      </c>
      <c r="AJ4961" t="s">
        <v>261</v>
      </c>
      <c r="AK4961" t="s">
        <v>261</v>
      </c>
      <c r="AM4961" t="s">
        <v>262</v>
      </c>
      <c r="AN4961" t="s">
        <v>13191</v>
      </c>
    </row>
    <row r="4962" spans="1:40" x14ac:dyDescent="0.35">
      <c r="A4962">
        <v>7101214</v>
      </c>
      <c r="B4962" t="s">
        <v>13192</v>
      </c>
      <c r="C4962" t="str">
        <f>"9783428172740"</f>
        <v>9783428172740</v>
      </c>
      <c r="D4962" t="str">
        <f>"9783428572748"</f>
        <v>9783428572748</v>
      </c>
      <c r="E4962" t="s">
        <v>12661</v>
      </c>
      <c r="F4962" t="s">
        <v>12661</v>
      </c>
      <c r="G4962" s="1">
        <v>44681</v>
      </c>
      <c r="H4962" s="1">
        <v>44840</v>
      </c>
      <c r="I4962" t="s">
        <v>189</v>
      </c>
      <c r="J4962">
        <v>1</v>
      </c>
      <c r="K4962" t="s">
        <v>13127</v>
      </c>
      <c r="L4962" t="s">
        <v>13193</v>
      </c>
    </row>
    <row r="4963" spans="1:40" x14ac:dyDescent="0.35">
      <c r="A4963">
        <v>7101215</v>
      </c>
      <c r="B4963" t="s">
        <v>13194</v>
      </c>
      <c r="C4963" t="str">
        <f>"9783428172757"</f>
        <v>9783428172757</v>
      </c>
      <c r="D4963" t="str">
        <f>"9783428572755"</f>
        <v>9783428572755</v>
      </c>
      <c r="E4963" t="s">
        <v>12661</v>
      </c>
      <c r="F4963" t="s">
        <v>12661</v>
      </c>
      <c r="G4963" s="1">
        <v>44681</v>
      </c>
      <c r="H4963" s="1">
        <v>44845</v>
      </c>
      <c r="I4963" t="s">
        <v>189</v>
      </c>
      <c r="J4963">
        <v>1</v>
      </c>
      <c r="K4963" t="s">
        <v>13127</v>
      </c>
      <c r="L4963" t="s">
        <v>13140</v>
      </c>
      <c r="M4963" t="s">
        <v>210</v>
      </c>
      <c r="Q4963" t="s">
        <v>408</v>
      </c>
      <c r="R4963" t="s">
        <v>261</v>
      </c>
      <c r="S4963" t="s">
        <v>261</v>
      </c>
      <c r="T4963" t="s">
        <v>261</v>
      </c>
      <c r="U4963" t="s">
        <v>262</v>
      </c>
      <c r="V4963" t="s">
        <v>262</v>
      </c>
      <c r="W4963" t="s">
        <v>261</v>
      </c>
      <c r="X4963" t="s">
        <v>262</v>
      </c>
      <c r="Y4963" t="s">
        <v>261</v>
      </c>
      <c r="AB4963" t="s">
        <v>409</v>
      </c>
      <c r="AC4963" t="s">
        <v>409</v>
      </c>
      <c r="AD4963" t="s">
        <v>261</v>
      </c>
      <c r="AH4963" t="s">
        <v>262</v>
      </c>
      <c r="AI4963" t="s">
        <v>262</v>
      </c>
      <c r="AJ4963" t="s">
        <v>261</v>
      </c>
      <c r="AK4963" t="s">
        <v>261</v>
      </c>
      <c r="AM4963" t="s">
        <v>262</v>
      </c>
      <c r="AN4963" t="s">
        <v>13195</v>
      </c>
    </row>
    <row r="4964" spans="1:40" x14ac:dyDescent="0.35">
      <c r="A4964">
        <v>7101216</v>
      </c>
      <c r="B4964" t="s">
        <v>13196</v>
      </c>
      <c r="C4964" t="str">
        <f>"9783428172764"</f>
        <v>9783428172764</v>
      </c>
      <c r="D4964" t="str">
        <f>"9783428572762"</f>
        <v>9783428572762</v>
      </c>
      <c r="E4964" t="s">
        <v>12661</v>
      </c>
      <c r="F4964" t="s">
        <v>12661</v>
      </c>
      <c r="G4964" s="1">
        <v>44681</v>
      </c>
      <c r="H4964" s="1">
        <v>44840</v>
      </c>
      <c r="I4964" t="s">
        <v>189</v>
      </c>
      <c r="J4964">
        <v>1</v>
      </c>
      <c r="K4964" t="s">
        <v>13127</v>
      </c>
      <c r="L4964" t="s">
        <v>13197</v>
      </c>
      <c r="M4964" t="s">
        <v>210</v>
      </c>
      <c r="Q4964" t="s">
        <v>408</v>
      </c>
      <c r="R4964" t="s">
        <v>261</v>
      </c>
      <c r="S4964" t="s">
        <v>261</v>
      </c>
      <c r="T4964" t="s">
        <v>261</v>
      </c>
      <c r="U4964" t="s">
        <v>262</v>
      </c>
      <c r="V4964" t="s">
        <v>262</v>
      </c>
      <c r="W4964" t="s">
        <v>261</v>
      </c>
      <c r="X4964" t="s">
        <v>262</v>
      </c>
      <c r="Y4964" t="s">
        <v>261</v>
      </c>
      <c r="AB4964" t="s">
        <v>409</v>
      </c>
      <c r="AC4964" t="s">
        <v>409</v>
      </c>
      <c r="AD4964" t="s">
        <v>261</v>
      </c>
      <c r="AH4964" t="s">
        <v>262</v>
      </c>
      <c r="AI4964" t="s">
        <v>262</v>
      </c>
      <c r="AJ4964" t="s">
        <v>261</v>
      </c>
      <c r="AK4964" t="s">
        <v>261</v>
      </c>
      <c r="AM4964" t="s">
        <v>262</v>
      </c>
      <c r="AN4964" t="s">
        <v>13198</v>
      </c>
    </row>
    <row r="4965" spans="1:40" x14ac:dyDescent="0.35">
      <c r="A4965">
        <v>7101217</v>
      </c>
      <c r="B4965" t="s">
        <v>13199</v>
      </c>
      <c r="C4965" t="str">
        <f>"9783428172771"</f>
        <v>9783428172771</v>
      </c>
      <c r="D4965" t="str">
        <f>"9783428572779"</f>
        <v>9783428572779</v>
      </c>
      <c r="E4965" t="s">
        <v>12661</v>
      </c>
      <c r="F4965" t="s">
        <v>12661</v>
      </c>
      <c r="G4965" s="1">
        <v>44681</v>
      </c>
      <c r="H4965" s="1">
        <v>44845</v>
      </c>
      <c r="I4965" t="s">
        <v>189</v>
      </c>
      <c r="J4965">
        <v>1</v>
      </c>
      <c r="K4965" t="s">
        <v>13127</v>
      </c>
      <c r="L4965" t="s">
        <v>13140</v>
      </c>
      <c r="M4965" t="s">
        <v>329</v>
      </c>
    </row>
    <row r="4966" spans="1:40" x14ac:dyDescent="0.35">
      <c r="A4966">
        <v>7101218</v>
      </c>
      <c r="B4966" t="s">
        <v>13200</v>
      </c>
      <c r="C4966" t="str">
        <f>"9783428172788"</f>
        <v>9783428172788</v>
      </c>
      <c r="D4966" t="str">
        <f>"9783428572786"</f>
        <v>9783428572786</v>
      </c>
      <c r="E4966" t="s">
        <v>12661</v>
      </c>
      <c r="F4966" t="s">
        <v>12661</v>
      </c>
      <c r="G4966" s="1">
        <v>44681</v>
      </c>
      <c r="H4966" s="1">
        <v>44845</v>
      </c>
      <c r="I4966" t="s">
        <v>189</v>
      </c>
      <c r="J4966">
        <v>1</v>
      </c>
      <c r="K4966" t="s">
        <v>13127</v>
      </c>
      <c r="L4966" t="s">
        <v>13140</v>
      </c>
      <c r="M4966" t="s">
        <v>389</v>
      </c>
    </row>
    <row r="4967" spans="1:40" x14ac:dyDescent="0.35">
      <c r="A4967">
        <v>7101219</v>
      </c>
      <c r="B4967" t="s">
        <v>13201</v>
      </c>
      <c r="C4967" t="str">
        <f>"9783428172795"</f>
        <v>9783428172795</v>
      </c>
      <c r="D4967" t="str">
        <f>"9783428572793"</f>
        <v>9783428572793</v>
      </c>
      <c r="E4967" t="s">
        <v>12661</v>
      </c>
      <c r="F4967" t="s">
        <v>12661</v>
      </c>
      <c r="G4967" s="1">
        <v>44681</v>
      </c>
      <c r="H4967" s="1">
        <v>44845</v>
      </c>
      <c r="I4967" t="s">
        <v>189</v>
      </c>
      <c r="J4967">
        <v>1</v>
      </c>
      <c r="K4967" t="s">
        <v>13127</v>
      </c>
      <c r="L4967" t="s">
        <v>13140</v>
      </c>
      <c r="M4967" t="s">
        <v>239</v>
      </c>
    </row>
    <row r="4968" spans="1:40" x14ac:dyDescent="0.35">
      <c r="A4968">
        <v>7101220</v>
      </c>
      <c r="B4968" t="s">
        <v>13202</v>
      </c>
      <c r="C4968" t="str">
        <f>"9783428172801"</f>
        <v>9783428172801</v>
      </c>
      <c r="D4968" t="str">
        <f>"9783428572809"</f>
        <v>9783428572809</v>
      </c>
      <c r="E4968" t="s">
        <v>12661</v>
      </c>
      <c r="F4968" t="s">
        <v>12661</v>
      </c>
      <c r="G4968" s="1">
        <v>44681</v>
      </c>
      <c r="H4968" s="1">
        <v>44845</v>
      </c>
      <c r="I4968" t="s">
        <v>189</v>
      </c>
      <c r="J4968">
        <v>1</v>
      </c>
      <c r="K4968" t="s">
        <v>13127</v>
      </c>
      <c r="L4968" t="s">
        <v>13140</v>
      </c>
      <c r="M4968" t="s">
        <v>210</v>
      </c>
    </row>
    <row r="4969" spans="1:40" x14ac:dyDescent="0.35">
      <c r="A4969">
        <v>7101221</v>
      </c>
      <c r="B4969" t="s">
        <v>13203</v>
      </c>
      <c r="C4969" t="str">
        <f>"9783428172818"</f>
        <v>9783428172818</v>
      </c>
      <c r="D4969" t="str">
        <f>"9783428572816"</f>
        <v>9783428572816</v>
      </c>
      <c r="E4969" t="s">
        <v>12661</v>
      </c>
      <c r="F4969" t="s">
        <v>12661</v>
      </c>
      <c r="G4969" s="1">
        <v>44681</v>
      </c>
      <c r="H4969" s="1">
        <v>44845</v>
      </c>
      <c r="I4969" t="s">
        <v>189</v>
      </c>
      <c r="J4969">
        <v>1</v>
      </c>
      <c r="K4969" t="s">
        <v>13127</v>
      </c>
      <c r="L4969" t="s">
        <v>13140</v>
      </c>
      <c r="M4969" t="s">
        <v>210</v>
      </c>
      <c r="Q4969" t="s">
        <v>408</v>
      </c>
      <c r="R4969" t="s">
        <v>261</v>
      </c>
      <c r="S4969" t="s">
        <v>261</v>
      </c>
      <c r="T4969" t="s">
        <v>261</v>
      </c>
      <c r="U4969" t="s">
        <v>262</v>
      </c>
      <c r="V4969" t="s">
        <v>262</v>
      </c>
      <c r="W4969" t="s">
        <v>261</v>
      </c>
      <c r="X4969" t="s">
        <v>262</v>
      </c>
      <c r="Y4969" t="s">
        <v>261</v>
      </c>
      <c r="AB4969" t="s">
        <v>409</v>
      </c>
      <c r="AC4969" t="s">
        <v>409</v>
      </c>
      <c r="AD4969" t="s">
        <v>261</v>
      </c>
      <c r="AH4969" t="s">
        <v>262</v>
      </c>
      <c r="AI4969" t="s">
        <v>262</v>
      </c>
      <c r="AJ4969" t="s">
        <v>261</v>
      </c>
      <c r="AK4969" t="s">
        <v>261</v>
      </c>
      <c r="AM4969" t="s">
        <v>262</v>
      </c>
      <c r="AN4969" t="s">
        <v>13204</v>
      </c>
    </row>
    <row r="4970" spans="1:40" x14ac:dyDescent="0.35">
      <c r="A4970">
        <v>7101222</v>
      </c>
      <c r="B4970" t="s">
        <v>13205</v>
      </c>
      <c r="C4970" t="str">
        <f>"9783428172825"</f>
        <v>9783428172825</v>
      </c>
      <c r="D4970" t="str">
        <f>"9783428572823"</f>
        <v>9783428572823</v>
      </c>
      <c r="E4970" t="s">
        <v>12661</v>
      </c>
      <c r="F4970" t="s">
        <v>12661</v>
      </c>
      <c r="G4970" s="1">
        <v>44681</v>
      </c>
      <c r="H4970" s="1">
        <v>44845</v>
      </c>
      <c r="I4970" t="s">
        <v>189</v>
      </c>
      <c r="J4970">
        <v>1</v>
      </c>
      <c r="K4970" t="s">
        <v>13127</v>
      </c>
      <c r="L4970" t="s">
        <v>13140</v>
      </c>
      <c r="M4970" t="s">
        <v>210</v>
      </c>
    </row>
    <row r="4971" spans="1:40" x14ac:dyDescent="0.35">
      <c r="A4971">
        <v>7101223</v>
      </c>
      <c r="B4971" t="s">
        <v>13206</v>
      </c>
      <c r="C4971" t="str">
        <f>"9783428172832"</f>
        <v>9783428172832</v>
      </c>
      <c r="D4971" t="str">
        <f>"9783428572830"</f>
        <v>9783428572830</v>
      </c>
      <c r="E4971" t="s">
        <v>12661</v>
      </c>
      <c r="F4971" t="s">
        <v>12661</v>
      </c>
      <c r="G4971" s="1">
        <v>44681</v>
      </c>
      <c r="H4971" s="1">
        <v>44840</v>
      </c>
      <c r="I4971" t="s">
        <v>189</v>
      </c>
      <c r="J4971">
        <v>1</v>
      </c>
      <c r="K4971" t="s">
        <v>13127</v>
      </c>
      <c r="L4971" t="s">
        <v>13207</v>
      </c>
      <c r="M4971" t="s">
        <v>282</v>
      </c>
      <c r="Q4971" t="s">
        <v>408</v>
      </c>
      <c r="R4971" t="s">
        <v>261</v>
      </c>
      <c r="S4971" t="s">
        <v>261</v>
      </c>
      <c r="T4971" t="s">
        <v>261</v>
      </c>
      <c r="U4971" t="s">
        <v>262</v>
      </c>
      <c r="V4971" t="s">
        <v>262</v>
      </c>
      <c r="W4971" t="s">
        <v>261</v>
      </c>
      <c r="X4971" t="s">
        <v>262</v>
      </c>
      <c r="Y4971" t="s">
        <v>261</v>
      </c>
      <c r="AB4971" t="s">
        <v>409</v>
      </c>
      <c r="AC4971" t="s">
        <v>409</v>
      </c>
      <c r="AD4971" t="s">
        <v>261</v>
      </c>
      <c r="AH4971" t="s">
        <v>262</v>
      </c>
      <c r="AI4971" t="s">
        <v>262</v>
      </c>
      <c r="AJ4971" t="s">
        <v>261</v>
      </c>
      <c r="AK4971" t="s">
        <v>261</v>
      </c>
      <c r="AM4971" t="s">
        <v>262</v>
      </c>
      <c r="AN4971" t="s">
        <v>13208</v>
      </c>
    </row>
    <row r="4972" spans="1:40" x14ac:dyDescent="0.35">
      <c r="A4972">
        <v>7101224</v>
      </c>
      <c r="B4972" t="s">
        <v>13209</v>
      </c>
      <c r="C4972" t="str">
        <f>"9783428172863"</f>
        <v>9783428172863</v>
      </c>
      <c r="D4972" t="str">
        <f>"9783428572861"</f>
        <v>9783428572861</v>
      </c>
      <c r="E4972" t="s">
        <v>12661</v>
      </c>
      <c r="F4972" t="s">
        <v>12661</v>
      </c>
      <c r="G4972" s="1">
        <v>44681</v>
      </c>
      <c r="H4972" s="1">
        <v>44840</v>
      </c>
      <c r="I4972" t="s">
        <v>189</v>
      </c>
      <c r="J4972">
        <v>1</v>
      </c>
      <c r="K4972" t="s">
        <v>13127</v>
      </c>
      <c r="L4972" t="s">
        <v>13210</v>
      </c>
      <c r="M4972" t="s">
        <v>282</v>
      </c>
      <c r="Q4972" t="s">
        <v>408</v>
      </c>
      <c r="R4972" t="s">
        <v>261</v>
      </c>
      <c r="S4972" t="s">
        <v>261</v>
      </c>
      <c r="T4972" t="s">
        <v>261</v>
      </c>
      <c r="U4972" t="s">
        <v>262</v>
      </c>
      <c r="V4972" t="s">
        <v>262</v>
      </c>
      <c r="W4972" t="s">
        <v>261</v>
      </c>
      <c r="X4972" t="s">
        <v>262</v>
      </c>
      <c r="Y4972" t="s">
        <v>261</v>
      </c>
      <c r="AB4972" t="s">
        <v>409</v>
      </c>
      <c r="AC4972" t="s">
        <v>409</v>
      </c>
      <c r="AD4972" t="s">
        <v>261</v>
      </c>
      <c r="AH4972" t="s">
        <v>262</v>
      </c>
      <c r="AI4972" t="s">
        <v>262</v>
      </c>
      <c r="AJ4972" t="s">
        <v>261</v>
      </c>
      <c r="AK4972" t="s">
        <v>261</v>
      </c>
      <c r="AM4972" t="s">
        <v>262</v>
      </c>
      <c r="AN4972" t="s">
        <v>13211</v>
      </c>
    </row>
    <row r="4973" spans="1:40" x14ac:dyDescent="0.35">
      <c r="A4973">
        <v>7101225</v>
      </c>
      <c r="B4973" t="s">
        <v>13212</v>
      </c>
      <c r="C4973" t="str">
        <f>"9783428172870"</f>
        <v>9783428172870</v>
      </c>
      <c r="D4973" t="str">
        <f>"9783428572878"</f>
        <v>9783428572878</v>
      </c>
      <c r="E4973" t="s">
        <v>12661</v>
      </c>
      <c r="F4973" t="s">
        <v>12661</v>
      </c>
      <c r="G4973" s="1">
        <v>44681</v>
      </c>
      <c r="H4973" s="1">
        <v>44845</v>
      </c>
      <c r="I4973" t="s">
        <v>189</v>
      </c>
      <c r="J4973">
        <v>1</v>
      </c>
      <c r="K4973" t="s">
        <v>13127</v>
      </c>
      <c r="L4973" t="s">
        <v>13140</v>
      </c>
      <c r="M4973" t="s">
        <v>282</v>
      </c>
      <c r="Q4973" t="s">
        <v>408</v>
      </c>
      <c r="R4973" t="s">
        <v>261</v>
      </c>
      <c r="S4973" t="s">
        <v>261</v>
      </c>
      <c r="T4973" t="s">
        <v>261</v>
      </c>
      <c r="U4973" t="s">
        <v>262</v>
      </c>
      <c r="V4973" t="s">
        <v>262</v>
      </c>
      <c r="W4973" t="s">
        <v>261</v>
      </c>
      <c r="X4973" t="s">
        <v>262</v>
      </c>
      <c r="Y4973" t="s">
        <v>261</v>
      </c>
      <c r="AB4973" t="s">
        <v>409</v>
      </c>
      <c r="AC4973" t="s">
        <v>409</v>
      </c>
      <c r="AD4973" t="s">
        <v>261</v>
      </c>
      <c r="AH4973" t="s">
        <v>262</v>
      </c>
      <c r="AI4973" t="s">
        <v>262</v>
      </c>
      <c r="AJ4973" t="s">
        <v>261</v>
      </c>
      <c r="AK4973" t="s">
        <v>261</v>
      </c>
      <c r="AM4973" t="s">
        <v>262</v>
      </c>
      <c r="AN4973" t="s">
        <v>13213</v>
      </c>
    </row>
    <row r="4974" spans="1:40" x14ac:dyDescent="0.35">
      <c r="A4974">
        <v>7101226</v>
      </c>
      <c r="B4974" t="s">
        <v>13214</v>
      </c>
      <c r="C4974" t="str">
        <f>"9783428172887"</f>
        <v>9783428172887</v>
      </c>
      <c r="D4974" t="str">
        <f>"9783428572885"</f>
        <v>9783428572885</v>
      </c>
      <c r="E4974" t="s">
        <v>12661</v>
      </c>
      <c r="F4974" t="s">
        <v>12661</v>
      </c>
      <c r="G4974" s="1">
        <v>44681</v>
      </c>
      <c r="H4974" s="1">
        <v>44845</v>
      </c>
      <c r="I4974" t="s">
        <v>189</v>
      </c>
      <c r="J4974">
        <v>1</v>
      </c>
      <c r="K4974" t="s">
        <v>13127</v>
      </c>
      <c r="L4974" t="s">
        <v>13140</v>
      </c>
      <c r="M4974" t="s">
        <v>282</v>
      </c>
      <c r="Q4974" t="s">
        <v>408</v>
      </c>
      <c r="R4974" t="s">
        <v>261</v>
      </c>
      <c r="S4974" t="s">
        <v>261</v>
      </c>
      <c r="T4974" t="s">
        <v>261</v>
      </c>
      <c r="U4974" t="s">
        <v>262</v>
      </c>
      <c r="V4974" t="s">
        <v>262</v>
      </c>
      <c r="W4974" t="s">
        <v>261</v>
      </c>
      <c r="X4974" t="s">
        <v>262</v>
      </c>
      <c r="Y4974" t="s">
        <v>261</v>
      </c>
      <c r="AB4974" t="s">
        <v>409</v>
      </c>
      <c r="AC4974" t="s">
        <v>409</v>
      </c>
      <c r="AD4974" t="s">
        <v>261</v>
      </c>
      <c r="AH4974" t="s">
        <v>262</v>
      </c>
      <c r="AI4974" t="s">
        <v>262</v>
      </c>
      <c r="AJ4974" t="s">
        <v>261</v>
      </c>
      <c r="AK4974" t="s">
        <v>261</v>
      </c>
      <c r="AM4974" t="s">
        <v>262</v>
      </c>
      <c r="AN4974" t="s">
        <v>13215</v>
      </c>
    </row>
    <row r="4975" spans="1:40" x14ac:dyDescent="0.35">
      <c r="A4975">
        <v>7101227</v>
      </c>
      <c r="B4975" t="s">
        <v>13216</v>
      </c>
      <c r="C4975" t="str">
        <f>"9783428172894"</f>
        <v>9783428172894</v>
      </c>
      <c r="D4975" t="str">
        <f>"9783428572892"</f>
        <v>9783428572892</v>
      </c>
      <c r="E4975" t="s">
        <v>12661</v>
      </c>
      <c r="F4975" t="s">
        <v>12661</v>
      </c>
      <c r="G4975" s="1">
        <v>44681</v>
      </c>
      <c r="H4975" s="1">
        <v>44845</v>
      </c>
      <c r="I4975" t="s">
        <v>189</v>
      </c>
      <c r="J4975">
        <v>1</v>
      </c>
      <c r="K4975" t="s">
        <v>13127</v>
      </c>
      <c r="L4975" t="s">
        <v>13140</v>
      </c>
      <c r="M4975" t="s">
        <v>282</v>
      </c>
      <c r="Q4975" t="s">
        <v>408</v>
      </c>
      <c r="R4975" t="s">
        <v>261</v>
      </c>
      <c r="S4975" t="s">
        <v>261</v>
      </c>
      <c r="T4975" t="s">
        <v>261</v>
      </c>
      <c r="U4975" t="s">
        <v>262</v>
      </c>
      <c r="V4975" t="s">
        <v>262</v>
      </c>
      <c r="W4975" t="s">
        <v>261</v>
      </c>
      <c r="X4975" t="s">
        <v>262</v>
      </c>
      <c r="Y4975" t="s">
        <v>261</v>
      </c>
      <c r="AB4975" t="s">
        <v>409</v>
      </c>
      <c r="AC4975" t="s">
        <v>409</v>
      </c>
      <c r="AD4975" t="s">
        <v>261</v>
      </c>
      <c r="AH4975" t="s">
        <v>262</v>
      </c>
      <c r="AI4975" t="s">
        <v>262</v>
      </c>
      <c r="AJ4975" t="s">
        <v>261</v>
      </c>
      <c r="AK4975" t="s">
        <v>261</v>
      </c>
      <c r="AM4975" t="s">
        <v>262</v>
      </c>
      <c r="AN4975" t="s">
        <v>13217</v>
      </c>
    </row>
    <row r="4976" spans="1:40" x14ac:dyDescent="0.35">
      <c r="A4976">
        <v>7101228</v>
      </c>
      <c r="B4976" t="s">
        <v>13218</v>
      </c>
      <c r="C4976" t="str">
        <f>"9783428172900"</f>
        <v>9783428172900</v>
      </c>
      <c r="D4976" t="str">
        <f>"9783428572908"</f>
        <v>9783428572908</v>
      </c>
      <c r="E4976" t="s">
        <v>12661</v>
      </c>
      <c r="F4976" t="s">
        <v>12661</v>
      </c>
      <c r="G4976" s="1">
        <v>44681</v>
      </c>
      <c r="H4976" s="1">
        <v>44840</v>
      </c>
      <c r="I4976" t="s">
        <v>189</v>
      </c>
      <c r="J4976">
        <v>1</v>
      </c>
      <c r="K4976" t="s">
        <v>13127</v>
      </c>
      <c r="L4976" t="s">
        <v>13219</v>
      </c>
      <c r="M4976" t="s">
        <v>316</v>
      </c>
    </row>
    <row r="4977" spans="1:40" x14ac:dyDescent="0.35">
      <c r="A4977">
        <v>7101229</v>
      </c>
      <c r="B4977" t="s">
        <v>13220</v>
      </c>
      <c r="C4977" t="str">
        <f>"9783428172917"</f>
        <v>9783428172917</v>
      </c>
      <c r="D4977" t="str">
        <f>"9783428572915"</f>
        <v>9783428572915</v>
      </c>
      <c r="E4977" t="s">
        <v>12661</v>
      </c>
      <c r="F4977" t="s">
        <v>12661</v>
      </c>
      <c r="G4977" s="1">
        <v>44681</v>
      </c>
      <c r="H4977" s="1">
        <v>44845</v>
      </c>
      <c r="I4977" t="s">
        <v>189</v>
      </c>
      <c r="J4977">
        <v>1</v>
      </c>
      <c r="K4977" t="s">
        <v>13127</v>
      </c>
      <c r="M4977" t="s">
        <v>282</v>
      </c>
    </row>
    <row r="4978" spans="1:40" x14ac:dyDescent="0.35">
      <c r="A4978">
        <v>7101230</v>
      </c>
      <c r="B4978" t="s">
        <v>13221</v>
      </c>
      <c r="C4978" t="str">
        <f>"9783428172924"</f>
        <v>9783428172924</v>
      </c>
      <c r="D4978" t="str">
        <f>"9783428572922"</f>
        <v>9783428572922</v>
      </c>
      <c r="E4978" t="s">
        <v>12661</v>
      </c>
      <c r="F4978" t="s">
        <v>12661</v>
      </c>
      <c r="G4978" s="1">
        <v>44681</v>
      </c>
      <c r="H4978" s="1">
        <v>44840</v>
      </c>
      <c r="I4978" t="s">
        <v>189</v>
      </c>
      <c r="J4978">
        <v>1</v>
      </c>
      <c r="K4978" t="s">
        <v>13127</v>
      </c>
      <c r="L4978" t="s">
        <v>13222</v>
      </c>
    </row>
    <row r="4979" spans="1:40" x14ac:dyDescent="0.35">
      <c r="A4979">
        <v>7101231</v>
      </c>
      <c r="B4979" t="s">
        <v>13223</v>
      </c>
      <c r="C4979" t="str">
        <f>"9783428172931"</f>
        <v>9783428172931</v>
      </c>
      <c r="D4979" t="str">
        <f>"9783428572939"</f>
        <v>9783428572939</v>
      </c>
      <c r="E4979" t="s">
        <v>12661</v>
      </c>
      <c r="F4979" t="s">
        <v>12661</v>
      </c>
      <c r="G4979" s="1">
        <v>44681</v>
      </c>
      <c r="H4979" s="1">
        <v>44840</v>
      </c>
      <c r="I4979" t="s">
        <v>189</v>
      </c>
      <c r="J4979">
        <v>1</v>
      </c>
      <c r="K4979" t="s">
        <v>13127</v>
      </c>
      <c r="L4979" t="s">
        <v>137</v>
      </c>
      <c r="M4979" t="s">
        <v>210</v>
      </c>
      <c r="Q4979" t="s">
        <v>408</v>
      </c>
      <c r="R4979" t="s">
        <v>261</v>
      </c>
      <c r="S4979" t="s">
        <v>261</v>
      </c>
      <c r="T4979" t="s">
        <v>261</v>
      </c>
      <c r="U4979" t="s">
        <v>262</v>
      </c>
      <c r="V4979" t="s">
        <v>262</v>
      </c>
      <c r="W4979" t="s">
        <v>261</v>
      </c>
      <c r="X4979" t="s">
        <v>262</v>
      </c>
      <c r="Y4979" t="s">
        <v>261</v>
      </c>
      <c r="AB4979" t="s">
        <v>409</v>
      </c>
      <c r="AC4979" t="s">
        <v>409</v>
      </c>
      <c r="AD4979" t="s">
        <v>261</v>
      </c>
      <c r="AH4979" t="s">
        <v>262</v>
      </c>
      <c r="AI4979" t="s">
        <v>262</v>
      </c>
      <c r="AJ4979" t="s">
        <v>261</v>
      </c>
      <c r="AK4979" t="s">
        <v>261</v>
      </c>
      <c r="AM4979" t="s">
        <v>262</v>
      </c>
      <c r="AN4979" t="s">
        <v>13224</v>
      </c>
    </row>
    <row r="4980" spans="1:40" x14ac:dyDescent="0.35">
      <c r="A4980">
        <v>7101232</v>
      </c>
      <c r="B4980" t="s">
        <v>13225</v>
      </c>
      <c r="C4980" t="str">
        <f>"9783428172948"</f>
        <v>9783428172948</v>
      </c>
      <c r="D4980" t="str">
        <f>"9783428572946"</f>
        <v>9783428572946</v>
      </c>
      <c r="E4980" t="s">
        <v>12661</v>
      </c>
      <c r="F4980" t="s">
        <v>12661</v>
      </c>
      <c r="G4980" s="1">
        <v>44681</v>
      </c>
      <c r="H4980" s="1">
        <v>44845</v>
      </c>
      <c r="I4980" t="s">
        <v>189</v>
      </c>
      <c r="J4980">
        <v>1</v>
      </c>
      <c r="K4980" t="s">
        <v>13127</v>
      </c>
      <c r="L4980" t="s">
        <v>13140</v>
      </c>
      <c r="M4980" t="s">
        <v>210</v>
      </c>
    </row>
    <row r="4981" spans="1:40" x14ac:dyDescent="0.35">
      <c r="A4981">
        <v>7101233</v>
      </c>
      <c r="B4981" t="s">
        <v>13226</v>
      </c>
      <c r="C4981" t="str">
        <f>"9783428172955"</f>
        <v>9783428172955</v>
      </c>
      <c r="D4981" t="str">
        <f>"9783428572953"</f>
        <v>9783428572953</v>
      </c>
      <c r="E4981" t="s">
        <v>12661</v>
      </c>
      <c r="F4981" t="s">
        <v>12661</v>
      </c>
      <c r="G4981" s="1">
        <v>44681</v>
      </c>
      <c r="H4981" s="1">
        <v>44845</v>
      </c>
      <c r="I4981" t="s">
        <v>189</v>
      </c>
      <c r="J4981">
        <v>1</v>
      </c>
      <c r="K4981" t="s">
        <v>13127</v>
      </c>
      <c r="L4981" t="s">
        <v>13227</v>
      </c>
      <c r="M4981" t="s">
        <v>282</v>
      </c>
      <c r="Q4981" t="s">
        <v>408</v>
      </c>
      <c r="R4981" t="s">
        <v>261</v>
      </c>
      <c r="S4981" t="s">
        <v>261</v>
      </c>
      <c r="T4981" t="s">
        <v>261</v>
      </c>
      <c r="U4981" t="s">
        <v>262</v>
      </c>
      <c r="V4981" t="s">
        <v>262</v>
      </c>
      <c r="W4981" t="s">
        <v>261</v>
      </c>
      <c r="X4981" t="s">
        <v>262</v>
      </c>
      <c r="Y4981" t="s">
        <v>261</v>
      </c>
      <c r="AB4981" t="s">
        <v>409</v>
      </c>
      <c r="AC4981" t="s">
        <v>409</v>
      </c>
      <c r="AD4981" t="s">
        <v>261</v>
      </c>
      <c r="AH4981" t="s">
        <v>262</v>
      </c>
      <c r="AI4981" t="s">
        <v>262</v>
      </c>
      <c r="AJ4981" t="s">
        <v>261</v>
      </c>
      <c r="AK4981" t="s">
        <v>261</v>
      </c>
      <c r="AM4981" t="s">
        <v>262</v>
      </c>
      <c r="AN4981" t="s">
        <v>13228</v>
      </c>
    </row>
    <row r="4982" spans="1:40" x14ac:dyDescent="0.35">
      <c r="A4982">
        <v>7101234</v>
      </c>
      <c r="B4982" t="s">
        <v>13229</v>
      </c>
      <c r="C4982" t="str">
        <f>"9783428172979"</f>
        <v>9783428172979</v>
      </c>
      <c r="D4982" t="str">
        <f>"9783428572977"</f>
        <v>9783428572977</v>
      </c>
      <c r="E4982" t="s">
        <v>12661</v>
      </c>
      <c r="F4982" t="s">
        <v>12661</v>
      </c>
      <c r="G4982" s="1">
        <v>44681</v>
      </c>
      <c r="H4982" s="1">
        <v>44840</v>
      </c>
      <c r="I4982" t="s">
        <v>189</v>
      </c>
      <c r="J4982">
        <v>1</v>
      </c>
      <c r="K4982" t="s">
        <v>13127</v>
      </c>
      <c r="L4982" t="s">
        <v>143</v>
      </c>
      <c r="M4982" t="s">
        <v>210</v>
      </c>
      <c r="Q4982" t="s">
        <v>408</v>
      </c>
      <c r="R4982" t="s">
        <v>261</v>
      </c>
      <c r="S4982" t="s">
        <v>261</v>
      </c>
      <c r="T4982" t="s">
        <v>261</v>
      </c>
      <c r="U4982" t="s">
        <v>262</v>
      </c>
      <c r="V4982" t="s">
        <v>262</v>
      </c>
      <c r="W4982" t="s">
        <v>261</v>
      </c>
      <c r="X4982" t="s">
        <v>262</v>
      </c>
      <c r="Y4982" t="s">
        <v>261</v>
      </c>
      <c r="AB4982" t="s">
        <v>409</v>
      </c>
      <c r="AC4982" t="s">
        <v>409</v>
      </c>
      <c r="AD4982" t="s">
        <v>261</v>
      </c>
      <c r="AH4982" t="s">
        <v>262</v>
      </c>
      <c r="AI4982" t="s">
        <v>262</v>
      </c>
      <c r="AJ4982" t="s">
        <v>261</v>
      </c>
      <c r="AK4982" t="s">
        <v>261</v>
      </c>
      <c r="AM4982" t="s">
        <v>262</v>
      </c>
      <c r="AN4982" t="s">
        <v>13230</v>
      </c>
    </row>
    <row r="4983" spans="1:40" x14ac:dyDescent="0.35">
      <c r="A4983">
        <v>7101235</v>
      </c>
      <c r="B4983" t="s">
        <v>13231</v>
      </c>
      <c r="C4983" t="str">
        <f>"9783428172962"</f>
        <v>9783428172962</v>
      </c>
      <c r="D4983" t="str">
        <f>"9783428572960"</f>
        <v>9783428572960</v>
      </c>
      <c r="E4983" t="s">
        <v>12661</v>
      </c>
      <c r="F4983" t="s">
        <v>12661</v>
      </c>
      <c r="G4983" s="1">
        <v>44681</v>
      </c>
      <c r="H4983" s="1">
        <v>44845</v>
      </c>
      <c r="I4983" t="s">
        <v>189</v>
      </c>
      <c r="J4983">
        <v>1</v>
      </c>
      <c r="K4983" t="s">
        <v>13127</v>
      </c>
      <c r="L4983" t="s">
        <v>13140</v>
      </c>
      <c r="M4983" t="s">
        <v>210</v>
      </c>
      <c r="Q4983" t="s">
        <v>408</v>
      </c>
      <c r="R4983" t="s">
        <v>261</v>
      </c>
      <c r="S4983" t="s">
        <v>261</v>
      </c>
      <c r="T4983" t="s">
        <v>261</v>
      </c>
      <c r="U4983" t="s">
        <v>262</v>
      </c>
      <c r="V4983" t="s">
        <v>262</v>
      </c>
      <c r="W4983" t="s">
        <v>261</v>
      </c>
      <c r="X4983" t="s">
        <v>262</v>
      </c>
      <c r="Y4983" t="s">
        <v>261</v>
      </c>
      <c r="AB4983" t="s">
        <v>409</v>
      </c>
      <c r="AC4983" t="s">
        <v>409</v>
      </c>
      <c r="AD4983" t="s">
        <v>261</v>
      </c>
      <c r="AH4983" t="s">
        <v>262</v>
      </c>
      <c r="AI4983" t="s">
        <v>262</v>
      </c>
      <c r="AJ4983" t="s">
        <v>261</v>
      </c>
      <c r="AK4983" t="s">
        <v>261</v>
      </c>
      <c r="AM4983" t="s">
        <v>262</v>
      </c>
      <c r="AN4983" t="s">
        <v>13232</v>
      </c>
    </row>
    <row r="4984" spans="1:40" x14ac:dyDescent="0.35">
      <c r="A4984">
        <v>7101236</v>
      </c>
      <c r="B4984" t="s">
        <v>13233</v>
      </c>
      <c r="C4984" t="str">
        <f>"9783428172986"</f>
        <v>9783428172986</v>
      </c>
      <c r="D4984" t="str">
        <f>"9783428572984"</f>
        <v>9783428572984</v>
      </c>
      <c r="E4984" t="s">
        <v>12661</v>
      </c>
      <c r="F4984" t="s">
        <v>12661</v>
      </c>
      <c r="G4984" s="1">
        <v>44681</v>
      </c>
      <c r="H4984" s="1">
        <v>44845</v>
      </c>
      <c r="I4984" t="s">
        <v>189</v>
      </c>
      <c r="J4984">
        <v>1</v>
      </c>
      <c r="K4984" t="s">
        <v>13127</v>
      </c>
      <c r="L4984" t="s">
        <v>13140</v>
      </c>
      <c r="M4984" t="s">
        <v>210</v>
      </c>
      <c r="Q4984" t="s">
        <v>408</v>
      </c>
      <c r="R4984" t="s">
        <v>261</v>
      </c>
      <c r="S4984" t="s">
        <v>261</v>
      </c>
      <c r="T4984" t="s">
        <v>261</v>
      </c>
      <c r="U4984" t="s">
        <v>262</v>
      </c>
      <c r="V4984" t="s">
        <v>262</v>
      </c>
      <c r="W4984" t="s">
        <v>261</v>
      </c>
      <c r="X4984" t="s">
        <v>262</v>
      </c>
      <c r="Y4984" t="s">
        <v>261</v>
      </c>
      <c r="AB4984" t="s">
        <v>409</v>
      </c>
      <c r="AC4984" t="s">
        <v>409</v>
      </c>
      <c r="AD4984" t="s">
        <v>261</v>
      </c>
      <c r="AH4984" t="s">
        <v>262</v>
      </c>
      <c r="AI4984" t="s">
        <v>262</v>
      </c>
      <c r="AJ4984" t="s">
        <v>261</v>
      </c>
      <c r="AK4984" t="s">
        <v>261</v>
      </c>
      <c r="AM4984" t="s">
        <v>262</v>
      </c>
      <c r="AN4984" t="s">
        <v>13234</v>
      </c>
    </row>
    <row r="4985" spans="1:40" x14ac:dyDescent="0.35">
      <c r="A4985">
        <v>7101237</v>
      </c>
      <c r="B4985" t="s">
        <v>13235</v>
      </c>
      <c r="C4985" t="str">
        <f>"9783428172993"</f>
        <v>9783428172993</v>
      </c>
      <c r="D4985" t="str">
        <f>"9783428572991"</f>
        <v>9783428572991</v>
      </c>
      <c r="E4985" t="s">
        <v>12661</v>
      </c>
      <c r="F4985" t="s">
        <v>12661</v>
      </c>
      <c r="G4985" s="1">
        <v>44681</v>
      </c>
      <c r="H4985" s="1">
        <v>44840</v>
      </c>
      <c r="I4985" t="s">
        <v>189</v>
      </c>
      <c r="J4985">
        <v>1</v>
      </c>
      <c r="K4985" t="s">
        <v>13127</v>
      </c>
      <c r="L4985" t="s">
        <v>13236</v>
      </c>
      <c r="M4985" t="s">
        <v>329</v>
      </c>
    </row>
    <row r="4986" spans="1:40" x14ac:dyDescent="0.35">
      <c r="A4986">
        <v>7101238</v>
      </c>
      <c r="B4986" t="s">
        <v>13237</v>
      </c>
      <c r="C4986" t="str">
        <f>"9783428173006"</f>
        <v>9783428173006</v>
      </c>
      <c r="D4986" t="str">
        <f>"9783428573004"</f>
        <v>9783428573004</v>
      </c>
      <c r="E4986" t="s">
        <v>12661</v>
      </c>
      <c r="F4986" t="s">
        <v>12661</v>
      </c>
      <c r="G4986" s="1">
        <v>44681</v>
      </c>
      <c r="H4986" s="1">
        <v>44845</v>
      </c>
      <c r="I4986" t="s">
        <v>189</v>
      </c>
      <c r="J4986">
        <v>1</v>
      </c>
      <c r="K4986" t="s">
        <v>13127</v>
      </c>
      <c r="L4986" t="s">
        <v>13140</v>
      </c>
      <c r="M4986" t="s">
        <v>329</v>
      </c>
    </row>
    <row r="4987" spans="1:40" x14ac:dyDescent="0.35">
      <c r="A4987">
        <v>7101239</v>
      </c>
      <c r="B4987" t="s">
        <v>13238</v>
      </c>
      <c r="C4987" t="str">
        <f>"9783428173013"</f>
        <v>9783428173013</v>
      </c>
      <c r="D4987" t="str">
        <f>"9783428573011"</f>
        <v>9783428573011</v>
      </c>
      <c r="E4987" t="s">
        <v>12661</v>
      </c>
      <c r="F4987" t="s">
        <v>12661</v>
      </c>
      <c r="G4987" s="1">
        <v>44681</v>
      </c>
      <c r="H4987" s="1">
        <v>44845</v>
      </c>
      <c r="I4987" t="s">
        <v>189</v>
      </c>
      <c r="J4987">
        <v>1</v>
      </c>
      <c r="K4987" t="s">
        <v>13127</v>
      </c>
      <c r="L4987" t="s">
        <v>13140</v>
      </c>
      <c r="M4987" t="s">
        <v>389</v>
      </c>
    </row>
    <row r="4988" spans="1:40" x14ac:dyDescent="0.35">
      <c r="A4988">
        <v>7101240</v>
      </c>
      <c r="B4988" t="s">
        <v>13239</v>
      </c>
      <c r="C4988" t="str">
        <f>"9783428173020"</f>
        <v>9783428173020</v>
      </c>
      <c r="D4988" t="str">
        <f>"9783428573028"</f>
        <v>9783428573028</v>
      </c>
      <c r="E4988" t="s">
        <v>12661</v>
      </c>
      <c r="F4988" t="s">
        <v>12661</v>
      </c>
      <c r="G4988" s="1">
        <v>44681</v>
      </c>
      <c r="H4988" s="1">
        <v>44840</v>
      </c>
      <c r="I4988" t="s">
        <v>189</v>
      </c>
      <c r="J4988">
        <v>1</v>
      </c>
      <c r="K4988" t="s">
        <v>13127</v>
      </c>
      <c r="L4988" t="s">
        <v>13240</v>
      </c>
      <c r="M4988" t="s">
        <v>389</v>
      </c>
    </row>
    <row r="4989" spans="1:40" x14ac:dyDescent="0.35">
      <c r="A4989">
        <v>7101241</v>
      </c>
      <c r="B4989" t="s">
        <v>13241</v>
      </c>
      <c r="C4989" t="str">
        <f>"9783428173037"</f>
        <v>9783428173037</v>
      </c>
      <c r="D4989" t="str">
        <f>"9783428573035"</f>
        <v>9783428573035</v>
      </c>
      <c r="E4989" t="s">
        <v>12661</v>
      </c>
      <c r="F4989" t="s">
        <v>12661</v>
      </c>
      <c r="G4989" s="1">
        <v>44681</v>
      </c>
      <c r="H4989" s="1">
        <v>44840</v>
      </c>
      <c r="I4989" t="s">
        <v>189</v>
      </c>
      <c r="J4989">
        <v>1</v>
      </c>
      <c r="K4989" t="s">
        <v>13127</v>
      </c>
      <c r="L4989" t="s">
        <v>137</v>
      </c>
      <c r="M4989" t="s">
        <v>239</v>
      </c>
    </row>
    <row r="4990" spans="1:40" x14ac:dyDescent="0.35">
      <c r="A4990">
        <v>7101242</v>
      </c>
      <c r="B4990" t="s">
        <v>13242</v>
      </c>
      <c r="C4990" t="str">
        <f>"9783428173044"</f>
        <v>9783428173044</v>
      </c>
      <c r="D4990" t="str">
        <f>"9783428573042"</f>
        <v>9783428573042</v>
      </c>
      <c r="E4990" t="s">
        <v>12661</v>
      </c>
      <c r="F4990" t="s">
        <v>12661</v>
      </c>
      <c r="G4990" s="1">
        <v>44681</v>
      </c>
      <c r="H4990" s="1">
        <v>44840</v>
      </c>
      <c r="I4990" t="s">
        <v>189</v>
      </c>
      <c r="J4990">
        <v>1</v>
      </c>
      <c r="K4990" t="s">
        <v>13127</v>
      </c>
      <c r="L4990" t="s">
        <v>139</v>
      </c>
      <c r="M4990" t="s">
        <v>210</v>
      </c>
      <c r="Q4990" t="s">
        <v>408</v>
      </c>
      <c r="R4990" t="s">
        <v>261</v>
      </c>
      <c r="S4990" t="s">
        <v>261</v>
      </c>
      <c r="T4990" t="s">
        <v>261</v>
      </c>
      <c r="U4990" t="s">
        <v>262</v>
      </c>
      <c r="V4990" t="s">
        <v>262</v>
      </c>
      <c r="W4990" t="s">
        <v>261</v>
      </c>
      <c r="X4990" t="s">
        <v>262</v>
      </c>
      <c r="Y4990" t="s">
        <v>261</v>
      </c>
      <c r="AB4990" t="s">
        <v>409</v>
      </c>
      <c r="AC4990" t="s">
        <v>409</v>
      </c>
      <c r="AD4990" t="s">
        <v>261</v>
      </c>
      <c r="AH4990" t="s">
        <v>262</v>
      </c>
      <c r="AI4990" t="s">
        <v>262</v>
      </c>
      <c r="AJ4990" t="s">
        <v>261</v>
      </c>
      <c r="AK4990" t="s">
        <v>261</v>
      </c>
      <c r="AM4990" t="s">
        <v>262</v>
      </c>
      <c r="AN4990" t="s">
        <v>13243</v>
      </c>
    </row>
    <row r="4991" spans="1:40" x14ac:dyDescent="0.35">
      <c r="A4991">
        <v>7101243</v>
      </c>
      <c r="B4991" t="s">
        <v>13244</v>
      </c>
      <c r="C4991" t="str">
        <f>"9783428173051"</f>
        <v>9783428173051</v>
      </c>
      <c r="D4991" t="str">
        <f>"9783428573059"</f>
        <v>9783428573059</v>
      </c>
      <c r="E4991" t="s">
        <v>12661</v>
      </c>
      <c r="F4991" t="s">
        <v>12661</v>
      </c>
      <c r="G4991" s="1">
        <v>44802</v>
      </c>
      <c r="H4991" s="1">
        <v>44845</v>
      </c>
      <c r="I4991" t="s">
        <v>189</v>
      </c>
      <c r="J4991">
        <v>1</v>
      </c>
      <c r="K4991" t="s">
        <v>13127</v>
      </c>
      <c r="L4991" t="s">
        <v>13140</v>
      </c>
      <c r="M4991" t="s">
        <v>389</v>
      </c>
    </row>
    <row r="4992" spans="1:40" x14ac:dyDescent="0.35">
      <c r="A4992">
        <v>7101244</v>
      </c>
      <c r="B4992" t="s">
        <v>13245</v>
      </c>
      <c r="C4992" t="str">
        <f>"9783428173068"</f>
        <v>9783428173068</v>
      </c>
      <c r="D4992" t="str">
        <f>"9783428573066"</f>
        <v>9783428573066</v>
      </c>
      <c r="E4992" t="s">
        <v>12661</v>
      </c>
      <c r="F4992" t="s">
        <v>12661</v>
      </c>
      <c r="G4992" s="1">
        <v>44681</v>
      </c>
      <c r="H4992" s="1">
        <v>44840</v>
      </c>
      <c r="I4992" t="s">
        <v>189</v>
      </c>
      <c r="J4992">
        <v>1</v>
      </c>
      <c r="K4992" t="s">
        <v>13127</v>
      </c>
      <c r="L4992" t="s">
        <v>13246</v>
      </c>
      <c r="M4992" t="s">
        <v>239</v>
      </c>
    </row>
    <row r="4993" spans="1:40" x14ac:dyDescent="0.35">
      <c r="A4993">
        <v>7101245</v>
      </c>
      <c r="B4993" t="s">
        <v>13247</v>
      </c>
      <c r="C4993" t="str">
        <f>"9783428173075"</f>
        <v>9783428173075</v>
      </c>
      <c r="D4993" t="str">
        <f>"9783428573073"</f>
        <v>9783428573073</v>
      </c>
      <c r="E4993" t="s">
        <v>12661</v>
      </c>
      <c r="F4993" t="s">
        <v>12661</v>
      </c>
      <c r="G4993" s="1">
        <v>44681</v>
      </c>
      <c r="H4993" s="1">
        <v>44845</v>
      </c>
      <c r="I4993" t="s">
        <v>189</v>
      </c>
      <c r="J4993">
        <v>1</v>
      </c>
      <c r="K4993" t="s">
        <v>13127</v>
      </c>
      <c r="L4993" t="s">
        <v>13140</v>
      </c>
      <c r="M4993" t="s">
        <v>282</v>
      </c>
      <c r="Q4993" t="s">
        <v>408</v>
      </c>
      <c r="R4993" t="s">
        <v>261</v>
      </c>
      <c r="S4993" t="s">
        <v>261</v>
      </c>
      <c r="T4993" t="s">
        <v>261</v>
      </c>
      <c r="U4993" t="s">
        <v>262</v>
      </c>
      <c r="V4993" t="s">
        <v>262</v>
      </c>
      <c r="W4993" t="s">
        <v>261</v>
      </c>
      <c r="X4993" t="s">
        <v>262</v>
      </c>
      <c r="Y4993" t="s">
        <v>261</v>
      </c>
      <c r="AB4993" t="s">
        <v>409</v>
      </c>
      <c r="AC4993" t="s">
        <v>409</v>
      </c>
      <c r="AD4993" t="s">
        <v>261</v>
      </c>
      <c r="AH4993" t="s">
        <v>262</v>
      </c>
      <c r="AI4993" t="s">
        <v>262</v>
      </c>
      <c r="AJ4993" t="s">
        <v>261</v>
      </c>
      <c r="AK4993" t="s">
        <v>261</v>
      </c>
      <c r="AM4993" t="s">
        <v>262</v>
      </c>
      <c r="AN4993" t="s">
        <v>13248</v>
      </c>
    </row>
    <row r="4994" spans="1:40" x14ac:dyDescent="0.35">
      <c r="A4994">
        <v>7101246</v>
      </c>
      <c r="B4994" t="s">
        <v>13249</v>
      </c>
      <c r="C4994" t="str">
        <f>"9783428173082"</f>
        <v>9783428173082</v>
      </c>
      <c r="D4994" t="str">
        <f>"9783428573080"</f>
        <v>9783428573080</v>
      </c>
      <c r="E4994" t="s">
        <v>12661</v>
      </c>
      <c r="F4994" t="s">
        <v>12661</v>
      </c>
      <c r="G4994" s="1">
        <v>44681</v>
      </c>
      <c r="H4994" s="1">
        <v>44845</v>
      </c>
      <c r="I4994" t="s">
        <v>189</v>
      </c>
      <c r="J4994">
        <v>1</v>
      </c>
      <c r="K4994" t="s">
        <v>13127</v>
      </c>
      <c r="L4994" t="s">
        <v>13140</v>
      </c>
      <c r="M4994" t="s">
        <v>282</v>
      </c>
    </row>
    <row r="4995" spans="1:40" x14ac:dyDescent="0.35">
      <c r="A4995">
        <v>7101247</v>
      </c>
      <c r="B4995" t="s">
        <v>13250</v>
      </c>
      <c r="C4995" t="str">
        <f>"9783428173099"</f>
        <v>9783428173099</v>
      </c>
      <c r="D4995" t="str">
        <f>"9783428573097"</f>
        <v>9783428573097</v>
      </c>
      <c r="E4995" t="s">
        <v>12661</v>
      </c>
      <c r="F4995" t="s">
        <v>12661</v>
      </c>
      <c r="G4995" s="1">
        <v>44681</v>
      </c>
      <c r="H4995" s="1">
        <v>44845</v>
      </c>
      <c r="I4995" t="s">
        <v>189</v>
      </c>
      <c r="J4995">
        <v>1</v>
      </c>
      <c r="K4995" t="s">
        <v>13127</v>
      </c>
      <c r="L4995" t="s">
        <v>13140</v>
      </c>
      <c r="M4995" t="s">
        <v>282</v>
      </c>
      <c r="Q4995" t="s">
        <v>408</v>
      </c>
      <c r="R4995" t="s">
        <v>261</v>
      </c>
      <c r="S4995" t="s">
        <v>261</v>
      </c>
      <c r="T4995" t="s">
        <v>261</v>
      </c>
      <c r="U4995" t="s">
        <v>262</v>
      </c>
      <c r="V4995" t="s">
        <v>262</v>
      </c>
      <c r="W4995" t="s">
        <v>261</v>
      </c>
      <c r="X4995" t="s">
        <v>262</v>
      </c>
      <c r="Y4995" t="s">
        <v>261</v>
      </c>
      <c r="AB4995" t="s">
        <v>409</v>
      </c>
      <c r="AC4995" t="s">
        <v>409</v>
      </c>
      <c r="AD4995" t="s">
        <v>261</v>
      </c>
      <c r="AH4995" t="s">
        <v>262</v>
      </c>
      <c r="AI4995" t="s">
        <v>262</v>
      </c>
      <c r="AJ4995" t="s">
        <v>261</v>
      </c>
      <c r="AK4995" t="s">
        <v>261</v>
      </c>
      <c r="AM4995" t="s">
        <v>262</v>
      </c>
      <c r="AN4995" t="s">
        <v>13251</v>
      </c>
    </row>
    <row r="4996" spans="1:40" x14ac:dyDescent="0.35">
      <c r="A4996">
        <v>7101248</v>
      </c>
      <c r="B4996" t="s">
        <v>13252</v>
      </c>
      <c r="C4996" t="str">
        <f>"9783428173105"</f>
        <v>9783428173105</v>
      </c>
      <c r="D4996" t="str">
        <f>"9783428573103"</f>
        <v>9783428573103</v>
      </c>
      <c r="E4996" t="s">
        <v>12661</v>
      </c>
      <c r="F4996" t="s">
        <v>12661</v>
      </c>
      <c r="G4996" s="1">
        <v>44681</v>
      </c>
      <c r="H4996" s="1">
        <v>44845</v>
      </c>
      <c r="I4996" t="s">
        <v>189</v>
      </c>
      <c r="J4996">
        <v>1</v>
      </c>
      <c r="K4996" t="s">
        <v>13127</v>
      </c>
      <c r="L4996" t="s">
        <v>13140</v>
      </c>
      <c r="M4996" t="s">
        <v>282</v>
      </c>
      <c r="Q4996" t="s">
        <v>408</v>
      </c>
      <c r="R4996" t="s">
        <v>261</v>
      </c>
      <c r="S4996" t="s">
        <v>261</v>
      </c>
      <c r="T4996" t="s">
        <v>261</v>
      </c>
      <c r="U4996" t="s">
        <v>262</v>
      </c>
      <c r="V4996" t="s">
        <v>262</v>
      </c>
      <c r="W4996" t="s">
        <v>261</v>
      </c>
      <c r="X4996" t="s">
        <v>262</v>
      </c>
      <c r="Y4996" t="s">
        <v>261</v>
      </c>
      <c r="AB4996" t="s">
        <v>409</v>
      </c>
      <c r="AC4996" t="s">
        <v>409</v>
      </c>
      <c r="AD4996" t="s">
        <v>261</v>
      </c>
      <c r="AH4996" t="s">
        <v>262</v>
      </c>
      <c r="AI4996" t="s">
        <v>262</v>
      </c>
      <c r="AJ4996" t="s">
        <v>261</v>
      </c>
      <c r="AK4996" t="s">
        <v>261</v>
      </c>
      <c r="AM4996" t="s">
        <v>262</v>
      </c>
      <c r="AN4996" t="s">
        <v>13253</v>
      </c>
    </row>
    <row r="4997" spans="1:40" x14ac:dyDescent="0.35">
      <c r="A4997">
        <v>7101249</v>
      </c>
      <c r="B4997" t="s">
        <v>13254</v>
      </c>
      <c r="C4997" t="str">
        <f>"9783428173112"</f>
        <v>9783428173112</v>
      </c>
      <c r="D4997" t="str">
        <f>"9783428573110"</f>
        <v>9783428573110</v>
      </c>
      <c r="E4997" t="s">
        <v>12661</v>
      </c>
      <c r="F4997" t="s">
        <v>12661</v>
      </c>
      <c r="G4997" s="1">
        <v>44681</v>
      </c>
      <c r="H4997" s="1">
        <v>44845</v>
      </c>
      <c r="I4997" t="s">
        <v>189</v>
      </c>
      <c r="J4997">
        <v>1</v>
      </c>
      <c r="K4997" t="s">
        <v>13127</v>
      </c>
      <c r="L4997" t="s">
        <v>13140</v>
      </c>
      <c r="M4997" t="s">
        <v>282</v>
      </c>
      <c r="Q4997" t="s">
        <v>408</v>
      </c>
      <c r="R4997" t="s">
        <v>261</v>
      </c>
      <c r="S4997" t="s">
        <v>261</v>
      </c>
      <c r="T4997" t="s">
        <v>261</v>
      </c>
      <c r="U4997" t="s">
        <v>262</v>
      </c>
      <c r="V4997" t="s">
        <v>262</v>
      </c>
      <c r="W4997" t="s">
        <v>261</v>
      </c>
      <c r="X4997" t="s">
        <v>262</v>
      </c>
      <c r="Y4997" t="s">
        <v>261</v>
      </c>
      <c r="AB4997" t="s">
        <v>409</v>
      </c>
      <c r="AC4997" t="s">
        <v>409</v>
      </c>
      <c r="AD4997" t="s">
        <v>261</v>
      </c>
      <c r="AH4997" t="s">
        <v>262</v>
      </c>
      <c r="AI4997" t="s">
        <v>262</v>
      </c>
      <c r="AJ4997" t="s">
        <v>261</v>
      </c>
      <c r="AK4997" t="s">
        <v>261</v>
      </c>
      <c r="AM4997" t="s">
        <v>262</v>
      </c>
      <c r="AN4997" t="s">
        <v>13255</v>
      </c>
    </row>
    <row r="4998" spans="1:40" x14ac:dyDescent="0.35">
      <c r="A4998">
        <v>7101250</v>
      </c>
      <c r="B4998" t="s">
        <v>13256</v>
      </c>
      <c r="C4998" t="str">
        <f>"9783428173129"</f>
        <v>9783428173129</v>
      </c>
      <c r="D4998" t="str">
        <f>"9783428573127"</f>
        <v>9783428573127</v>
      </c>
      <c r="E4998" t="s">
        <v>12661</v>
      </c>
      <c r="F4998" t="s">
        <v>12661</v>
      </c>
      <c r="G4998" s="1">
        <v>44681</v>
      </c>
      <c r="H4998" s="1">
        <v>44845</v>
      </c>
      <c r="I4998" t="s">
        <v>189</v>
      </c>
      <c r="J4998">
        <v>1</v>
      </c>
      <c r="K4998" t="s">
        <v>13127</v>
      </c>
      <c r="L4998" t="s">
        <v>13140</v>
      </c>
      <c r="M4998" t="s">
        <v>282</v>
      </c>
      <c r="Q4998" t="s">
        <v>408</v>
      </c>
      <c r="R4998" t="s">
        <v>261</v>
      </c>
      <c r="S4998" t="s">
        <v>261</v>
      </c>
      <c r="T4998" t="s">
        <v>261</v>
      </c>
      <c r="U4998" t="s">
        <v>262</v>
      </c>
      <c r="V4998" t="s">
        <v>262</v>
      </c>
      <c r="W4998" t="s">
        <v>261</v>
      </c>
      <c r="X4998" t="s">
        <v>262</v>
      </c>
      <c r="Y4998" t="s">
        <v>261</v>
      </c>
      <c r="AB4998" t="s">
        <v>409</v>
      </c>
      <c r="AC4998" t="s">
        <v>409</v>
      </c>
      <c r="AD4998" t="s">
        <v>261</v>
      </c>
      <c r="AH4998" t="s">
        <v>262</v>
      </c>
      <c r="AI4998" t="s">
        <v>262</v>
      </c>
      <c r="AJ4998" t="s">
        <v>261</v>
      </c>
      <c r="AK4998" t="s">
        <v>261</v>
      </c>
      <c r="AM4998" t="s">
        <v>262</v>
      </c>
      <c r="AN4998" t="s">
        <v>13257</v>
      </c>
    </row>
    <row r="4999" spans="1:40" x14ac:dyDescent="0.35">
      <c r="A4999">
        <v>7101251</v>
      </c>
      <c r="B4999" t="s">
        <v>13258</v>
      </c>
      <c r="C4999" t="str">
        <f>"9783428173136"</f>
        <v>9783428173136</v>
      </c>
      <c r="D4999" t="str">
        <f>"9783428573134"</f>
        <v>9783428573134</v>
      </c>
      <c r="E4999" t="s">
        <v>12661</v>
      </c>
      <c r="F4999" t="s">
        <v>12661</v>
      </c>
      <c r="G4999" s="1">
        <v>44681</v>
      </c>
      <c r="H4999" s="1">
        <v>44845</v>
      </c>
      <c r="I4999" t="s">
        <v>189</v>
      </c>
      <c r="J4999">
        <v>1</v>
      </c>
      <c r="K4999" t="s">
        <v>13127</v>
      </c>
      <c r="L4999" t="s">
        <v>13140</v>
      </c>
      <c r="M4999" t="s">
        <v>282</v>
      </c>
      <c r="Q4999" t="s">
        <v>408</v>
      </c>
      <c r="R4999" t="s">
        <v>261</v>
      </c>
      <c r="S4999" t="s">
        <v>261</v>
      </c>
      <c r="T4999" t="s">
        <v>261</v>
      </c>
      <c r="U4999" t="s">
        <v>262</v>
      </c>
      <c r="V4999" t="s">
        <v>262</v>
      </c>
      <c r="W4999" t="s">
        <v>261</v>
      </c>
      <c r="X4999" t="s">
        <v>262</v>
      </c>
      <c r="Y4999" t="s">
        <v>261</v>
      </c>
      <c r="AB4999" t="s">
        <v>409</v>
      </c>
      <c r="AC4999" t="s">
        <v>409</v>
      </c>
      <c r="AD4999" t="s">
        <v>261</v>
      </c>
      <c r="AH4999" t="s">
        <v>262</v>
      </c>
      <c r="AI4999" t="s">
        <v>262</v>
      </c>
      <c r="AJ4999" t="s">
        <v>261</v>
      </c>
      <c r="AK4999" t="s">
        <v>261</v>
      </c>
      <c r="AM4999" t="s">
        <v>262</v>
      </c>
      <c r="AN4999" t="s">
        <v>13259</v>
      </c>
    </row>
    <row r="5000" spans="1:40" x14ac:dyDescent="0.35">
      <c r="A5000">
        <v>7101252</v>
      </c>
      <c r="B5000" t="s">
        <v>13260</v>
      </c>
      <c r="C5000" t="str">
        <f>"9783428173143"</f>
        <v>9783428173143</v>
      </c>
      <c r="D5000" t="str">
        <f>"9783428573141"</f>
        <v>9783428573141</v>
      </c>
      <c r="E5000" t="s">
        <v>12661</v>
      </c>
      <c r="F5000" t="s">
        <v>12661</v>
      </c>
      <c r="G5000" s="1">
        <v>44681</v>
      </c>
      <c r="H5000" s="1">
        <v>44845</v>
      </c>
      <c r="I5000" t="s">
        <v>189</v>
      </c>
      <c r="J5000">
        <v>1</v>
      </c>
      <c r="K5000" t="s">
        <v>13127</v>
      </c>
      <c r="L5000" t="s">
        <v>13140</v>
      </c>
      <c r="M5000" t="s">
        <v>282</v>
      </c>
      <c r="Q5000" t="s">
        <v>408</v>
      </c>
      <c r="R5000" t="s">
        <v>261</v>
      </c>
      <c r="S5000" t="s">
        <v>261</v>
      </c>
      <c r="T5000" t="s">
        <v>261</v>
      </c>
      <c r="U5000" t="s">
        <v>262</v>
      </c>
      <c r="V5000" t="s">
        <v>262</v>
      </c>
      <c r="W5000" t="s">
        <v>261</v>
      </c>
      <c r="X5000" t="s">
        <v>262</v>
      </c>
      <c r="Y5000" t="s">
        <v>261</v>
      </c>
      <c r="AB5000" t="s">
        <v>409</v>
      </c>
      <c r="AC5000" t="s">
        <v>409</v>
      </c>
      <c r="AD5000" t="s">
        <v>261</v>
      </c>
      <c r="AH5000" t="s">
        <v>262</v>
      </c>
      <c r="AI5000" t="s">
        <v>262</v>
      </c>
      <c r="AJ5000" t="s">
        <v>261</v>
      </c>
      <c r="AK5000" t="s">
        <v>261</v>
      </c>
      <c r="AM5000" t="s">
        <v>262</v>
      </c>
      <c r="AN5000" t="s">
        <v>13261</v>
      </c>
    </row>
    <row r="5001" spans="1:40" x14ac:dyDescent="0.35">
      <c r="A5001">
        <v>7101253</v>
      </c>
      <c r="B5001" t="s">
        <v>13262</v>
      </c>
      <c r="C5001" t="str">
        <f>"9783428173150"</f>
        <v>9783428173150</v>
      </c>
      <c r="D5001" t="str">
        <f>"9783428573158"</f>
        <v>9783428573158</v>
      </c>
      <c r="E5001" t="s">
        <v>12661</v>
      </c>
      <c r="F5001" t="s">
        <v>12661</v>
      </c>
      <c r="G5001" s="1">
        <v>44681</v>
      </c>
      <c r="H5001" s="1">
        <v>44845</v>
      </c>
      <c r="I5001" t="s">
        <v>189</v>
      </c>
      <c r="J5001">
        <v>1</v>
      </c>
      <c r="K5001" t="s">
        <v>13127</v>
      </c>
      <c r="L5001" t="s">
        <v>13140</v>
      </c>
      <c r="M5001" t="s">
        <v>282</v>
      </c>
      <c r="Q5001" t="s">
        <v>408</v>
      </c>
      <c r="R5001" t="s">
        <v>261</v>
      </c>
      <c r="S5001" t="s">
        <v>261</v>
      </c>
      <c r="T5001" t="s">
        <v>261</v>
      </c>
      <c r="U5001" t="s">
        <v>262</v>
      </c>
      <c r="V5001" t="s">
        <v>262</v>
      </c>
      <c r="W5001" t="s">
        <v>261</v>
      </c>
      <c r="X5001" t="s">
        <v>262</v>
      </c>
      <c r="Y5001" t="s">
        <v>261</v>
      </c>
      <c r="AB5001" t="s">
        <v>409</v>
      </c>
      <c r="AC5001" t="s">
        <v>409</v>
      </c>
      <c r="AD5001" t="s">
        <v>261</v>
      </c>
      <c r="AH5001" t="s">
        <v>262</v>
      </c>
      <c r="AI5001" t="s">
        <v>262</v>
      </c>
      <c r="AJ5001" t="s">
        <v>261</v>
      </c>
      <c r="AK5001" t="s">
        <v>261</v>
      </c>
      <c r="AM5001" t="s">
        <v>262</v>
      </c>
      <c r="AN5001" t="s">
        <v>13263</v>
      </c>
    </row>
    <row r="5002" spans="1:40" x14ac:dyDescent="0.35">
      <c r="A5002">
        <v>7101254</v>
      </c>
      <c r="B5002" t="s">
        <v>13264</v>
      </c>
      <c r="C5002" t="str">
        <f>"9783428173167"</f>
        <v>9783428173167</v>
      </c>
      <c r="D5002" t="str">
        <f>"9783428573165"</f>
        <v>9783428573165</v>
      </c>
      <c r="E5002" t="s">
        <v>12661</v>
      </c>
      <c r="F5002" t="s">
        <v>12661</v>
      </c>
      <c r="G5002" s="1">
        <v>44681</v>
      </c>
      <c r="H5002" s="1">
        <v>44845</v>
      </c>
      <c r="I5002" t="s">
        <v>189</v>
      </c>
      <c r="J5002">
        <v>1</v>
      </c>
      <c r="K5002" t="s">
        <v>13127</v>
      </c>
      <c r="L5002" t="s">
        <v>13140</v>
      </c>
      <c r="M5002" t="s">
        <v>282</v>
      </c>
      <c r="Q5002" t="s">
        <v>408</v>
      </c>
      <c r="R5002" t="s">
        <v>261</v>
      </c>
      <c r="S5002" t="s">
        <v>261</v>
      </c>
      <c r="T5002" t="s">
        <v>261</v>
      </c>
      <c r="U5002" t="s">
        <v>262</v>
      </c>
      <c r="V5002" t="s">
        <v>262</v>
      </c>
      <c r="W5002" t="s">
        <v>261</v>
      </c>
      <c r="X5002" t="s">
        <v>262</v>
      </c>
      <c r="Y5002" t="s">
        <v>261</v>
      </c>
      <c r="AB5002" t="s">
        <v>409</v>
      </c>
      <c r="AC5002" t="s">
        <v>409</v>
      </c>
      <c r="AD5002" t="s">
        <v>261</v>
      </c>
      <c r="AH5002" t="s">
        <v>262</v>
      </c>
      <c r="AI5002" t="s">
        <v>262</v>
      </c>
      <c r="AJ5002" t="s">
        <v>261</v>
      </c>
      <c r="AK5002" t="s">
        <v>261</v>
      </c>
      <c r="AM5002" t="s">
        <v>262</v>
      </c>
      <c r="AN5002" t="s">
        <v>13265</v>
      </c>
    </row>
    <row r="5003" spans="1:40" x14ac:dyDescent="0.35">
      <c r="A5003">
        <v>7101255</v>
      </c>
      <c r="B5003" t="s">
        <v>13266</v>
      </c>
      <c r="C5003" t="str">
        <f>"9783428173174"</f>
        <v>9783428173174</v>
      </c>
      <c r="D5003" t="str">
        <f>"9783428573172"</f>
        <v>9783428573172</v>
      </c>
      <c r="E5003" t="s">
        <v>12661</v>
      </c>
      <c r="F5003" t="s">
        <v>12661</v>
      </c>
      <c r="G5003" s="1">
        <v>44681</v>
      </c>
      <c r="H5003" s="1">
        <v>44845</v>
      </c>
      <c r="I5003" t="s">
        <v>189</v>
      </c>
      <c r="J5003">
        <v>1</v>
      </c>
      <c r="K5003" t="s">
        <v>13127</v>
      </c>
      <c r="L5003" t="s">
        <v>13140</v>
      </c>
      <c r="M5003" t="s">
        <v>282</v>
      </c>
      <c r="Q5003" t="s">
        <v>408</v>
      </c>
      <c r="R5003" t="s">
        <v>261</v>
      </c>
      <c r="S5003" t="s">
        <v>261</v>
      </c>
      <c r="T5003" t="s">
        <v>261</v>
      </c>
      <c r="U5003" t="s">
        <v>262</v>
      </c>
      <c r="V5003" t="s">
        <v>262</v>
      </c>
      <c r="W5003" t="s">
        <v>261</v>
      </c>
      <c r="X5003" t="s">
        <v>262</v>
      </c>
      <c r="Y5003" t="s">
        <v>261</v>
      </c>
      <c r="AB5003" t="s">
        <v>409</v>
      </c>
      <c r="AC5003" t="s">
        <v>409</v>
      </c>
      <c r="AD5003" t="s">
        <v>261</v>
      </c>
      <c r="AH5003" t="s">
        <v>262</v>
      </c>
      <c r="AI5003" t="s">
        <v>262</v>
      </c>
      <c r="AJ5003" t="s">
        <v>261</v>
      </c>
      <c r="AK5003" t="s">
        <v>261</v>
      </c>
      <c r="AM5003" t="s">
        <v>262</v>
      </c>
      <c r="AN5003" t="s">
        <v>13267</v>
      </c>
    </row>
    <row r="5004" spans="1:40" x14ac:dyDescent="0.35">
      <c r="A5004">
        <v>7101256</v>
      </c>
      <c r="B5004" t="s">
        <v>13268</v>
      </c>
      <c r="C5004" t="str">
        <f>"9783428173181"</f>
        <v>9783428173181</v>
      </c>
      <c r="D5004" t="str">
        <f>"9783428573189"</f>
        <v>9783428573189</v>
      </c>
      <c r="E5004" t="s">
        <v>12661</v>
      </c>
      <c r="F5004" t="s">
        <v>12661</v>
      </c>
      <c r="G5004" s="1">
        <v>44681</v>
      </c>
      <c r="H5004" s="1">
        <v>44845</v>
      </c>
      <c r="I5004" t="s">
        <v>189</v>
      </c>
      <c r="J5004">
        <v>1</v>
      </c>
      <c r="K5004" t="s">
        <v>13127</v>
      </c>
      <c r="L5004" t="s">
        <v>13140</v>
      </c>
      <c r="M5004" t="s">
        <v>249</v>
      </c>
      <c r="Q5004" t="s">
        <v>408</v>
      </c>
      <c r="R5004" t="s">
        <v>261</v>
      </c>
      <c r="S5004" t="s">
        <v>261</v>
      </c>
      <c r="T5004" t="s">
        <v>261</v>
      </c>
      <c r="U5004" t="s">
        <v>262</v>
      </c>
      <c r="V5004" t="s">
        <v>262</v>
      </c>
      <c r="W5004" t="s">
        <v>261</v>
      </c>
      <c r="X5004" t="s">
        <v>262</v>
      </c>
      <c r="Y5004" t="s">
        <v>261</v>
      </c>
      <c r="AB5004" t="s">
        <v>409</v>
      </c>
      <c r="AC5004" t="s">
        <v>409</v>
      </c>
      <c r="AD5004" t="s">
        <v>261</v>
      </c>
      <c r="AH5004" t="s">
        <v>262</v>
      </c>
      <c r="AI5004" t="s">
        <v>262</v>
      </c>
      <c r="AJ5004" t="s">
        <v>261</v>
      </c>
      <c r="AK5004" t="s">
        <v>261</v>
      </c>
      <c r="AM5004" t="s">
        <v>262</v>
      </c>
      <c r="AN5004" t="s">
        <v>13269</v>
      </c>
    </row>
    <row r="5005" spans="1:40" x14ac:dyDescent="0.35">
      <c r="A5005">
        <v>7101257</v>
      </c>
      <c r="B5005" t="s">
        <v>13270</v>
      </c>
      <c r="C5005" t="str">
        <f>"9783428173198"</f>
        <v>9783428173198</v>
      </c>
      <c r="D5005" t="str">
        <f>"9783428573196"</f>
        <v>9783428573196</v>
      </c>
      <c r="E5005" t="s">
        <v>12661</v>
      </c>
      <c r="F5005" t="s">
        <v>12661</v>
      </c>
      <c r="G5005" s="1">
        <v>44681</v>
      </c>
      <c r="H5005" s="1">
        <v>44840</v>
      </c>
      <c r="I5005" t="s">
        <v>189</v>
      </c>
      <c r="J5005">
        <v>1</v>
      </c>
      <c r="K5005" t="s">
        <v>13127</v>
      </c>
      <c r="L5005" t="s">
        <v>13271</v>
      </c>
    </row>
    <row r="5006" spans="1:40" x14ac:dyDescent="0.35">
      <c r="A5006">
        <v>7101258</v>
      </c>
      <c r="B5006" t="s">
        <v>13272</v>
      </c>
      <c r="C5006" t="str">
        <f>"9783428173204"</f>
        <v>9783428173204</v>
      </c>
      <c r="D5006" t="str">
        <f>"9783428573202"</f>
        <v>9783428573202</v>
      </c>
      <c r="E5006" t="s">
        <v>12661</v>
      </c>
      <c r="F5006" t="s">
        <v>12661</v>
      </c>
      <c r="G5006" s="1">
        <v>44681</v>
      </c>
      <c r="H5006" s="1">
        <v>44845</v>
      </c>
      <c r="I5006" t="s">
        <v>189</v>
      </c>
      <c r="J5006">
        <v>1</v>
      </c>
      <c r="K5006" t="s">
        <v>13127</v>
      </c>
      <c r="L5006" t="s">
        <v>13140</v>
      </c>
      <c r="M5006" t="s">
        <v>210</v>
      </c>
    </row>
    <row r="5007" spans="1:40" x14ac:dyDescent="0.35">
      <c r="A5007">
        <v>7101259</v>
      </c>
      <c r="B5007" t="s">
        <v>13273</v>
      </c>
      <c r="C5007" t="str">
        <f>"9783428173211"</f>
        <v>9783428173211</v>
      </c>
      <c r="D5007" t="str">
        <f>"9783428573219"</f>
        <v>9783428573219</v>
      </c>
      <c r="E5007" t="s">
        <v>12661</v>
      </c>
      <c r="F5007" t="s">
        <v>12661</v>
      </c>
      <c r="G5007" s="1">
        <v>44681</v>
      </c>
      <c r="H5007" s="1">
        <v>44845</v>
      </c>
      <c r="I5007" t="s">
        <v>189</v>
      </c>
      <c r="J5007">
        <v>1</v>
      </c>
      <c r="K5007" t="s">
        <v>13127</v>
      </c>
      <c r="L5007" t="s">
        <v>13140</v>
      </c>
      <c r="M5007" t="s">
        <v>210</v>
      </c>
    </row>
    <row r="5008" spans="1:40" x14ac:dyDescent="0.35">
      <c r="A5008">
        <v>7101260</v>
      </c>
      <c r="B5008" t="s">
        <v>13274</v>
      </c>
      <c r="C5008" t="str">
        <f>"9783428173228"</f>
        <v>9783428173228</v>
      </c>
      <c r="D5008" t="str">
        <f>"9783428573226"</f>
        <v>9783428573226</v>
      </c>
      <c r="E5008" t="s">
        <v>12661</v>
      </c>
      <c r="F5008" t="s">
        <v>12661</v>
      </c>
      <c r="G5008" s="1">
        <v>44681</v>
      </c>
      <c r="H5008" s="1">
        <v>44845</v>
      </c>
      <c r="I5008" t="s">
        <v>189</v>
      </c>
      <c r="J5008">
        <v>1</v>
      </c>
      <c r="K5008" t="s">
        <v>13127</v>
      </c>
      <c r="L5008" t="s">
        <v>13140</v>
      </c>
      <c r="M5008" t="s">
        <v>249</v>
      </c>
    </row>
    <row r="5009" spans="1:40" x14ac:dyDescent="0.35">
      <c r="A5009">
        <v>7101261</v>
      </c>
      <c r="B5009" t="s">
        <v>13275</v>
      </c>
      <c r="C5009" t="str">
        <f>"9783428173235"</f>
        <v>9783428173235</v>
      </c>
      <c r="D5009" t="str">
        <f>"9783428573233"</f>
        <v>9783428573233</v>
      </c>
      <c r="E5009" t="s">
        <v>12661</v>
      </c>
      <c r="F5009" t="s">
        <v>12661</v>
      </c>
      <c r="G5009" s="1">
        <v>44681</v>
      </c>
      <c r="H5009" s="1">
        <v>44845</v>
      </c>
      <c r="I5009" t="s">
        <v>189</v>
      </c>
      <c r="J5009">
        <v>1</v>
      </c>
      <c r="K5009" t="s">
        <v>13127</v>
      </c>
      <c r="L5009" t="s">
        <v>13140</v>
      </c>
      <c r="M5009" t="s">
        <v>282</v>
      </c>
    </row>
    <row r="5010" spans="1:40" x14ac:dyDescent="0.35">
      <c r="A5010">
        <v>7101262</v>
      </c>
      <c r="B5010" t="s">
        <v>13276</v>
      </c>
      <c r="C5010" t="str">
        <f>"9783428173242"</f>
        <v>9783428173242</v>
      </c>
      <c r="D5010" t="str">
        <f>"9783428573240"</f>
        <v>9783428573240</v>
      </c>
      <c r="E5010" t="s">
        <v>12661</v>
      </c>
      <c r="F5010" t="s">
        <v>12661</v>
      </c>
      <c r="G5010" s="1">
        <v>44681</v>
      </c>
      <c r="H5010" s="1">
        <v>44845</v>
      </c>
      <c r="I5010" t="s">
        <v>189</v>
      </c>
      <c r="J5010">
        <v>1</v>
      </c>
      <c r="K5010" t="s">
        <v>13127</v>
      </c>
      <c r="L5010" t="s">
        <v>13140</v>
      </c>
      <c r="M5010" t="s">
        <v>210</v>
      </c>
    </row>
    <row r="5011" spans="1:40" x14ac:dyDescent="0.35">
      <c r="A5011">
        <v>7101263</v>
      </c>
      <c r="B5011" t="s">
        <v>13277</v>
      </c>
      <c r="C5011" t="str">
        <f>"9783428173259"</f>
        <v>9783428173259</v>
      </c>
      <c r="D5011" t="str">
        <f>"9783428573257"</f>
        <v>9783428573257</v>
      </c>
      <c r="E5011" t="s">
        <v>12661</v>
      </c>
      <c r="F5011" t="s">
        <v>12661</v>
      </c>
      <c r="G5011" s="1">
        <v>44681</v>
      </c>
      <c r="H5011" s="1">
        <v>44845</v>
      </c>
      <c r="I5011" t="s">
        <v>189</v>
      </c>
      <c r="J5011">
        <v>1</v>
      </c>
      <c r="K5011" t="s">
        <v>13127</v>
      </c>
      <c r="L5011" t="s">
        <v>13140</v>
      </c>
      <c r="M5011" t="s">
        <v>282</v>
      </c>
    </row>
    <row r="5012" spans="1:40" x14ac:dyDescent="0.35">
      <c r="A5012">
        <v>7101264</v>
      </c>
      <c r="B5012" t="s">
        <v>13278</v>
      </c>
      <c r="C5012" t="str">
        <f>"9783428173266"</f>
        <v>9783428173266</v>
      </c>
      <c r="D5012" t="str">
        <f>"9783428573264"</f>
        <v>9783428573264</v>
      </c>
      <c r="E5012" t="s">
        <v>12661</v>
      </c>
      <c r="F5012" t="s">
        <v>12661</v>
      </c>
      <c r="G5012" s="1">
        <v>44681</v>
      </c>
      <c r="H5012" s="1">
        <v>44845</v>
      </c>
      <c r="I5012" t="s">
        <v>189</v>
      </c>
      <c r="J5012">
        <v>1</v>
      </c>
      <c r="K5012" t="s">
        <v>13127</v>
      </c>
      <c r="L5012" t="s">
        <v>13140</v>
      </c>
      <c r="M5012" t="s">
        <v>210</v>
      </c>
    </row>
    <row r="5013" spans="1:40" x14ac:dyDescent="0.35">
      <c r="A5013">
        <v>7101265</v>
      </c>
      <c r="B5013" t="s">
        <v>13279</v>
      </c>
      <c r="C5013" t="str">
        <f>"9783428173273"</f>
        <v>9783428173273</v>
      </c>
      <c r="D5013" t="str">
        <f>"9783428573271"</f>
        <v>9783428573271</v>
      </c>
      <c r="E5013" t="s">
        <v>12661</v>
      </c>
      <c r="F5013" t="s">
        <v>12661</v>
      </c>
      <c r="G5013" s="1">
        <v>44687</v>
      </c>
      <c r="H5013" s="1">
        <v>44845</v>
      </c>
      <c r="I5013" t="s">
        <v>189</v>
      </c>
      <c r="J5013">
        <v>1</v>
      </c>
      <c r="K5013" t="s">
        <v>13127</v>
      </c>
      <c r="L5013" t="s">
        <v>13140</v>
      </c>
      <c r="M5013" t="s">
        <v>282</v>
      </c>
    </row>
    <row r="5014" spans="1:40" x14ac:dyDescent="0.35">
      <c r="A5014">
        <v>7101266</v>
      </c>
      <c r="B5014" t="s">
        <v>13280</v>
      </c>
      <c r="C5014" t="str">
        <f>"9783428173280"</f>
        <v>9783428173280</v>
      </c>
      <c r="D5014" t="str">
        <f>"9783428573288"</f>
        <v>9783428573288</v>
      </c>
      <c r="E5014" t="s">
        <v>12661</v>
      </c>
      <c r="F5014" t="s">
        <v>12661</v>
      </c>
      <c r="G5014" s="1">
        <v>44681</v>
      </c>
      <c r="H5014" s="1">
        <v>44845</v>
      </c>
      <c r="I5014" t="s">
        <v>189</v>
      </c>
      <c r="J5014">
        <v>1</v>
      </c>
      <c r="K5014" t="s">
        <v>13127</v>
      </c>
      <c r="L5014" t="s">
        <v>13140</v>
      </c>
      <c r="M5014" t="s">
        <v>210</v>
      </c>
    </row>
    <row r="5015" spans="1:40" x14ac:dyDescent="0.35">
      <c r="A5015">
        <v>7101267</v>
      </c>
      <c r="B5015" t="s">
        <v>13281</v>
      </c>
      <c r="C5015" t="str">
        <f>"9783428173297"</f>
        <v>9783428173297</v>
      </c>
      <c r="D5015" t="str">
        <f>"9783428573295"</f>
        <v>9783428573295</v>
      </c>
      <c r="E5015" t="s">
        <v>12661</v>
      </c>
      <c r="F5015" t="s">
        <v>12661</v>
      </c>
      <c r="G5015" s="1">
        <v>44681</v>
      </c>
      <c r="H5015" s="1">
        <v>44845</v>
      </c>
      <c r="I5015" t="s">
        <v>189</v>
      </c>
      <c r="J5015">
        <v>1</v>
      </c>
      <c r="K5015" t="s">
        <v>13127</v>
      </c>
      <c r="L5015" t="s">
        <v>13140</v>
      </c>
      <c r="M5015" t="s">
        <v>249</v>
      </c>
    </row>
    <row r="5016" spans="1:40" x14ac:dyDescent="0.35">
      <c r="A5016">
        <v>7101268</v>
      </c>
      <c r="B5016" t="s">
        <v>13282</v>
      </c>
      <c r="C5016" t="str">
        <f>"9783428173303"</f>
        <v>9783428173303</v>
      </c>
      <c r="D5016" t="str">
        <f>"9783428573301"</f>
        <v>9783428573301</v>
      </c>
      <c r="E5016" t="s">
        <v>12661</v>
      </c>
      <c r="F5016" t="s">
        <v>12661</v>
      </c>
      <c r="G5016" s="1">
        <v>44681</v>
      </c>
      <c r="H5016" s="1">
        <v>44845</v>
      </c>
      <c r="I5016" t="s">
        <v>189</v>
      </c>
      <c r="J5016">
        <v>1</v>
      </c>
      <c r="K5016" t="s">
        <v>13127</v>
      </c>
      <c r="L5016" t="s">
        <v>13140</v>
      </c>
      <c r="M5016" t="s">
        <v>249</v>
      </c>
    </row>
    <row r="5017" spans="1:40" x14ac:dyDescent="0.35">
      <c r="A5017">
        <v>7101269</v>
      </c>
      <c r="B5017" t="s">
        <v>13283</v>
      </c>
      <c r="C5017" t="str">
        <f>"9783428173310"</f>
        <v>9783428173310</v>
      </c>
      <c r="D5017" t="str">
        <f>"9783428573318"</f>
        <v>9783428573318</v>
      </c>
      <c r="E5017" t="s">
        <v>12661</v>
      </c>
      <c r="F5017" t="s">
        <v>12661</v>
      </c>
      <c r="G5017" s="1">
        <v>44681</v>
      </c>
      <c r="H5017" s="1">
        <v>44845</v>
      </c>
      <c r="I5017" t="s">
        <v>189</v>
      </c>
      <c r="J5017">
        <v>1</v>
      </c>
      <c r="K5017" t="s">
        <v>13127</v>
      </c>
      <c r="L5017" t="s">
        <v>13140</v>
      </c>
      <c r="M5017" t="s">
        <v>210</v>
      </c>
    </row>
    <row r="5018" spans="1:40" x14ac:dyDescent="0.35">
      <c r="A5018">
        <v>7101270</v>
      </c>
      <c r="B5018" t="s">
        <v>13284</v>
      </c>
      <c r="C5018" t="str">
        <f>"9783428173334"</f>
        <v>9783428173334</v>
      </c>
      <c r="D5018" t="str">
        <f>"9783428573332"</f>
        <v>9783428573332</v>
      </c>
      <c r="E5018" t="s">
        <v>12661</v>
      </c>
      <c r="F5018" t="s">
        <v>12661</v>
      </c>
      <c r="G5018" s="1">
        <v>44681</v>
      </c>
      <c r="H5018" s="1">
        <v>44845</v>
      </c>
      <c r="I5018" t="s">
        <v>189</v>
      </c>
      <c r="J5018">
        <v>1</v>
      </c>
      <c r="K5018" t="s">
        <v>13127</v>
      </c>
      <c r="L5018" t="s">
        <v>13140</v>
      </c>
      <c r="M5018" t="s">
        <v>282</v>
      </c>
    </row>
    <row r="5019" spans="1:40" x14ac:dyDescent="0.35">
      <c r="A5019">
        <v>7101271</v>
      </c>
      <c r="B5019" t="s">
        <v>13285</v>
      </c>
      <c r="C5019" t="str">
        <f>"9783428173327"</f>
        <v>9783428173327</v>
      </c>
      <c r="D5019" t="str">
        <f>"9783428573325"</f>
        <v>9783428573325</v>
      </c>
      <c r="E5019" t="s">
        <v>12661</v>
      </c>
      <c r="F5019" t="s">
        <v>12661</v>
      </c>
      <c r="G5019" s="1">
        <v>44681</v>
      </c>
      <c r="H5019" s="1">
        <v>44845</v>
      </c>
      <c r="I5019" t="s">
        <v>189</v>
      </c>
      <c r="J5019">
        <v>1</v>
      </c>
      <c r="K5019" t="s">
        <v>13127</v>
      </c>
      <c r="L5019" t="s">
        <v>13140</v>
      </c>
      <c r="M5019" t="s">
        <v>282</v>
      </c>
    </row>
    <row r="5020" spans="1:40" x14ac:dyDescent="0.35">
      <c r="A5020">
        <v>7101272</v>
      </c>
      <c r="B5020" t="s">
        <v>13286</v>
      </c>
      <c r="C5020" t="str">
        <f>"9783428173341"</f>
        <v>9783428173341</v>
      </c>
      <c r="D5020" t="str">
        <f>"9783428573349"</f>
        <v>9783428573349</v>
      </c>
      <c r="E5020" t="s">
        <v>12661</v>
      </c>
      <c r="F5020" t="s">
        <v>12661</v>
      </c>
      <c r="G5020" s="1">
        <v>44681</v>
      </c>
      <c r="H5020" s="1">
        <v>44845</v>
      </c>
      <c r="I5020" t="s">
        <v>189</v>
      </c>
      <c r="J5020">
        <v>1</v>
      </c>
      <c r="K5020" t="s">
        <v>13127</v>
      </c>
      <c r="L5020" t="s">
        <v>13140</v>
      </c>
      <c r="M5020" t="s">
        <v>282</v>
      </c>
    </row>
    <row r="5021" spans="1:40" x14ac:dyDescent="0.35">
      <c r="A5021">
        <v>7101273</v>
      </c>
      <c r="B5021" t="s">
        <v>13287</v>
      </c>
      <c r="C5021" t="str">
        <f>"9783428173358"</f>
        <v>9783428173358</v>
      </c>
      <c r="D5021" t="str">
        <f>"9783428573356"</f>
        <v>9783428573356</v>
      </c>
      <c r="E5021" t="s">
        <v>12661</v>
      </c>
      <c r="F5021" t="s">
        <v>12661</v>
      </c>
      <c r="G5021" s="1">
        <v>44681</v>
      </c>
      <c r="H5021" s="1">
        <v>44845</v>
      </c>
      <c r="I5021" t="s">
        <v>189</v>
      </c>
      <c r="J5021">
        <v>1</v>
      </c>
      <c r="K5021" t="s">
        <v>13127</v>
      </c>
      <c r="L5021" t="s">
        <v>13140</v>
      </c>
      <c r="M5021" t="s">
        <v>210</v>
      </c>
    </row>
    <row r="5022" spans="1:40" x14ac:dyDescent="0.35">
      <c r="A5022">
        <v>7101274</v>
      </c>
      <c r="B5022" t="s">
        <v>13288</v>
      </c>
      <c r="C5022" t="str">
        <f>"9783428173365"</f>
        <v>9783428173365</v>
      </c>
      <c r="D5022" t="str">
        <f>"9783428573363"</f>
        <v>9783428573363</v>
      </c>
      <c r="E5022" t="s">
        <v>12661</v>
      </c>
      <c r="F5022" t="s">
        <v>12661</v>
      </c>
      <c r="G5022" s="1">
        <v>44681</v>
      </c>
      <c r="H5022" s="1">
        <v>44840</v>
      </c>
      <c r="I5022" t="s">
        <v>189</v>
      </c>
      <c r="J5022">
        <v>1</v>
      </c>
      <c r="K5022" t="s">
        <v>13127</v>
      </c>
      <c r="L5022" t="s">
        <v>143</v>
      </c>
      <c r="M5022" t="s">
        <v>282</v>
      </c>
    </row>
    <row r="5023" spans="1:40" x14ac:dyDescent="0.35">
      <c r="A5023">
        <v>7101275</v>
      </c>
      <c r="B5023" t="s">
        <v>13289</v>
      </c>
      <c r="C5023" t="str">
        <f>"9783428173389"</f>
        <v>9783428173389</v>
      </c>
      <c r="D5023" t="str">
        <f>"9783428573387"</f>
        <v>9783428573387</v>
      </c>
      <c r="E5023" t="s">
        <v>12661</v>
      </c>
      <c r="F5023" t="s">
        <v>12661</v>
      </c>
      <c r="G5023" s="1">
        <v>44681</v>
      </c>
      <c r="H5023" s="1">
        <v>44845</v>
      </c>
      <c r="I5023" t="s">
        <v>189</v>
      </c>
      <c r="J5023">
        <v>1</v>
      </c>
      <c r="K5023" t="s">
        <v>13127</v>
      </c>
      <c r="L5023" t="s">
        <v>13140</v>
      </c>
      <c r="M5023" t="s">
        <v>210</v>
      </c>
      <c r="Q5023" t="s">
        <v>408</v>
      </c>
      <c r="R5023" t="s">
        <v>261</v>
      </c>
      <c r="S5023" t="s">
        <v>261</v>
      </c>
      <c r="T5023" t="s">
        <v>261</v>
      </c>
      <c r="U5023" t="s">
        <v>262</v>
      </c>
      <c r="V5023" t="s">
        <v>262</v>
      </c>
      <c r="W5023" t="s">
        <v>261</v>
      </c>
      <c r="X5023" t="s">
        <v>262</v>
      </c>
      <c r="Y5023" t="s">
        <v>261</v>
      </c>
      <c r="AB5023" t="s">
        <v>409</v>
      </c>
      <c r="AC5023" t="s">
        <v>409</v>
      </c>
      <c r="AD5023" t="s">
        <v>261</v>
      </c>
      <c r="AH5023" t="s">
        <v>262</v>
      </c>
      <c r="AI5023" t="s">
        <v>262</v>
      </c>
      <c r="AJ5023" t="s">
        <v>261</v>
      </c>
      <c r="AK5023" t="s">
        <v>261</v>
      </c>
      <c r="AM5023" t="s">
        <v>262</v>
      </c>
      <c r="AN5023" t="s">
        <v>13290</v>
      </c>
    </row>
    <row r="5024" spans="1:40" x14ac:dyDescent="0.35">
      <c r="A5024">
        <v>7101276</v>
      </c>
      <c r="B5024" t="s">
        <v>13291</v>
      </c>
      <c r="C5024" t="str">
        <f>"9783428173372"</f>
        <v>9783428173372</v>
      </c>
      <c r="D5024" t="str">
        <f>"9783428573370"</f>
        <v>9783428573370</v>
      </c>
      <c r="E5024" t="s">
        <v>12661</v>
      </c>
      <c r="F5024" t="s">
        <v>12661</v>
      </c>
      <c r="G5024" s="1">
        <v>44681</v>
      </c>
      <c r="H5024" s="1">
        <v>44845</v>
      </c>
      <c r="I5024" t="s">
        <v>189</v>
      </c>
      <c r="J5024">
        <v>1</v>
      </c>
      <c r="K5024" t="s">
        <v>13127</v>
      </c>
      <c r="L5024" t="s">
        <v>13140</v>
      </c>
      <c r="M5024" t="s">
        <v>210</v>
      </c>
      <c r="Q5024" t="s">
        <v>408</v>
      </c>
      <c r="R5024" t="s">
        <v>261</v>
      </c>
      <c r="S5024" t="s">
        <v>261</v>
      </c>
      <c r="T5024" t="s">
        <v>261</v>
      </c>
      <c r="U5024" t="s">
        <v>262</v>
      </c>
      <c r="V5024" t="s">
        <v>262</v>
      </c>
      <c r="W5024" t="s">
        <v>261</v>
      </c>
      <c r="X5024" t="s">
        <v>262</v>
      </c>
      <c r="Y5024" t="s">
        <v>261</v>
      </c>
      <c r="AB5024" t="s">
        <v>409</v>
      </c>
      <c r="AC5024" t="s">
        <v>409</v>
      </c>
      <c r="AD5024" t="s">
        <v>261</v>
      </c>
      <c r="AH5024" t="s">
        <v>262</v>
      </c>
      <c r="AI5024" t="s">
        <v>262</v>
      </c>
      <c r="AJ5024" t="s">
        <v>261</v>
      </c>
      <c r="AK5024" t="s">
        <v>261</v>
      </c>
      <c r="AM5024" t="s">
        <v>262</v>
      </c>
      <c r="AN5024" t="s">
        <v>13292</v>
      </c>
    </row>
    <row r="5025" spans="1:40" x14ac:dyDescent="0.35">
      <c r="A5025">
        <v>7101277</v>
      </c>
      <c r="B5025" t="s">
        <v>13293</v>
      </c>
      <c r="C5025" t="str">
        <f>"9783428173396"</f>
        <v>9783428173396</v>
      </c>
      <c r="D5025" t="str">
        <f>"9783428573394"</f>
        <v>9783428573394</v>
      </c>
      <c r="E5025" t="s">
        <v>12661</v>
      </c>
      <c r="F5025" t="s">
        <v>12661</v>
      </c>
      <c r="G5025" s="1">
        <v>44681</v>
      </c>
      <c r="H5025" s="1">
        <v>44845</v>
      </c>
      <c r="I5025" t="s">
        <v>189</v>
      </c>
      <c r="J5025">
        <v>1</v>
      </c>
      <c r="K5025" t="s">
        <v>13127</v>
      </c>
      <c r="L5025" t="s">
        <v>13140</v>
      </c>
      <c r="M5025" t="s">
        <v>210</v>
      </c>
      <c r="Q5025" t="s">
        <v>408</v>
      </c>
      <c r="R5025" t="s">
        <v>261</v>
      </c>
      <c r="S5025" t="s">
        <v>261</v>
      </c>
      <c r="T5025" t="s">
        <v>261</v>
      </c>
      <c r="U5025" t="s">
        <v>262</v>
      </c>
      <c r="V5025" t="s">
        <v>262</v>
      </c>
      <c r="W5025" t="s">
        <v>261</v>
      </c>
      <c r="X5025" t="s">
        <v>262</v>
      </c>
      <c r="Y5025" t="s">
        <v>261</v>
      </c>
      <c r="AB5025" t="s">
        <v>409</v>
      </c>
      <c r="AC5025" t="s">
        <v>409</v>
      </c>
      <c r="AD5025" t="s">
        <v>261</v>
      </c>
      <c r="AH5025" t="s">
        <v>262</v>
      </c>
      <c r="AI5025" t="s">
        <v>262</v>
      </c>
      <c r="AJ5025" t="s">
        <v>261</v>
      </c>
      <c r="AK5025" t="s">
        <v>261</v>
      </c>
      <c r="AM5025" t="s">
        <v>262</v>
      </c>
      <c r="AN5025" t="s">
        <v>13294</v>
      </c>
    </row>
    <row r="5026" spans="1:40" x14ac:dyDescent="0.35">
      <c r="A5026">
        <v>7101278</v>
      </c>
      <c r="B5026" t="s">
        <v>13295</v>
      </c>
      <c r="C5026" t="str">
        <f>"9783428173402"</f>
        <v>9783428173402</v>
      </c>
      <c r="D5026" t="str">
        <f>"9783428573400"</f>
        <v>9783428573400</v>
      </c>
      <c r="E5026" t="s">
        <v>12661</v>
      </c>
      <c r="F5026" t="s">
        <v>12661</v>
      </c>
      <c r="G5026" s="1">
        <v>44681</v>
      </c>
      <c r="H5026" s="1">
        <v>44845</v>
      </c>
      <c r="I5026" t="s">
        <v>189</v>
      </c>
      <c r="J5026">
        <v>1</v>
      </c>
      <c r="K5026" t="s">
        <v>13127</v>
      </c>
      <c r="L5026" t="s">
        <v>13140</v>
      </c>
      <c r="M5026" t="s">
        <v>249</v>
      </c>
      <c r="Q5026" t="s">
        <v>408</v>
      </c>
      <c r="R5026" t="s">
        <v>261</v>
      </c>
      <c r="S5026" t="s">
        <v>261</v>
      </c>
      <c r="T5026" t="s">
        <v>261</v>
      </c>
      <c r="U5026" t="s">
        <v>262</v>
      </c>
      <c r="V5026" t="s">
        <v>262</v>
      </c>
      <c r="W5026" t="s">
        <v>261</v>
      </c>
      <c r="X5026" t="s">
        <v>262</v>
      </c>
      <c r="Y5026" t="s">
        <v>261</v>
      </c>
      <c r="AB5026" t="s">
        <v>409</v>
      </c>
      <c r="AC5026" t="s">
        <v>409</v>
      </c>
      <c r="AD5026" t="s">
        <v>261</v>
      </c>
      <c r="AH5026" t="s">
        <v>262</v>
      </c>
      <c r="AI5026" t="s">
        <v>262</v>
      </c>
      <c r="AJ5026" t="s">
        <v>261</v>
      </c>
      <c r="AK5026" t="s">
        <v>261</v>
      </c>
      <c r="AM5026" t="s">
        <v>262</v>
      </c>
      <c r="AN5026" t="s">
        <v>13296</v>
      </c>
    </row>
    <row r="5027" spans="1:40" x14ac:dyDescent="0.35">
      <c r="A5027">
        <v>7101279</v>
      </c>
      <c r="B5027" t="s">
        <v>13297</v>
      </c>
      <c r="C5027" t="str">
        <f>"9783428173419"</f>
        <v>9783428173419</v>
      </c>
      <c r="D5027" t="str">
        <f>"9783428573417"</f>
        <v>9783428573417</v>
      </c>
      <c r="E5027" t="s">
        <v>12661</v>
      </c>
      <c r="F5027" t="s">
        <v>12661</v>
      </c>
      <c r="G5027" s="1">
        <v>44681</v>
      </c>
      <c r="H5027" s="1">
        <v>44845</v>
      </c>
      <c r="I5027" t="s">
        <v>189</v>
      </c>
      <c r="J5027">
        <v>1</v>
      </c>
      <c r="K5027" t="s">
        <v>13127</v>
      </c>
      <c r="L5027" t="s">
        <v>13140</v>
      </c>
      <c r="M5027" t="s">
        <v>282</v>
      </c>
      <c r="Q5027" t="s">
        <v>408</v>
      </c>
      <c r="R5027" t="s">
        <v>261</v>
      </c>
      <c r="S5027" t="s">
        <v>261</v>
      </c>
      <c r="T5027" t="s">
        <v>261</v>
      </c>
      <c r="U5027" t="s">
        <v>262</v>
      </c>
      <c r="V5027" t="s">
        <v>262</v>
      </c>
      <c r="W5027" t="s">
        <v>261</v>
      </c>
      <c r="X5027" t="s">
        <v>262</v>
      </c>
      <c r="Y5027" t="s">
        <v>261</v>
      </c>
      <c r="AB5027" t="s">
        <v>409</v>
      </c>
      <c r="AC5027" t="s">
        <v>409</v>
      </c>
      <c r="AD5027" t="s">
        <v>261</v>
      </c>
      <c r="AH5027" t="s">
        <v>262</v>
      </c>
      <c r="AI5027" t="s">
        <v>262</v>
      </c>
      <c r="AJ5027" t="s">
        <v>261</v>
      </c>
      <c r="AK5027" t="s">
        <v>261</v>
      </c>
      <c r="AM5027" t="s">
        <v>262</v>
      </c>
      <c r="AN5027" t="s">
        <v>13298</v>
      </c>
    </row>
    <row r="5028" spans="1:40" x14ac:dyDescent="0.35">
      <c r="A5028">
        <v>7101280</v>
      </c>
      <c r="B5028" t="s">
        <v>13299</v>
      </c>
      <c r="C5028" t="str">
        <f>"9783428173426"</f>
        <v>9783428173426</v>
      </c>
      <c r="D5028" t="str">
        <f>"9783428573424"</f>
        <v>9783428573424</v>
      </c>
      <c r="E5028" t="s">
        <v>12661</v>
      </c>
      <c r="F5028" t="s">
        <v>12661</v>
      </c>
      <c r="G5028" s="1">
        <v>44681</v>
      </c>
      <c r="H5028" s="1">
        <v>44845</v>
      </c>
      <c r="I5028" t="s">
        <v>189</v>
      </c>
      <c r="J5028">
        <v>1</v>
      </c>
      <c r="K5028" t="s">
        <v>13127</v>
      </c>
      <c r="L5028" t="s">
        <v>13140</v>
      </c>
      <c r="M5028" t="s">
        <v>282</v>
      </c>
      <c r="Q5028" t="s">
        <v>408</v>
      </c>
      <c r="R5028" t="s">
        <v>261</v>
      </c>
      <c r="S5028" t="s">
        <v>261</v>
      </c>
      <c r="T5028" t="s">
        <v>261</v>
      </c>
      <c r="U5028" t="s">
        <v>262</v>
      </c>
      <c r="V5028" t="s">
        <v>262</v>
      </c>
      <c r="W5028" t="s">
        <v>261</v>
      </c>
      <c r="X5028" t="s">
        <v>262</v>
      </c>
      <c r="Y5028" t="s">
        <v>261</v>
      </c>
      <c r="AB5028" t="s">
        <v>409</v>
      </c>
      <c r="AC5028" t="s">
        <v>409</v>
      </c>
      <c r="AD5028" t="s">
        <v>261</v>
      </c>
      <c r="AH5028" t="s">
        <v>262</v>
      </c>
      <c r="AI5028" t="s">
        <v>262</v>
      </c>
      <c r="AJ5028" t="s">
        <v>261</v>
      </c>
      <c r="AK5028" t="s">
        <v>261</v>
      </c>
      <c r="AM5028" t="s">
        <v>262</v>
      </c>
      <c r="AN5028" t="s">
        <v>13300</v>
      </c>
    </row>
    <row r="5029" spans="1:40" x14ac:dyDescent="0.35">
      <c r="A5029">
        <v>7101281</v>
      </c>
      <c r="B5029" t="s">
        <v>13301</v>
      </c>
      <c r="C5029" t="str">
        <f>"9783428173440"</f>
        <v>9783428173440</v>
      </c>
      <c r="D5029" t="str">
        <f>"9783428573448"</f>
        <v>9783428573448</v>
      </c>
      <c r="E5029" t="s">
        <v>12661</v>
      </c>
      <c r="F5029" t="s">
        <v>12661</v>
      </c>
      <c r="G5029" s="1">
        <v>44681</v>
      </c>
      <c r="H5029" s="1">
        <v>44845</v>
      </c>
      <c r="I5029" t="s">
        <v>189</v>
      </c>
      <c r="J5029">
        <v>1</v>
      </c>
      <c r="K5029" t="s">
        <v>13127</v>
      </c>
      <c r="L5029" t="s">
        <v>13140</v>
      </c>
      <c r="M5029" t="s">
        <v>389</v>
      </c>
    </row>
    <row r="5030" spans="1:40" x14ac:dyDescent="0.35">
      <c r="A5030">
        <v>7101282</v>
      </c>
      <c r="B5030" t="s">
        <v>13302</v>
      </c>
      <c r="C5030" t="str">
        <f>"9783428173433"</f>
        <v>9783428173433</v>
      </c>
      <c r="D5030" t="str">
        <f>"9783428573431"</f>
        <v>9783428573431</v>
      </c>
      <c r="E5030" t="s">
        <v>12661</v>
      </c>
      <c r="F5030" t="s">
        <v>12661</v>
      </c>
      <c r="G5030" s="1">
        <v>44681</v>
      </c>
      <c r="H5030" s="1">
        <v>44845</v>
      </c>
      <c r="I5030" t="s">
        <v>189</v>
      </c>
      <c r="J5030">
        <v>1</v>
      </c>
      <c r="K5030" t="s">
        <v>13127</v>
      </c>
      <c r="L5030" t="s">
        <v>13140</v>
      </c>
      <c r="M5030" t="s">
        <v>389</v>
      </c>
    </row>
    <row r="5031" spans="1:40" x14ac:dyDescent="0.35">
      <c r="A5031">
        <v>7101283</v>
      </c>
      <c r="B5031" t="s">
        <v>13303</v>
      </c>
      <c r="C5031" t="str">
        <f>"9783428173457"</f>
        <v>9783428173457</v>
      </c>
      <c r="D5031" t="str">
        <f>"9783428573455"</f>
        <v>9783428573455</v>
      </c>
      <c r="E5031" t="s">
        <v>12661</v>
      </c>
      <c r="F5031" t="s">
        <v>12661</v>
      </c>
      <c r="G5031" s="1">
        <v>44681</v>
      </c>
      <c r="H5031" s="1">
        <v>44845</v>
      </c>
      <c r="I5031" t="s">
        <v>189</v>
      </c>
      <c r="J5031">
        <v>1</v>
      </c>
      <c r="K5031" t="s">
        <v>13127</v>
      </c>
      <c r="L5031" t="s">
        <v>13140</v>
      </c>
      <c r="M5031" t="s">
        <v>282</v>
      </c>
    </row>
    <row r="5032" spans="1:40" x14ac:dyDescent="0.35">
      <c r="A5032">
        <v>7101284</v>
      </c>
      <c r="B5032" t="s">
        <v>13304</v>
      </c>
      <c r="C5032" t="str">
        <f>"9783428173471"</f>
        <v>9783428173471</v>
      </c>
      <c r="D5032" t="str">
        <f>"9783428573479"</f>
        <v>9783428573479</v>
      </c>
      <c r="E5032" t="s">
        <v>12661</v>
      </c>
      <c r="F5032" t="s">
        <v>12661</v>
      </c>
      <c r="G5032" s="1">
        <v>44681</v>
      </c>
      <c r="H5032" s="1">
        <v>44845</v>
      </c>
      <c r="I5032" t="s">
        <v>189</v>
      </c>
      <c r="J5032">
        <v>1</v>
      </c>
      <c r="K5032" t="s">
        <v>13127</v>
      </c>
      <c r="L5032" t="s">
        <v>13140</v>
      </c>
      <c r="M5032" t="s">
        <v>210</v>
      </c>
      <c r="Q5032" t="s">
        <v>408</v>
      </c>
      <c r="R5032" t="s">
        <v>261</v>
      </c>
      <c r="S5032" t="s">
        <v>261</v>
      </c>
      <c r="T5032" t="s">
        <v>261</v>
      </c>
      <c r="U5032" t="s">
        <v>262</v>
      </c>
      <c r="V5032" t="s">
        <v>262</v>
      </c>
      <c r="W5032" t="s">
        <v>261</v>
      </c>
      <c r="X5032" t="s">
        <v>262</v>
      </c>
      <c r="Y5032" t="s">
        <v>261</v>
      </c>
      <c r="AB5032" t="s">
        <v>409</v>
      </c>
      <c r="AC5032" t="s">
        <v>409</v>
      </c>
      <c r="AD5032" t="s">
        <v>261</v>
      </c>
      <c r="AH5032" t="s">
        <v>262</v>
      </c>
      <c r="AI5032" t="s">
        <v>262</v>
      </c>
      <c r="AJ5032" t="s">
        <v>261</v>
      </c>
      <c r="AK5032" t="s">
        <v>261</v>
      </c>
      <c r="AM5032" t="s">
        <v>262</v>
      </c>
      <c r="AN5032" t="s">
        <v>13305</v>
      </c>
    </row>
    <row r="5033" spans="1:40" x14ac:dyDescent="0.35">
      <c r="A5033">
        <v>7101285</v>
      </c>
      <c r="B5033" t="s">
        <v>13306</v>
      </c>
      <c r="C5033" t="str">
        <f>"9783428173464"</f>
        <v>9783428173464</v>
      </c>
      <c r="D5033" t="str">
        <f>"9783428573462"</f>
        <v>9783428573462</v>
      </c>
      <c r="E5033" t="s">
        <v>12661</v>
      </c>
      <c r="F5033" t="s">
        <v>12661</v>
      </c>
      <c r="G5033" s="1">
        <v>44681</v>
      </c>
      <c r="H5033" s="1">
        <v>44845</v>
      </c>
      <c r="I5033" t="s">
        <v>189</v>
      </c>
      <c r="J5033">
        <v>1</v>
      </c>
      <c r="K5033" t="s">
        <v>13127</v>
      </c>
      <c r="L5033" t="s">
        <v>13140</v>
      </c>
      <c r="M5033" t="s">
        <v>210</v>
      </c>
      <c r="Q5033" t="s">
        <v>408</v>
      </c>
      <c r="R5033" t="s">
        <v>261</v>
      </c>
      <c r="S5033" t="s">
        <v>261</v>
      </c>
      <c r="T5033" t="s">
        <v>261</v>
      </c>
      <c r="U5033" t="s">
        <v>262</v>
      </c>
      <c r="V5033" t="s">
        <v>262</v>
      </c>
      <c r="W5033" t="s">
        <v>261</v>
      </c>
      <c r="X5033" t="s">
        <v>262</v>
      </c>
      <c r="Y5033" t="s">
        <v>261</v>
      </c>
      <c r="AB5033" t="s">
        <v>409</v>
      </c>
      <c r="AC5033" t="s">
        <v>409</v>
      </c>
      <c r="AD5033" t="s">
        <v>261</v>
      </c>
      <c r="AH5033" t="s">
        <v>262</v>
      </c>
      <c r="AI5033" t="s">
        <v>262</v>
      </c>
      <c r="AJ5033" t="s">
        <v>261</v>
      </c>
      <c r="AK5033" t="s">
        <v>261</v>
      </c>
      <c r="AM5033" t="s">
        <v>262</v>
      </c>
      <c r="AN5033" t="s">
        <v>13307</v>
      </c>
    </row>
    <row r="5034" spans="1:40" x14ac:dyDescent="0.35">
      <c r="A5034">
        <v>7101286</v>
      </c>
      <c r="B5034" t="s">
        <v>13308</v>
      </c>
      <c r="C5034" t="str">
        <f>"9783428173488"</f>
        <v>9783428173488</v>
      </c>
      <c r="D5034" t="str">
        <f>"9783428573486"</f>
        <v>9783428573486</v>
      </c>
      <c r="E5034" t="s">
        <v>12661</v>
      </c>
      <c r="F5034" t="s">
        <v>12661</v>
      </c>
      <c r="G5034" s="1">
        <v>44681</v>
      </c>
      <c r="H5034" s="1">
        <v>44840</v>
      </c>
      <c r="I5034" t="s">
        <v>189</v>
      </c>
      <c r="J5034">
        <v>1</v>
      </c>
      <c r="K5034" t="s">
        <v>13127</v>
      </c>
      <c r="L5034" t="s">
        <v>13309</v>
      </c>
      <c r="M5034" t="s">
        <v>282</v>
      </c>
    </row>
    <row r="5035" spans="1:40" x14ac:dyDescent="0.35">
      <c r="A5035">
        <v>7101287</v>
      </c>
      <c r="B5035" t="s">
        <v>13310</v>
      </c>
      <c r="C5035" t="str">
        <f>"9783428173495"</f>
        <v>9783428173495</v>
      </c>
      <c r="D5035" t="str">
        <f>"9783428573493"</f>
        <v>9783428573493</v>
      </c>
      <c r="E5035" t="s">
        <v>12661</v>
      </c>
      <c r="F5035" t="s">
        <v>12661</v>
      </c>
      <c r="G5035" s="1">
        <v>44681</v>
      </c>
      <c r="H5035" s="1">
        <v>44845</v>
      </c>
      <c r="I5035" t="s">
        <v>189</v>
      </c>
      <c r="J5035">
        <v>1</v>
      </c>
      <c r="K5035" t="s">
        <v>13127</v>
      </c>
      <c r="L5035" t="s">
        <v>13140</v>
      </c>
      <c r="M5035" t="s">
        <v>210</v>
      </c>
      <c r="Q5035" t="s">
        <v>408</v>
      </c>
      <c r="R5035" t="s">
        <v>261</v>
      </c>
      <c r="S5035" t="s">
        <v>261</v>
      </c>
      <c r="T5035" t="s">
        <v>261</v>
      </c>
      <c r="U5035" t="s">
        <v>262</v>
      </c>
      <c r="V5035" t="s">
        <v>262</v>
      </c>
      <c r="W5035" t="s">
        <v>261</v>
      </c>
      <c r="X5035" t="s">
        <v>262</v>
      </c>
      <c r="Y5035" t="s">
        <v>261</v>
      </c>
      <c r="AB5035" t="s">
        <v>409</v>
      </c>
      <c r="AC5035" t="s">
        <v>409</v>
      </c>
      <c r="AD5035" t="s">
        <v>261</v>
      </c>
      <c r="AH5035" t="s">
        <v>262</v>
      </c>
      <c r="AI5035" t="s">
        <v>262</v>
      </c>
      <c r="AJ5035" t="s">
        <v>261</v>
      </c>
      <c r="AK5035" t="s">
        <v>261</v>
      </c>
      <c r="AM5035" t="s">
        <v>262</v>
      </c>
      <c r="AN5035" t="s">
        <v>13311</v>
      </c>
    </row>
    <row r="5036" spans="1:40" x14ac:dyDescent="0.35">
      <c r="A5036">
        <v>7101288</v>
      </c>
      <c r="B5036" t="s">
        <v>13312</v>
      </c>
      <c r="C5036" t="str">
        <f>"9783428173501"</f>
        <v>9783428173501</v>
      </c>
      <c r="D5036" t="str">
        <f>"9783428573509"</f>
        <v>9783428573509</v>
      </c>
      <c r="E5036" t="s">
        <v>12661</v>
      </c>
      <c r="F5036" t="s">
        <v>12661</v>
      </c>
      <c r="G5036" s="1">
        <v>44681</v>
      </c>
      <c r="H5036" s="1">
        <v>44840</v>
      </c>
      <c r="I5036" t="s">
        <v>189</v>
      </c>
      <c r="J5036">
        <v>1</v>
      </c>
      <c r="K5036" t="s">
        <v>13127</v>
      </c>
      <c r="L5036" t="s">
        <v>13313</v>
      </c>
    </row>
    <row r="5037" spans="1:40" x14ac:dyDescent="0.35">
      <c r="A5037">
        <v>7101289</v>
      </c>
      <c r="B5037" t="s">
        <v>13314</v>
      </c>
      <c r="C5037" t="str">
        <f>"9783428173518"</f>
        <v>9783428173518</v>
      </c>
      <c r="D5037" t="str">
        <f>"9783428573516"</f>
        <v>9783428573516</v>
      </c>
      <c r="E5037" t="s">
        <v>12661</v>
      </c>
      <c r="F5037" t="s">
        <v>12661</v>
      </c>
      <c r="G5037" s="1">
        <v>44681</v>
      </c>
      <c r="H5037" s="1">
        <v>44845</v>
      </c>
      <c r="I5037" t="s">
        <v>189</v>
      </c>
      <c r="J5037">
        <v>1</v>
      </c>
      <c r="K5037" t="s">
        <v>13127</v>
      </c>
      <c r="L5037" t="s">
        <v>13140</v>
      </c>
      <c r="M5037" t="s">
        <v>210</v>
      </c>
      <c r="Q5037" t="s">
        <v>408</v>
      </c>
      <c r="R5037" t="s">
        <v>261</v>
      </c>
      <c r="S5037" t="s">
        <v>261</v>
      </c>
      <c r="T5037" t="s">
        <v>261</v>
      </c>
      <c r="U5037" t="s">
        <v>262</v>
      </c>
      <c r="V5037" t="s">
        <v>262</v>
      </c>
      <c r="W5037" t="s">
        <v>261</v>
      </c>
      <c r="X5037" t="s">
        <v>262</v>
      </c>
      <c r="Y5037" t="s">
        <v>261</v>
      </c>
      <c r="AB5037" t="s">
        <v>409</v>
      </c>
      <c r="AC5037" t="s">
        <v>409</v>
      </c>
      <c r="AD5037" t="s">
        <v>261</v>
      </c>
      <c r="AH5037" t="s">
        <v>262</v>
      </c>
      <c r="AI5037" t="s">
        <v>262</v>
      </c>
      <c r="AJ5037" t="s">
        <v>261</v>
      </c>
      <c r="AK5037" t="s">
        <v>261</v>
      </c>
      <c r="AM5037" t="s">
        <v>262</v>
      </c>
      <c r="AN5037" t="s">
        <v>13315</v>
      </c>
    </row>
    <row r="5038" spans="1:40" x14ac:dyDescent="0.35">
      <c r="A5038">
        <v>7101290</v>
      </c>
      <c r="B5038" t="s">
        <v>13316</v>
      </c>
      <c r="C5038" t="str">
        <f>"9783428173525"</f>
        <v>9783428173525</v>
      </c>
      <c r="D5038" t="str">
        <f>"9783428573523"</f>
        <v>9783428573523</v>
      </c>
      <c r="E5038" t="s">
        <v>12661</v>
      </c>
      <c r="F5038" t="s">
        <v>12661</v>
      </c>
      <c r="G5038" s="1">
        <v>44681</v>
      </c>
      <c r="H5038" s="1">
        <v>44845</v>
      </c>
      <c r="I5038" t="s">
        <v>189</v>
      </c>
      <c r="J5038">
        <v>1</v>
      </c>
      <c r="K5038" t="s">
        <v>13127</v>
      </c>
      <c r="L5038" t="s">
        <v>13140</v>
      </c>
      <c r="M5038" t="s">
        <v>210</v>
      </c>
      <c r="Q5038" t="s">
        <v>408</v>
      </c>
      <c r="R5038" t="s">
        <v>261</v>
      </c>
      <c r="S5038" t="s">
        <v>261</v>
      </c>
      <c r="T5038" t="s">
        <v>261</v>
      </c>
      <c r="U5038" t="s">
        <v>262</v>
      </c>
      <c r="V5038" t="s">
        <v>262</v>
      </c>
      <c r="W5038" t="s">
        <v>261</v>
      </c>
      <c r="X5038" t="s">
        <v>262</v>
      </c>
      <c r="Y5038" t="s">
        <v>261</v>
      </c>
      <c r="AB5038" t="s">
        <v>409</v>
      </c>
      <c r="AC5038" t="s">
        <v>409</v>
      </c>
      <c r="AD5038" t="s">
        <v>261</v>
      </c>
      <c r="AH5038" t="s">
        <v>262</v>
      </c>
      <c r="AI5038" t="s">
        <v>262</v>
      </c>
      <c r="AJ5038" t="s">
        <v>261</v>
      </c>
      <c r="AK5038" t="s">
        <v>261</v>
      </c>
      <c r="AM5038" t="s">
        <v>262</v>
      </c>
      <c r="AN5038" t="s">
        <v>13317</v>
      </c>
    </row>
    <row r="5039" spans="1:40" x14ac:dyDescent="0.35">
      <c r="A5039">
        <v>7101291</v>
      </c>
      <c r="B5039" t="s">
        <v>13318</v>
      </c>
      <c r="C5039" t="str">
        <f>"9783428173549"</f>
        <v>9783428173549</v>
      </c>
      <c r="D5039" t="str">
        <f>"9783428573547"</f>
        <v>9783428573547</v>
      </c>
      <c r="E5039" t="s">
        <v>12661</v>
      </c>
      <c r="F5039" t="s">
        <v>12661</v>
      </c>
      <c r="G5039" s="1">
        <v>44681</v>
      </c>
      <c r="H5039" s="1">
        <v>44845</v>
      </c>
      <c r="I5039" t="s">
        <v>189</v>
      </c>
      <c r="J5039">
        <v>1</v>
      </c>
      <c r="K5039" t="s">
        <v>13127</v>
      </c>
      <c r="L5039" t="s">
        <v>13140</v>
      </c>
      <c r="M5039" t="s">
        <v>282</v>
      </c>
      <c r="Q5039" t="s">
        <v>408</v>
      </c>
      <c r="R5039" t="s">
        <v>261</v>
      </c>
      <c r="S5039" t="s">
        <v>261</v>
      </c>
      <c r="T5039" t="s">
        <v>261</v>
      </c>
      <c r="U5039" t="s">
        <v>262</v>
      </c>
      <c r="V5039" t="s">
        <v>262</v>
      </c>
      <c r="W5039" t="s">
        <v>261</v>
      </c>
      <c r="X5039" t="s">
        <v>262</v>
      </c>
      <c r="Y5039" t="s">
        <v>261</v>
      </c>
      <c r="AB5039" t="s">
        <v>409</v>
      </c>
      <c r="AC5039" t="s">
        <v>409</v>
      </c>
      <c r="AD5039" t="s">
        <v>261</v>
      </c>
      <c r="AH5039" t="s">
        <v>262</v>
      </c>
      <c r="AI5039" t="s">
        <v>262</v>
      </c>
      <c r="AJ5039" t="s">
        <v>261</v>
      </c>
      <c r="AK5039" t="s">
        <v>261</v>
      </c>
      <c r="AM5039" t="s">
        <v>262</v>
      </c>
      <c r="AN5039" t="s">
        <v>13319</v>
      </c>
    </row>
    <row r="5040" spans="1:40" x14ac:dyDescent="0.35">
      <c r="A5040">
        <v>7101292</v>
      </c>
      <c r="B5040" t="s">
        <v>13320</v>
      </c>
      <c r="C5040" t="str">
        <f>"9783428173532"</f>
        <v>9783428173532</v>
      </c>
      <c r="D5040" t="str">
        <f>"9783428573530"</f>
        <v>9783428573530</v>
      </c>
      <c r="E5040" t="s">
        <v>12661</v>
      </c>
      <c r="F5040" t="s">
        <v>12661</v>
      </c>
      <c r="G5040" s="1">
        <v>44681</v>
      </c>
      <c r="H5040" s="1">
        <v>44845</v>
      </c>
      <c r="I5040" t="s">
        <v>189</v>
      </c>
      <c r="J5040">
        <v>1</v>
      </c>
      <c r="K5040" t="s">
        <v>13127</v>
      </c>
      <c r="L5040" t="s">
        <v>13140</v>
      </c>
      <c r="M5040" t="s">
        <v>282</v>
      </c>
      <c r="Q5040" t="s">
        <v>408</v>
      </c>
      <c r="R5040" t="s">
        <v>261</v>
      </c>
      <c r="S5040" t="s">
        <v>261</v>
      </c>
      <c r="T5040" t="s">
        <v>261</v>
      </c>
      <c r="U5040" t="s">
        <v>262</v>
      </c>
      <c r="V5040" t="s">
        <v>262</v>
      </c>
      <c r="W5040" t="s">
        <v>261</v>
      </c>
      <c r="X5040" t="s">
        <v>262</v>
      </c>
      <c r="Y5040" t="s">
        <v>261</v>
      </c>
      <c r="AB5040" t="s">
        <v>409</v>
      </c>
      <c r="AC5040" t="s">
        <v>409</v>
      </c>
      <c r="AD5040" t="s">
        <v>261</v>
      </c>
      <c r="AH5040" t="s">
        <v>262</v>
      </c>
      <c r="AI5040" t="s">
        <v>262</v>
      </c>
      <c r="AJ5040" t="s">
        <v>261</v>
      </c>
      <c r="AK5040" t="s">
        <v>261</v>
      </c>
      <c r="AM5040" t="s">
        <v>262</v>
      </c>
      <c r="AN5040" t="s">
        <v>13321</v>
      </c>
    </row>
    <row r="5041" spans="1:40" x14ac:dyDescent="0.35">
      <c r="A5041">
        <v>7101293</v>
      </c>
      <c r="B5041" t="s">
        <v>13322</v>
      </c>
      <c r="C5041" t="str">
        <f>"9783428173556"</f>
        <v>9783428173556</v>
      </c>
      <c r="D5041" t="str">
        <f>"9783428573554"</f>
        <v>9783428573554</v>
      </c>
      <c r="E5041" t="s">
        <v>12661</v>
      </c>
      <c r="F5041" t="s">
        <v>12661</v>
      </c>
      <c r="G5041" s="1">
        <v>44681</v>
      </c>
      <c r="H5041" s="1">
        <v>44845</v>
      </c>
      <c r="I5041" t="s">
        <v>189</v>
      </c>
      <c r="J5041">
        <v>1</v>
      </c>
      <c r="K5041" t="s">
        <v>13127</v>
      </c>
      <c r="L5041" t="s">
        <v>13140</v>
      </c>
      <c r="M5041" t="s">
        <v>282</v>
      </c>
      <c r="Q5041" t="s">
        <v>408</v>
      </c>
      <c r="R5041" t="s">
        <v>261</v>
      </c>
      <c r="S5041" t="s">
        <v>261</v>
      </c>
      <c r="T5041" t="s">
        <v>261</v>
      </c>
      <c r="U5041" t="s">
        <v>262</v>
      </c>
      <c r="V5041" t="s">
        <v>262</v>
      </c>
      <c r="W5041" t="s">
        <v>261</v>
      </c>
      <c r="X5041" t="s">
        <v>262</v>
      </c>
      <c r="Y5041" t="s">
        <v>261</v>
      </c>
      <c r="AB5041" t="s">
        <v>409</v>
      </c>
      <c r="AC5041" t="s">
        <v>409</v>
      </c>
      <c r="AD5041" t="s">
        <v>261</v>
      </c>
      <c r="AH5041" t="s">
        <v>262</v>
      </c>
      <c r="AI5041" t="s">
        <v>262</v>
      </c>
      <c r="AJ5041" t="s">
        <v>261</v>
      </c>
      <c r="AK5041" t="s">
        <v>261</v>
      </c>
      <c r="AM5041" t="s">
        <v>262</v>
      </c>
      <c r="AN5041" t="s">
        <v>13323</v>
      </c>
    </row>
    <row r="5042" spans="1:40" x14ac:dyDescent="0.35">
      <c r="A5042">
        <v>7101294</v>
      </c>
      <c r="B5042" t="s">
        <v>13324</v>
      </c>
      <c r="C5042" t="str">
        <f>"9783428173563"</f>
        <v>9783428173563</v>
      </c>
      <c r="D5042" t="str">
        <f>"9783428573561"</f>
        <v>9783428573561</v>
      </c>
      <c r="E5042" t="s">
        <v>12661</v>
      </c>
      <c r="F5042" t="s">
        <v>12661</v>
      </c>
      <c r="G5042" s="1">
        <v>44705</v>
      </c>
      <c r="H5042" s="1">
        <v>44845</v>
      </c>
      <c r="I5042" t="s">
        <v>189</v>
      </c>
      <c r="J5042">
        <v>1</v>
      </c>
      <c r="K5042" t="s">
        <v>13127</v>
      </c>
      <c r="L5042" t="s">
        <v>13140</v>
      </c>
      <c r="M5042" t="s">
        <v>282</v>
      </c>
      <c r="Q5042" t="s">
        <v>408</v>
      </c>
      <c r="R5042" t="s">
        <v>261</v>
      </c>
      <c r="S5042" t="s">
        <v>261</v>
      </c>
      <c r="T5042" t="s">
        <v>261</v>
      </c>
      <c r="U5042" t="s">
        <v>262</v>
      </c>
      <c r="V5042" t="s">
        <v>262</v>
      </c>
      <c r="W5042" t="s">
        <v>261</v>
      </c>
      <c r="X5042" t="s">
        <v>262</v>
      </c>
      <c r="Y5042" t="s">
        <v>261</v>
      </c>
      <c r="AB5042" t="s">
        <v>409</v>
      </c>
      <c r="AC5042" t="s">
        <v>409</v>
      </c>
      <c r="AD5042" t="s">
        <v>261</v>
      </c>
      <c r="AH5042" t="s">
        <v>262</v>
      </c>
      <c r="AI5042" t="s">
        <v>262</v>
      </c>
      <c r="AJ5042" t="s">
        <v>261</v>
      </c>
      <c r="AK5042" t="s">
        <v>261</v>
      </c>
      <c r="AM5042" t="s">
        <v>262</v>
      </c>
      <c r="AN5042" t="s">
        <v>13325</v>
      </c>
    </row>
    <row r="5043" spans="1:40" x14ac:dyDescent="0.35">
      <c r="A5043">
        <v>7101295</v>
      </c>
      <c r="B5043" t="s">
        <v>13326</v>
      </c>
      <c r="C5043" t="str">
        <f>"9783428173570"</f>
        <v>9783428173570</v>
      </c>
      <c r="D5043" t="str">
        <f>"9783428573578"</f>
        <v>9783428573578</v>
      </c>
      <c r="E5043" t="s">
        <v>12661</v>
      </c>
      <c r="F5043" t="s">
        <v>12661</v>
      </c>
      <c r="G5043" s="1">
        <v>44692</v>
      </c>
      <c r="H5043" s="1">
        <v>44845</v>
      </c>
      <c r="I5043" t="s">
        <v>189</v>
      </c>
      <c r="J5043">
        <v>1</v>
      </c>
      <c r="K5043" t="s">
        <v>13127</v>
      </c>
      <c r="L5043" t="s">
        <v>13140</v>
      </c>
      <c r="M5043" t="s">
        <v>282</v>
      </c>
      <c r="Q5043" t="s">
        <v>408</v>
      </c>
      <c r="R5043" t="s">
        <v>261</v>
      </c>
      <c r="S5043" t="s">
        <v>261</v>
      </c>
      <c r="T5043" t="s">
        <v>261</v>
      </c>
      <c r="U5043" t="s">
        <v>262</v>
      </c>
      <c r="V5043" t="s">
        <v>262</v>
      </c>
      <c r="W5043" t="s">
        <v>261</v>
      </c>
      <c r="X5043" t="s">
        <v>262</v>
      </c>
      <c r="Y5043" t="s">
        <v>261</v>
      </c>
      <c r="AB5043" t="s">
        <v>409</v>
      </c>
      <c r="AC5043" t="s">
        <v>409</v>
      </c>
      <c r="AD5043" t="s">
        <v>261</v>
      </c>
      <c r="AH5043" t="s">
        <v>262</v>
      </c>
      <c r="AI5043" t="s">
        <v>262</v>
      </c>
      <c r="AJ5043" t="s">
        <v>261</v>
      </c>
      <c r="AK5043" t="s">
        <v>261</v>
      </c>
      <c r="AM5043" t="s">
        <v>262</v>
      </c>
      <c r="AN5043" t="s">
        <v>13327</v>
      </c>
    </row>
    <row r="5044" spans="1:40" x14ac:dyDescent="0.35">
      <c r="A5044">
        <v>7101296</v>
      </c>
      <c r="B5044" t="s">
        <v>13328</v>
      </c>
      <c r="C5044" t="str">
        <f>"9783428173594"</f>
        <v>9783428173594</v>
      </c>
      <c r="D5044" t="str">
        <f>"9783428573592"</f>
        <v>9783428573592</v>
      </c>
      <c r="E5044" t="s">
        <v>12661</v>
      </c>
      <c r="F5044" t="s">
        <v>12661</v>
      </c>
      <c r="G5044" s="1">
        <v>44692</v>
      </c>
      <c r="H5044" s="1">
        <v>44845</v>
      </c>
      <c r="I5044" t="s">
        <v>189</v>
      </c>
      <c r="J5044">
        <v>1</v>
      </c>
      <c r="K5044" t="s">
        <v>13127</v>
      </c>
      <c r="L5044" t="s">
        <v>13140</v>
      </c>
      <c r="M5044" t="s">
        <v>282</v>
      </c>
      <c r="Q5044" t="s">
        <v>408</v>
      </c>
      <c r="R5044" t="s">
        <v>261</v>
      </c>
      <c r="S5044" t="s">
        <v>261</v>
      </c>
      <c r="T5044" t="s">
        <v>261</v>
      </c>
      <c r="U5044" t="s">
        <v>262</v>
      </c>
      <c r="V5044" t="s">
        <v>262</v>
      </c>
      <c r="W5044" t="s">
        <v>261</v>
      </c>
      <c r="X5044" t="s">
        <v>262</v>
      </c>
      <c r="Y5044" t="s">
        <v>261</v>
      </c>
      <c r="AB5044" t="s">
        <v>409</v>
      </c>
      <c r="AC5044" t="s">
        <v>409</v>
      </c>
      <c r="AD5044" t="s">
        <v>261</v>
      </c>
      <c r="AH5044" t="s">
        <v>262</v>
      </c>
      <c r="AI5044" t="s">
        <v>262</v>
      </c>
      <c r="AJ5044" t="s">
        <v>261</v>
      </c>
      <c r="AK5044" t="s">
        <v>261</v>
      </c>
      <c r="AM5044" t="s">
        <v>262</v>
      </c>
      <c r="AN5044" t="s">
        <v>13329</v>
      </c>
    </row>
    <row r="5045" spans="1:40" x14ac:dyDescent="0.35">
      <c r="A5045">
        <v>7101297</v>
      </c>
      <c r="B5045" t="s">
        <v>13330</v>
      </c>
      <c r="C5045" t="str">
        <f>"9783428173617"</f>
        <v>9783428173617</v>
      </c>
      <c r="D5045" t="str">
        <f>"9783428573615"</f>
        <v>9783428573615</v>
      </c>
      <c r="E5045" t="s">
        <v>12661</v>
      </c>
      <c r="F5045" t="s">
        <v>12661</v>
      </c>
      <c r="G5045" s="1">
        <v>44692</v>
      </c>
      <c r="H5045" s="1">
        <v>44845</v>
      </c>
      <c r="I5045" t="s">
        <v>189</v>
      </c>
      <c r="J5045">
        <v>1</v>
      </c>
      <c r="K5045" t="s">
        <v>13127</v>
      </c>
      <c r="L5045" t="s">
        <v>13140</v>
      </c>
      <c r="M5045" t="s">
        <v>282</v>
      </c>
    </row>
    <row r="5046" spans="1:40" x14ac:dyDescent="0.35">
      <c r="A5046">
        <v>7101298</v>
      </c>
      <c r="B5046" t="s">
        <v>13331</v>
      </c>
      <c r="C5046" t="str">
        <f>"9783428173631"</f>
        <v>9783428173631</v>
      </c>
      <c r="D5046" t="str">
        <f>"9783428573639"</f>
        <v>9783428573639</v>
      </c>
      <c r="E5046" t="s">
        <v>12661</v>
      </c>
      <c r="F5046" t="s">
        <v>12661</v>
      </c>
      <c r="G5046" s="1">
        <v>44692</v>
      </c>
      <c r="H5046" s="1">
        <v>44840</v>
      </c>
      <c r="I5046" t="s">
        <v>189</v>
      </c>
      <c r="J5046">
        <v>1</v>
      </c>
      <c r="K5046" t="s">
        <v>13127</v>
      </c>
      <c r="L5046" t="s">
        <v>13332</v>
      </c>
      <c r="M5046" t="s">
        <v>316</v>
      </c>
    </row>
    <row r="5047" spans="1:40" x14ac:dyDescent="0.35">
      <c r="A5047">
        <v>7101299</v>
      </c>
      <c r="B5047" t="s">
        <v>13333</v>
      </c>
      <c r="C5047" t="str">
        <f>"9783428173648"</f>
        <v>9783428173648</v>
      </c>
      <c r="D5047" t="str">
        <f>"9783428573646"</f>
        <v>9783428573646</v>
      </c>
      <c r="E5047" t="s">
        <v>12661</v>
      </c>
      <c r="F5047" t="s">
        <v>12661</v>
      </c>
      <c r="G5047" s="1">
        <v>44692</v>
      </c>
      <c r="H5047" s="1">
        <v>44840</v>
      </c>
      <c r="I5047" t="s">
        <v>189</v>
      </c>
      <c r="J5047">
        <v>1</v>
      </c>
      <c r="K5047" t="s">
        <v>13127</v>
      </c>
      <c r="L5047" t="s">
        <v>13332</v>
      </c>
      <c r="M5047" t="s">
        <v>282</v>
      </c>
    </row>
    <row r="5048" spans="1:40" x14ac:dyDescent="0.35">
      <c r="A5048">
        <v>7101300</v>
      </c>
      <c r="B5048" t="s">
        <v>13334</v>
      </c>
      <c r="C5048" t="str">
        <f>"9783428173655"</f>
        <v>9783428173655</v>
      </c>
      <c r="D5048" t="str">
        <f>"9783428573653"</f>
        <v>9783428573653</v>
      </c>
      <c r="E5048" t="s">
        <v>12661</v>
      </c>
      <c r="F5048" t="s">
        <v>12661</v>
      </c>
      <c r="G5048" s="1">
        <v>44692</v>
      </c>
      <c r="H5048" s="1">
        <v>44845</v>
      </c>
      <c r="I5048" t="s">
        <v>189</v>
      </c>
      <c r="J5048">
        <v>1</v>
      </c>
      <c r="K5048" t="s">
        <v>13127</v>
      </c>
      <c r="L5048" t="s">
        <v>13140</v>
      </c>
      <c r="M5048" t="s">
        <v>210</v>
      </c>
    </row>
    <row r="5049" spans="1:40" x14ac:dyDescent="0.35">
      <c r="A5049">
        <v>7101301</v>
      </c>
      <c r="B5049" t="s">
        <v>13335</v>
      </c>
      <c r="C5049" t="str">
        <f>"9783428173662"</f>
        <v>9783428173662</v>
      </c>
      <c r="D5049" t="str">
        <f>"9783428573660"</f>
        <v>9783428573660</v>
      </c>
      <c r="E5049" t="s">
        <v>12661</v>
      </c>
      <c r="F5049" t="s">
        <v>12661</v>
      </c>
      <c r="G5049" s="1">
        <v>44692</v>
      </c>
      <c r="H5049" s="1">
        <v>44845</v>
      </c>
      <c r="I5049" t="s">
        <v>189</v>
      </c>
      <c r="J5049">
        <v>1</v>
      </c>
      <c r="K5049" t="s">
        <v>13127</v>
      </c>
      <c r="L5049" t="s">
        <v>13140</v>
      </c>
      <c r="M5049" t="s">
        <v>316</v>
      </c>
    </row>
    <row r="5050" spans="1:40" x14ac:dyDescent="0.35">
      <c r="A5050">
        <v>7101302</v>
      </c>
      <c r="B5050" t="s">
        <v>13336</v>
      </c>
      <c r="C5050" t="str">
        <f>"9783428173679"</f>
        <v>9783428173679</v>
      </c>
      <c r="D5050" t="str">
        <f>"9783428573677"</f>
        <v>9783428573677</v>
      </c>
      <c r="E5050" t="s">
        <v>12661</v>
      </c>
      <c r="F5050" t="s">
        <v>12661</v>
      </c>
      <c r="G5050" s="1">
        <v>44692</v>
      </c>
      <c r="H5050" s="1">
        <v>44845</v>
      </c>
      <c r="I5050" t="s">
        <v>189</v>
      </c>
      <c r="J5050">
        <v>1</v>
      </c>
      <c r="K5050" t="s">
        <v>13127</v>
      </c>
      <c r="L5050" t="s">
        <v>13140</v>
      </c>
      <c r="M5050" t="s">
        <v>210</v>
      </c>
    </row>
    <row r="5051" spans="1:40" x14ac:dyDescent="0.35">
      <c r="A5051">
        <v>7101303</v>
      </c>
      <c r="B5051" t="s">
        <v>13337</v>
      </c>
      <c r="C5051" t="str">
        <f>"9783428173686"</f>
        <v>9783428173686</v>
      </c>
      <c r="D5051" t="str">
        <f>"9783428573684"</f>
        <v>9783428573684</v>
      </c>
      <c r="E5051" t="s">
        <v>12661</v>
      </c>
      <c r="F5051" t="s">
        <v>12661</v>
      </c>
      <c r="G5051" s="1">
        <v>44692</v>
      </c>
      <c r="H5051" s="1">
        <v>44840</v>
      </c>
      <c r="I5051" t="s">
        <v>189</v>
      </c>
      <c r="J5051">
        <v>1</v>
      </c>
      <c r="K5051" t="s">
        <v>13127</v>
      </c>
      <c r="L5051" t="s">
        <v>13338</v>
      </c>
      <c r="M5051" t="s">
        <v>316</v>
      </c>
    </row>
    <row r="5052" spans="1:40" x14ac:dyDescent="0.35">
      <c r="A5052">
        <v>7101304</v>
      </c>
      <c r="B5052" t="s">
        <v>13339</v>
      </c>
      <c r="C5052" t="str">
        <f>"9783428173693"</f>
        <v>9783428173693</v>
      </c>
      <c r="D5052" t="str">
        <f>"9783428573691"</f>
        <v>9783428573691</v>
      </c>
      <c r="E5052" t="s">
        <v>12661</v>
      </c>
      <c r="F5052" t="s">
        <v>12661</v>
      </c>
      <c r="G5052" s="1">
        <v>44692</v>
      </c>
      <c r="H5052" s="1">
        <v>44840</v>
      </c>
      <c r="I5052" t="s">
        <v>189</v>
      </c>
      <c r="J5052">
        <v>1</v>
      </c>
      <c r="K5052" t="s">
        <v>13127</v>
      </c>
      <c r="L5052" t="s">
        <v>13340</v>
      </c>
      <c r="M5052" t="s">
        <v>210</v>
      </c>
    </row>
    <row r="5053" spans="1:40" x14ac:dyDescent="0.35">
      <c r="A5053">
        <v>7101305</v>
      </c>
      <c r="B5053" t="s">
        <v>13341</v>
      </c>
      <c r="C5053" t="str">
        <f>"9783428173709"</f>
        <v>9783428173709</v>
      </c>
      <c r="D5053" t="str">
        <f>"9783428573707"</f>
        <v>9783428573707</v>
      </c>
      <c r="E5053" t="s">
        <v>12661</v>
      </c>
      <c r="F5053" t="s">
        <v>12661</v>
      </c>
      <c r="G5053" s="1">
        <v>44692</v>
      </c>
      <c r="H5053" s="1">
        <v>44845</v>
      </c>
      <c r="I5053" t="s">
        <v>189</v>
      </c>
      <c r="J5053">
        <v>1</v>
      </c>
      <c r="K5053" t="s">
        <v>13127</v>
      </c>
      <c r="L5053" t="s">
        <v>13140</v>
      </c>
      <c r="M5053" t="s">
        <v>316</v>
      </c>
    </row>
    <row r="5054" spans="1:40" x14ac:dyDescent="0.35">
      <c r="A5054">
        <v>7101306</v>
      </c>
      <c r="B5054" t="s">
        <v>13342</v>
      </c>
      <c r="C5054" t="str">
        <f>"9783428173716"</f>
        <v>9783428173716</v>
      </c>
      <c r="D5054" t="str">
        <f>"9783428573714"</f>
        <v>9783428573714</v>
      </c>
      <c r="E5054" t="s">
        <v>12661</v>
      </c>
      <c r="F5054" t="s">
        <v>12661</v>
      </c>
      <c r="G5054" s="1">
        <v>44692</v>
      </c>
      <c r="H5054" s="1">
        <v>44840</v>
      </c>
      <c r="I5054" t="s">
        <v>189</v>
      </c>
      <c r="J5054">
        <v>1</v>
      </c>
      <c r="K5054" t="s">
        <v>13127</v>
      </c>
      <c r="L5054" t="s">
        <v>13343</v>
      </c>
      <c r="M5054" t="s">
        <v>316</v>
      </c>
    </row>
    <row r="5055" spans="1:40" x14ac:dyDescent="0.35">
      <c r="A5055">
        <v>7101307</v>
      </c>
      <c r="B5055" t="s">
        <v>13344</v>
      </c>
      <c r="C5055" t="str">
        <f>"9783428173723"</f>
        <v>9783428173723</v>
      </c>
      <c r="D5055" t="str">
        <f>"9783428573721"</f>
        <v>9783428573721</v>
      </c>
      <c r="E5055" t="s">
        <v>12661</v>
      </c>
      <c r="F5055" t="s">
        <v>12661</v>
      </c>
      <c r="G5055" s="1">
        <v>44692</v>
      </c>
      <c r="H5055" s="1">
        <v>44845</v>
      </c>
      <c r="I5055" t="s">
        <v>189</v>
      </c>
      <c r="J5055">
        <v>1</v>
      </c>
      <c r="K5055" t="s">
        <v>13127</v>
      </c>
      <c r="L5055" t="s">
        <v>13140</v>
      </c>
      <c r="M5055" t="s">
        <v>316</v>
      </c>
    </row>
    <row r="5056" spans="1:40" x14ac:dyDescent="0.35">
      <c r="A5056">
        <v>7101308</v>
      </c>
      <c r="B5056" t="s">
        <v>13345</v>
      </c>
      <c r="C5056" t="str">
        <f>"9783428173730"</f>
        <v>9783428173730</v>
      </c>
      <c r="D5056" t="str">
        <f>"9783428573738"</f>
        <v>9783428573738</v>
      </c>
      <c r="E5056" t="s">
        <v>12661</v>
      </c>
      <c r="F5056" t="s">
        <v>12661</v>
      </c>
      <c r="G5056" s="1">
        <v>44692</v>
      </c>
      <c r="H5056" s="1">
        <v>44845</v>
      </c>
      <c r="I5056" t="s">
        <v>189</v>
      </c>
      <c r="J5056">
        <v>1</v>
      </c>
      <c r="K5056" t="s">
        <v>13127</v>
      </c>
      <c r="L5056" t="s">
        <v>13140</v>
      </c>
      <c r="M5056" t="s">
        <v>210</v>
      </c>
    </row>
    <row r="5057" spans="1:40" x14ac:dyDescent="0.35">
      <c r="A5057">
        <v>7101309</v>
      </c>
      <c r="B5057" t="s">
        <v>13346</v>
      </c>
      <c r="C5057" t="str">
        <f>"9783428173747"</f>
        <v>9783428173747</v>
      </c>
      <c r="D5057" t="str">
        <f>"9783428573745"</f>
        <v>9783428573745</v>
      </c>
      <c r="E5057" t="s">
        <v>12661</v>
      </c>
      <c r="F5057" t="s">
        <v>12661</v>
      </c>
      <c r="G5057" s="1">
        <v>44692</v>
      </c>
      <c r="H5057" s="1">
        <v>44845</v>
      </c>
      <c r="I5057" t="s">
        <v>189</v>
      </c>
      <c r="J5057">
        <v>1</v>
      </c>
      <c r="K5057" t="s">
        <v>13127</v>
      </c>
      <c r="L5057" t="s">
        <v>13140</v>
      </c>
      <c r="M5057" t="s">
        <v>316</v>
      </c>
    </row>
    <row r="5058" spans="1:40" x14ac:dyDescent="0.35">
      <c r="A5058">
        <v>7101310</v>
      </c>
      <c r="B5058" t="s">
        <v>13347</v>
      </c>
      <c r="C5058" t="str">
        <f>"9783428173761"</f>
        <v>9783428173761</v>
      </c>
      <c r="D5058" t="str">
        <f>"9783428573769"</f>
        <v>9783428573769</v>
      </c>
      <c r="E5058" t="s">
        <v>12661</v>
      </c>
      <c r="F5058" t="s">
        <v>12661</v>
      </c>
      <c r="G5058" s="1">
        <v>44692</v>
      </c>
      <c r="H5058" s="1">
        <v>44845</v>
      </c>
      <c r="I5058" t="s">
        <v>189</v>
      </c>
      <c r="J5058">
        <v>1</v>
      </c>
      <c r="K5058" t="s">
        <v>13127</v>
      </c>
      <c r="L5058" t="s">
        <v>13140</v>
      </c>
      <c r="M5058" t="s">
        <v>210</v>
      </c>
    </row>
    <row r="5059" spans="1:40" x14ac:dyDescent="0.35">
      <c r="A5059">
        <v>7101311</v>
      </c>
      <c r="B5059" t="s">
        <v>13348</v>
      </c>
      <c r="C5059" t="str">
        <f>"9783428173754"</f>
        <v>9783428173754</v>
      </c>
      <c r="D5059" t="str">
        <f>"9783428573752"</f>
        <v>9783428573752</v>
      </c>
      <c r="E5059" t="s">
        <v>12661</v>
      </c>
      <c r="F5059" t="s">
        <v>12661</v>
      </c>
      <c r="G5059" s="1">
        <v>44692</v>
      </c>
      <c r="H5059" s="1">
        <v>44845</v>
      </c>
      <c r="I5059" t="s">
        <v>189</v>
      </c>
      <c r="J5059">
        <v>1</v>
      </c>
      <c r="K5059" t="s">
        <v>13127</v>
      </c>
      <c r="L5059" t="s">
        <v>13140</v>
      </c>
      <c r="M5059" t="s">
        <v>316</v>
      </c>
    </row>
    <row r="5060" spans="1:40" x14ac:dyDescent="0.35">
      <c r="A5060">
        <v>7101312</v>
      </c>
      <c r="B5060" t="s">
        <v>13349</v>
      </c>
      <c r="C5060" t="str">
        <f>"9783428173778"</f>
        <v>9783428173778</v>
      </c>
      <c r="D5060" t="str">
        <f>"9783428573776"</f>
        <v>9783428573776</v>
      </c>
      <c r="E5060" t="s">
        <v>12661</v>
      </c>
      <c r="F5060" t="s">
        <v>12661</v>
      </c>
      <c r="G5060" s="1">
        <v>44692</v>
      </c>
      <c r="H5060" s="1">
        <v>44845</v>
      </c>
      <c r="I5060" t="s">
        <v>189</v>
      </c>
      <c r="J5060">
        <v>1</v>
      </c>
      <c r="K5060" t="s">
        <v>13127</v>
      </c>
      <c r="L5060" t="s">
        <v>13140</v>
      </c>
      <c r="M5060" t="s">
        <v>210</v>
      </c>
    </row>
    <row r="5061" spans="1:40" x14ac:dyDescent="0.35">
      <c r="A5061">
        <v>7101313</v>
      </c>
      <c r="B5061" t="s">
        <v>13350</v>
      </c>
      <c r="C5061" t="str">
        <f>"9783428173785"</f>
        <v>9783428173785</v>
      </c>
      <c r="D5061" t="str">
        <f>"9783428573783"</f>
        <v>9783428573783</v>
      </c>
      <c r="E5061" t="s">
        <v>12661</v>
      </c>
      <c r="F5061" t="s">
        <v>12661</v>
      </c>
      <c r="G5061" s="1">
        <v>44692</v>
      </c>
      <c r="H5061" s="1">
        <v>44840</v>
      </c>
      <c r="I5061" t="s">
        <v>189</v>
      </c>
      <c r="J5061">
        <v>1</v>
      </c>
      <c r="K5061" t="s">
        <v>13127</v>
      </c>
      <c r="L5061" t="s">
        <v>13351</v>
      </c>
      <c r="M5061" t="s">
        <v>210</v>
      </c>
      <c r="Q5061" t="s">
        <v>408</v>
      </c>
      <c r="R5061" t="s">
        <v>261</v>
      </c>
      <c r="S5061" t="s">
        <v>261</v>
      </c>
      <c r="T5061" t="s">
        <v>261</v>
      </c>
      <c r="U5061" t="s">
        <v>262</v>
      </c>
      <c r="V5061" t="s">
        <v>262</v>
      </c>
      <c r="W5061" t="s">
        <v>261</v>
      </c>
      <c r="X5061" t="s">
        <v>262</v>
      </c>
      <c r="Y5061" t="s">
        <v>261</v>
      </c>
      <c r="AB5061" t="s">
        <v>409</v>
      </c>
      <c r="AC5061" t="s">
        <v>409</v>
      </c>
      <c r="AD5061" t="s">
        <v>261</v>
      </c>
      <c r="AH5061" t="s">
        <v>262</v>
      </c>
      <c r="AI5061" t="s">
        <v>262</v>
      </c>
      <c r="AJ5061" t="s">
        <v>261</v>
      </c>
      <c r="AK5061" t="s">
        <v>261</v>
      </c>
      <c r="AM5061" t="s">
        <v>262</v>
      </c>
      <c r="AN5061" t="s">
        <v>13352</v>
      </c>
    </row>
    <row r="5062" spans="1:40" x14ac:dyDescent="0.35">
      <c r="A5062">
        <v>7101314</v>
      </c>
      <c r="B5062" t="s">
        <v>13353</v>
      </c>
      <c r="C5062" t="str">
        <f>"9783428173792"</f>
        <v>9783428173792</v>
      </c>
      <c r="D5062" t="str">
        <f>"9783428573790"</f>
        <v>9783428573790</v>
      </c>
      <c r="E5062" t="s">
        <v>12661</v>
      </c>
      <c r="F5062" t="s">
        <v>12661</v>
      </c>
      <c r="G5062" s="1">
        <v>44692</v>
      </c>
      <c r="H5062" s="1">
        <v>44845</v>
      </c>
      <c r="I5062" t="s">
        <v>189</v>
      </c>
      <c r="J5062">
        <v>1</v>
      </c>
      <c r="K5062" t="s">
        <v>13127</v>
      </c>
      <c r="L5062" t="s">
        <v>13140</v>
      </c>
      <c r="M5062" t="s">
        <v>210</v>
      </c>
    </row>
    <row r="5063" spans="1:40" x14ac:dyDescent="0.35">
      <c r="A5063">
        <v>7101315</v>
      </c>
      <c r="B5063" t="s">
        <v>13354</v>
      </c>
      <c r="C5063" t="str">
        <f>"9783428173808"</f>
        <v>9783428173808</v>
      </c>
      <c r="D5063" t="str">
        <f>"9783428573806"</f>
        <v>9783428573806</v>
      </c>
      <c r="E5063" t="s">
        <v>12661</v>
      </c>
      <c r="F5063" t="s">
        <v>12661</v>
      </c>
      <c r="G5063" s="1">
        <v>44692</v>
      </c>
      <c r="H5063" s="1">
        <v>44845</v>
      </c>
      <c r="I5063" t="s">
        <v>189</v>
      </c>
      <c r="J5063">
        <v>1</v>
      </c>
      <c r="K5063" t="s">
        <v>13127</v>
      </c>
      <c r="L5063" t="s">
        <v>13140</v>
      </c>
      <c r="M5063" t="s">
        <v>282</v>
      </c>
      <c r="Q5063" t="s">
        <v>408</v>
      </c>
      <c r="R5063" t="s">
        <v>261</v>
      </c>
      <c r="S5063" t="s">
        <v>261</v>
      </c>
      <c r="T5063" t="s">
        <v>261</v>
      </c>
      <c r="U5063" t="s">
        <v>262</v>
      </c>
      <c r="V5063" t="s">
        <v>262</v>
      </c>
      <c r="W5063" t="s">
        <v>261</v>
      </c>
      <c r="X5063" t="s">
        <v>262</v>
      </c>
      <c r="Y5063" t="s">
        <v>261</v>
      </c>
      <c r="AB5063" t="s">
        <v>409</v>
      </c>
      <c r="AC5063" t="s">
        <v>409</v>
      </c>
      <c r="AD5063" t="s">
        <v>261</v>
      </c>
      <c r="AH5063" t="s">
        <v>262</v>
      </c>
      <c r="AI5063" t="s">
        <v>262</v>
      </c>
      <c r="AJ5063" t="s">
        <v>261</v>
      </c>
      <c r="AK5063" t="s">
        <v>261</v>
      </c>
      <c r="AM5063" t="s">
        <v>262</v>
      </c>
      <c r="AN5063" t="s">
        <v>13355</v>
      </c>
    </row>
    <row r="5064" spans="1:40" x14ac:dyDescent="0.35">
      <c r="A5064">
        <v>7101316</v>
      </c>
      <c r="B5064" t="s">
        <v>13356</v>
      </c>
      <c r="C5064" t="str">
        <f>"9783428173815"</f>
        <v>9783428173815</v>
      </c>
      <c r="D5064" t="str">
        <f>"9783428573813"</f>
        <v>9783428573813</v>
      </c>
      <c r="E5064" t="s">
        <v>12661</v>
      </c>
      <c r="F5064" t="s">
        <v>12661</v>
      </c>
      <c r="G5064" s="1">
        <v>44692</v>
      </c>
      <c r="H5064" s="1">
        <v>44840</v>
      </c>
      <c r="I5064" t="s">
        <v>189</v>
      </c>
      <c r="J5064">
        <v>1</v>
      </c>
      <c r="K5064" t="s">
        <v>13127</v>
      </c>
      <c r="L5064" t="s">
        <v>13357</v>
      </c>
      <c r="M5064" t="s">
        <v>282</v>
      </c>
      <c r="Q5064" t="s">
        <v>408</v>
      </c>
      <c r="R5064" t="s">
        <v>261</v>
      </c>
      <c r="S5064" t="s">
        <v>261</v>
      </c>
      <c r="T5064" t="s">
        <v>261</v>
      </c>
      <c r="U5064" t="s">
        <v>262</v>
      </c>
      <c r="V5064" t="s">
        <v>262</v>
      </c>
      <c r="W5064" t="s">
        <v>261</v>
      </c>
      <c r="X5064" t="s">
        <v>262</v>
      </c>
      <c r="Y5064" t="s">
        <v>261</v>
      </c>
      <c r="AB5064" t="s">
        <v>409</v>
      </c>
      <c r="AC5064" t="s">
        <v>409</v>
      </c>
      <c r="AD5064" t="s">
        <v>261</v>
      </c>
      <c r="AH5064" t="s">
        <v>262</v>
      </c>
      <c r="AI5064" t="s">
        <v>262</v>
      </c>
      <c r="AJ5064" t="s">
        <v>261</v>
      </c>
      <c r="AK5064" t="s">
        <v>261</v>
      </c>
      <c r="AM5064" t="s">
        <v>262</v>
      </c>
      <c r="AN5064" t="s">
        <v>13358</v>
      </c>
    </row>
    <row r="5065" spans="1:40" x14ac:dyDescent="0.35">
      <c r="A5065">
        <v>7101317</v>
      </c>
      <c r="B5065" t="s">
        <v>13359</v>
      </c>
      <c r="C5065" t="str">
        <f>"9783428173839"</f>
        <v>9783428173839</v>
      </c>
      <c r="D5065" t="str">
        <f>"9783428573837"</f>
        <v>9783428573837</v>
      </c>
      <c r="E5065" t="s">
        <v>12661</v>
      </c>
      <c r="F5065" t="s">
        <v>12661</v>
      </c>
      <c r="G5065" s="1">
        <v>44692</v>
      </c>
      <c r="H5065" s="1">
        <v>44845</v>
      </c>
      <c r="I5065" t="s">
        <v>189</v>
      </c>
      <c r="J5065">
        <v>1</v>
      </c>
      <c r="K5065" t="s">
        <v>13127</v>
      </c>
      <c r="L5065" t="s">
        <v>13140</v>
      </c>
      <c r="M5065" t="s">
        <v>282</v>
      </c>
      <c r="Q5065" t="s">
        <v>408</v>
      </c>
      <c r="R5065" t="s">
        <v>261</v>
      </c>
      <c r="S5065" t="s">
        <v>261</v>
      </c>
      <c r="T5065" t="s">
        <v>261</v>
      </c>
      <c r="U5065" t="s">
        <v>262</v>
      </c>
      <c r="V5065" t="s">
        <v>262</v>
      </c>
      <c r="W5065" t="s">
        <v>261</v>
      </c>
      <c r="X5065" t="s">
        <v>262</v>
      </c>
      <c r="Y5065" t="s">
        <v>261</v>
      </c>
      <c r="AB5065" t="s">
        <v>409</v>
      </c>
      <c r="AC5065" t="s">
        <v>409</v>
      </c>
      <c r="AD5065" t="s">
        <v>261</v>
      </c>
      <c r="AH5065" t="s">
        <v>262</v>
      </c>
      <c r="AI5065" t="s">
        <v>262</v>
      </c>
      <c r="AJ5065" t="s">
        <v>261</v>
      </c>
      <c r="AK5065" t="s">
        <v>261</v>
      </c>
      <c r="AM5065" t="s">
        <v>262</v>
      </c>
      <c r="AN5065" t="s">
        <v>13360</v>
      </c>
    </row>
    <row r="5066" spans="1:40" x14ac:dyDescent="0.35">
      <c r="A5066">
        <v>7101318</v>
      </c>
      <c r="B5066" t="s">
        <v>13361</v>
      </c>
      <c r="C5066" t="str">
        <f>"9783428173822"</f>
        <v>9783428173822</v>
      </c>
      <c r="D5066" t="str">
        <f>"9783428573820"</f>
        <v>9783428573820</v>
      </c>
      <c r="E5066" t="s">
        <v>12661</v>
      </c>
      <c r="F5066" t="s">
        <v>12661</v>
      </c>
      <c r="G5066" s="1">
        <v>44692</v>
      </c>
      <c r="H5066" s="1">
        <v>44840</v>
      </c>
      <c r="I5066" t="s">
        <v>189</v>
      </c>
      <c r="J5066">
        <v>1</v>
      </c>
      <c r="K5066" t="s">
        <v>13127</v>
      </c>
      <c r="L5066" t="s">
        <v>13362</v>
      </c>
      <c r="M5066" t="s">
        <v>282</v>
      </c>
      <c r="Q5066" t="s">
        <v>408</v>
      </c>
      <c r="R5066" t="s">
        <v>261</v>
      </c>
      <c r="S5066" t="s">
        <v>261</v>
      </c>
      <c r="T5066" t="s">
        <v>261</v>
      </c>
      <c r="U5066" t="s">
        <v>262</v>
      </c>
      <c r="V5066" t="s">
        <v>262</v>
      </c>
      <c r="W5066" t="s">
        <v>261</v>
      </c>
      <c r="X5066" t="s">
        <v>262</v>
      </c>
      <c r="Y5066" t="s">
        <v>261</v>
      </c>
      <c r="AB5066" t="s">
        <v>409</v>
      </c>
      <c r="AC5066" t="s">
        <v>409</v>
      </c>
      <c r="AD5066" t="s">
        <v>261</v>
      </c>
      <c r="AH5066" t="s">
        <v>262</v>
      </c>
      <c r="AI5066" t="s">
        <v>262</v>
      </c>
      <c r="AJ5066" t="s">
        <v>261</v>
      </c>
      <c r="AK5066" t="s">
        <v>261</v>
      </c>
      <c r="AM5066" t="s">
        <v>262</v>
      </c>
      <c r="AN5066" t="s">
        <v>13363</v>
      </c>
    </row>
    <row r="5067" spans="1:40" x14ac:dyDescent="0.35">
      <c r="A5067">
        <v>7101319</v>
      </c>
      <c r="B5067" t="s">
        <v>13364</v>
      </c>
      <c r="C5067" t="str">
        <f>"9783428173846"</f>
        <v>9783428173846</v>
      </c>
      <c r="D5067" t="str">
        <f>"9783428573844"</f>
        <v>9783428573844</v>
      </c>
      <c r="E5067" t="s">
        <v>12661</v>
      </c>
      <c r="F5067" t="s">
        <v>12661</v>
      </c>
      <c r="G5067" s="1">
        <v>44692</v>
      </c>
      <c r="H5067" s="1">
        <v>44840</v>
      </c>
      <c r="I5067" t="s">
        <v>189</v>
      </c>
      <c r="J5067">
        <v>1</v>
      </c>
      <c r="K5067" t="s">
        <v>13127</v>
      </c>
      <c r="L5067" t="s">
        <v>139</v>
      </c>
      <c r="M5067" t="s">
        <v>282</v>
      </c>
      <c r="Q5067" t="s">
        <v>408</v>
      </c>
      <c r="R5067" t="s">
        <v>261</v>
      </c>
      <c r="S5067" t="s">
        <v>261</v>
      </c>
      <c r="T5067" t="s">
        <v>261</v>
      </c>
      <c r="U5067" t="s">
        <v>262</v>
      </c>
      <c r="V5067" t="s">
        <v>262</v>
      </c>
      <c r="W5067" t="s">
        <v>261</v>
      </c>
      <c r="X5067" t="s">
        <v>262</v>
      </c>
      <c r="Y5067" t="s">
        <v>261</v>
      </c>
      <c r="AB5067" t="s">
        <v>409</v>
      </c>
      <c r="AC5067" t="s">
        <v>409</v>
      </c>
      <c r="AD5067" t="s">
        <v>261</v>
      </c>
      <c r="AH5067" t="s">
        <v>262</v>
      </c>
      <c r="AI5067" t="s">
        <v>262</v>
      </c>
      <c r="AJ5067" t="s">
        <v>261</v>
      </c>
      <c r="AK5067" t="s">
        <v>261</v>
      </c>
      <c r="AM5067" t="s">
        <v>262</v>
      </c>
      <c r="AN5067" t="s">
        <v>13365</v>
      </c>
    </row>
    <row r="5068" spans="1:40" x14ac:dyDescent="0.35">
      <c r="A5068">
        <v>7101320</v>
      </c>
      <c r="B5068" t="s">
        <v>13366</v>
      </c>
      <c r="C5068" t="str">
        <f>"9783428173853"</f>
        <v>9783428173853</v>
      </c>
      <c r="D5068" t="str">
        <f>"9783428573851"</f>
        <v>9783428573851</v>
      </c>
      <c r="E5068" t="s">
        <v>12661</v>
      </c>
      <c r="F5068" t="s">
        <v>12661</v>
      </c>
      <c r="G5068" s="1">
        <v>44692</v>
      </c>
      <c r="H5068" s="1">
        <v>44840</v>
      </c>
      <c r="I5068" t="s">
        <v>189</v>
      </c>
      <c r="J5068">
        <v>1</v>
      </c>
      <c r="K5068" t="s">
        <v>13127</v>
      </c>
      <c r="L5068" t="s">
        <v>139</v>
      </c>
    </row>
    <row r="5069" spans="1:40" x14ac:dyDescent="0.35">
      <c r="A5069">
        <v>7101321</v>
      </c>
      <c r="B5069" t="s">
        <v>13367</v>
      </c>
      <c r="C5069" t="str">
        <f>"9783428173860"</f>
        <v>9783428173860</v>
      </c>
      <c r="D5069" t="str">
        <f>"9783428573868"</f>
        <v>9783428573868</v>
      </c>
      <c r="E5069" t="s">
        <v>12661</v>
      </c>
      <c r="F5069" t="s">
        <v>12661</v>
      </c>
      <c r="G5069" s="1">
        <v>44694</v>
      </c>
      <c r="H5069" s="1">
        <v>44840</v>
      </c>
      <c r="I5069" t="s">
        <v>189</v>
      </c>
      <c r="J5069">
        <v>1</v>
      </c>
      <c r="K5069" t="s">
        <v>13127</v>
      </c>
      <c r="L5069" t="s">
        <v>139</v>
      </c>
    </row>
    <row r="5070" spans="1:40" x14ac:dyDescent="0.35">
      <c r="A5070">
        <v>7101322</v>
      </c>
      <c r="B5070" t="s">
        <v>13368</v>
      </c>
      <c r="C5070" t="str">
        <f>"9783428173877"</f>
        <v>9783428173877</v>
      </c>
      <c r="D5070" t="str">
        <f>"9783428573875"</f>
        <v>9783428573875</v>
      </c>
      <c r="E5070" t="s">
        <v>12661</v>
      </c>
      <c r="F5070" t="s">
        <v>12661</v>
      </c>
      <c r="G5070" s="1">
        <v>44694</v>
      </c>
      <c r="H5070" s="1">
        <v>44840</v>
      </c>
      <c r="I5070" t="s">
        <v>189</v>
      </c>
      <c r="J5070">
        <v>1</v>
      </c>
      <c r="K5070" t="s">
        <v>13127</v>
      </c>
      <c r="L5070" t="s">
        <v>139</v>
      </c>
      <c r="M5070" t="s">
        <v>282</v>
      </c>
      <c r="Q5070" t="s">
        <v>408</v>
      </c>
      <c r="R5070" t="s">
        <v>261</v>
      </c>
      <c r="S5070" t="s">
        <v>261</v>
      </c>
      <c r="T5070" t="s">
        <v>261</v>
      </c>
      <c r="U5070" t="s">
        <v>262</v>
      </c>
      <c r="V5070" t="s">
        <v>262</v>
      </c>
      <c r="W5070" t="s">
        <v>261</v>
      </c>
      <c r="X5070" t="s">
        <v>262</v>
      </c>
      <c r="Y5070" t="s">
        <v>261</v>
      </c>
      <c r="AB5070" t="s">
        <v>409</v>
      </c>
      <c r="AC5070" t="s">
        <v>409</v>
      </c>
      <c r="AD5070" t="s">
        <v>261</v>
      </c>
      <c r="AH5070" t="s">
        <v>262</v>
      </c>
      <c r="AI5070" t="s">
        <v>262</v>
      </c>
      <c r="AJ5070" t="s">
        <v>261</v>
      </c>
      <c r="AK5070" t="s">
        <v>261</v>
      </c>
      <c r="AM5070" t="s">
        <v>262</v>
      </c>
      <c r="AN5070" t="s">
        <v>13369</v>
      </c>
    </row>
    <row r="5071" spans="1:40" x14ac:dyDescent="0.35">
      <c r="A5071">
        <v>7101323</v>
      </c>
      <c r="B5071" t="s">
        <v>13370</v>
      </c>
      <c r="C5071" t="str">
        <f>"9783428173884"</f>
        <v>9783428173884</v>
      </c>
      <c r="D5071" t="str">
        <f>"9783428573882"</f>
        <v>9783428573882</v>
      </c>
      <c r="E5071" t="s">
        <v>12661</v>
      </c>
      <c r="F5071" t="s">
        <v>12661</v>
      </c>
      <c r="G5071" s="1">
        <v>44694</v>
      </c>
      <c r="H5071" s="1">
        <v>44840</v>
      </c>
      <c r="I5071" t="s">
        <v>189</v>
      </c>
      <c r="J5071">
        <v>1</v>
      </c>
      <c r="K5071" t="s">
        <v>13127</v>
      </c>
      <c r="L5071" t="s">
        <v>139</v>
      </c>
    </row>
    <row r="5072" spans="1:40" x14ac:dyDescent="0.35">
      <c r="A5072">
        <v>7101324</v>
      </c>
      <c r="B5072" t="s">
        <v>13371</v>
      </c>
      <c r="C5072" t="str">
        <f>"9783428173891"</f>
        <v>9783428173891</v>
      </c>
      <c r="D5072" t="str">
        <f>"9783428573899"</f>
        <v>9783428573899</v>
      </c>
      <c r="E5072" t="s">
        <v>12661</v>
      </c>
      <c r="F5072" t="s">
        <v>12661</v>
      </c>
      <c r="G5072" s="1">
        <v>44694</v>
      </c>
      <c r="H5072" s="1">
        <v>44840</v>
      </c>
      <c r="I5072" t="s">
        <v>189</v>
      </c>
      <c r="J5072">
        <v>1</v>
      </c>
      <c r="K5072" t="s">
        <v>13127</v>
      </c>
      <c r="L5072" t="s">
        <v>139</v>
      </c>
    </row>
    <row r="5073" spans="1:40" x14ac:dyDescent="0.35">
      <c r="A5073">
        <v>7101325</v>
      </c>
      <c r="B5073" t="s">
        <v>13372</v>
      </c>
      <c r="C5073" t="str">
        <f>"9783428173907"</f>
        <v>9783428173907</v>
      </c>
      <c r="D5073" t="str">
        <f>"9783428573905"</f>
        <v>9783428573905</v>
      </c>
      <c r="E5073" t="s">
        <v>12661</v>
      </c>
      <c r="F5073" t="s">
        <v>12661</v>
      </c>
      <c r="G5073" s="1">
        <v>44705</v>
      </c>
      <c r="H5073" s="1">
        <v>44840</v>
      </c>
      <c r="I5073" t="s">
        <v>189</v>
      </c>
      <c r="J5073">
        <v>1</v>
      </c>
      <c r="K5073" t="s">
        <v>13127</v>
      </c>
      <c r="L5073" t="s">
        <v>139</v>
      </c>
    </row>
    <row r="5074" spans="1:40" x14ac:dyDescent="0.35">
      <c r="A5074">
        <v>7101326</v>
      </c>
      <c r="B5074" t="s">
        <v>13373</v>
      </c>
      <c r="C5074" t="str">
        <f>"9783428173914"</f>
        <v>9783428173914</v>
      </c>
      <c r="D5074" t="str">
        <f>"9783428573912"</f>
        <v>9783428573912</v>
      </c>
      <c r="E5074" t="s">
        <v>12661</v>
      </c>
      <c r="F5074" t="s">
        <v>12661</v>
      </c>
      <c r="G5074" s="1">
        <v>44705</v>
      </c>
      <c r="H5074" s="1">
        <v>44840</v>
      </c>
      <c r="I5074" t="s">
        <v>189</v>
      </c>
      <c r="J5074">
        <v>1</v>
      </c>
      <c r="K5074" t="s">
        <v>13127</v>
      </c>
      <c r="L5074" t="s">
        <v>139</v>
      </c>
    </row>
    <row r="5075" spans="1:40" x14ac:dyDescent="0.35">
      <c r="A5075">
        <v>7101327</v>
      </c>
      <c r="B5075" t="s">
        <v>13374</v>
      </c>
      <c r="C5075" t="str">
        <f>"9783428173921"</f>
        <v>9783428173921</v>
      </c>
      <c r="D5075" t="str">
        <f>"9783428573929"</f>
        <v>9783428573929</v>
      </c>
      <c r="E5075" t="s">
        <v>12661</v>
      </c>
      <c r="F5075" t="s">
        <v>12661</v>
      </c>
      <c r="G5075" s="1">
        <v>44705</v>
      </c>
      <c r="H5075" s="1">
        <v>44840</v>
      </c>
      <c r="I5075" t="s">
        <v>189</v>
      </c>
      <c r="J5075">
        <v>1</v>
      </c>
      <c r="K5075" t="s">
        <v>13127</v>
      </c>
      <c r="L5075" t="s">
        <v>139</v>
      </c>
      <c r="M5075" t="s">
        <v>282</v>
      </c>
      <c r="Q5075" t="s">
        <v>408</v>
      </c>
      <c r="R5075" t="s">
        <v>261</v>
      </c>
      <c r="S5075" t="s">
        <v>261</v>
      </c>
      <c r="T5075" t="s">
        <v>261</v>
      </c>
      <c r="U5075" t="s">
        <v>262</v>
      </c>
      <c r="V5075" t="s">
        <v>262</v>
      </c>
      <c r="W5075" t="s">
        <v>261</v>
      </c>
      <c r="X5075" t="s">
        <v>262</v>
      </c>
      <c r="Y5075" t="s">
        <v>261</v>
      </c>
      <c r="AB5075" t="s">
        <v>409</v>
      </c>
      <c r="AC5075" t="s">
        <v>409</v>
      </c>
      <c r="AD5075" t="s">
        <v>261</v>
      </c>
      <c r="AH5075" t="s">
        <v>262</v>
      </c>
      <c r="AI5075" t="s">
        <v>262</v>
      </c>
      <c r="AJ5075" t="s">
        <v>261</v>
      </c>
      <c r="AK5075" t="s">
        <v>261</v>
      </c>
      <c r="AM5075" t="s">
        <v>262</v>
      </c>
      <c r="AN5075" t="s">
        <v>13375</v>
      </c>
    </row>
    <row r="5076" spans="1:40" x14ac:dyDescent="0.35">
      <c r="A5076">
        <v>7101328</v>
      </c>
      <c r="B5076" t="s">
        <v>13376</v>
      </c>
      <c r="C5076" t="str">
        <f>"9783428173938"</f>
        <v>9783428173938</v>
      </c>
      <c r="D5076" t="str">
        <f>"9783428573936"</f>
        <v>9783428573936</v>
      </c>
      <c r="E5076" t="s">
        <v>12661</v>
      </c>
      <c r="F5076" t="s">
        <v>12661</v>
      </c>
      <c r="G5076" s="1">
        <v>44705</v>
      </c>
      <c r="H5076" s="1">
        <v>44840</v>
      </c>
      <c r="I5076" t="s">
        <v>189</v>
      </c>
      <c r="J5076">
        <v>1</v>
      </c>
      <c r="K5076" t="s">
        <v>13127</v>
      </c>
      <c r="L5076" t="s">
        <v>139</v>
      </c>
    </row>
    <row r="5077" spans="1:40" x14ac:dyDescent="0.35">
      <c r="A5077">
        <v>7101329</v>
      </c>
      <c r="B5077" t="s">
        <v>13377</v>
      </c>
      <c r="C5077" t="str">
        <f>"9783428173945"</f>
        <v>9783428173945</v>
      </c>
      <c r="D5077" t="str">
        <f>"9783428573943"</f>
        <v>9783428573943</v>
      </c>
      <c r="E5077" t="s">
        <v>12661</v>
      </c>
      <c r="F5077" t="s">
        <v>12661</v>
      </c>
      <c r="G5077" s="1">
        <v>44705</v>
      </c>
      <c r="H5077" s="1">
        <v>44840</v>
      </c>
      <c r="I5077" t="s">
        <v>189</v>
      </c>
      <c r="J5077">
        <v>1</v>
      </c>
      <c r="K5077" t="s">
        <v>13127</v>
      </c>
      <c r="L5077" t="s">
        <v>139</v>
      </c>
    </row>
    <row r="5078" spans="1:40" x14ac:dyDescent="0.35">
      <c r="A5078">
        <v>7101330</v>
      </c>
      <c r="B5078" t="s">
        <v>13378</v>
      </c>
      <c r="C5078" t="str">
        <f>"9783428173952"</f>
        <v>9783428173952</v>
      </c>
      <c r="D5078" t="str">
        <f>"9783428573950"</f>
        <v>9783428573950</v>
      </c>
      <c r="E5078" t="s">
        <v>12661</v>
      </c>
      <c r="F5078" t="s">
        <v>12661</v>
      </c>
      <c r="G5078" s="1">
        <v>44705</v>
      </c>
      <c r="H5078" s="1">
        <v>44840</v>
      </c>
      <c r="I5078" t="s">
        <v>189</v>
      </c>
      <c r="J5078">
        <v>1</v>
      </c>
      <c r="K5078" t="s">
        <v>13127</v>
      </c>
      <c r="L5078" t="s">
        <v>139</v>
      </c>
      <c r="M5078" t="s">
        <v>249</v>
      </c>
    </row>
    <row r="5079" spans="1:40" x14ac:dyDescent="0.35">
      <c r="A5079">
        <v>7101331</v>
      </c>
      <c r="B5079" t="s">
        <v>13379</v>
      </c>
      <c r="C5079" t="str">
        <f>"9783428173969"</f>
        <v>9783428173969</v>
      </c>
      <c r="D5079" t="str">
        <f>"9783428573967"</f>
        <v>9783428573967</v>
      </c>
      <c r="E5079" t="s">
        <v>12661</v>
      </c>
      <c r="F5079" t="s">
        <v>12661</v>
      </c>
      <c r="G5079" s="1">
        <v>44705</v>
      </c>
      <c r="H5079" s="1">
        <v>44840</v>
      </c>
      <c r="I5079" t="s">
        <v>189</v>
      </c>
      <c r="J5079">
        <v>1</v>
      </c>
      <c r="K5079" t="s">
        <v>13127</v>
      </c>
      <c r="L5079" t="s">
        <v>139</v>
      </c>
    </row>
    <row r="5080" spans="1:40" x14ac:dyDescent="0.35">
      <c r="A5080">
        <v>7101332</v>
      </c>
      <c r="B5080" t="s">
        <v>13380</v>
      </c>
      <c r="C5080" t="str">
        <f>"9783428173976"</f>
        <v>9783428173976</v>
      </c>
      <c r="D5080" t="str">
        <f>"9783428573974"</f>
        <v>9783428573974</v>
      </c>
      <c r="E5080" t="s">
        <v>12661</v>
      </c>
      <c r="F5080" t="s">
        <v>12661</v>
      </c>
      <c r="G5080" s="1">
        <v>44705</v>
      </c>
      <c r="H5080" s="1">
        <v>44840</v>
      </c>
      <c r="I5080" t="s">
        <v>189</v>
      </c>
      <c r="J5080">
        <v>1</v>
      </c>
      <c r="K5080" t="s">
        <v>13127</v>
      </c>
      <c r="L5080" t="s">
        <v>139</v>
      </c>
      <c r="M5080" t="s">
        <v>249</v>
      </c>
    </row>
    <row r="5081" spans="1:40" x14ac:dyDescent="0.35">
      <c r="A5081">
        <v>7101333</v>
      </c>
      <c r="B5081" t="s">
        <v>13381</v>
      </c>
      <c r="C5081" t="str">
        <f>"9783428173983"</f>
        <v>9783428173983</v>
      </c>
      <c r="D5081" t="str">
        <f>"9783428573981"</f>
        <v>9783428573981</v>
      </c>
      <c r="E5081" t="s">
        <v>12661</v>
      </c>
      <c r="F5081" t="s">
        <v>12661</v>
      </c>
      <c r="G5081" s="1">
        <v>44705</v>
      </c>
      <c r="H5081" s="1">
        <v>44840</v>
      </c>
      <c r="I5081" t="s">
        <v>189</v>
      </c>
      <c r="J5081">
        <v>1</v>
      </c>
      <c r="K5081" t="s">
        <v>13127</v>
      </c>
      <c r="L5081" t="s">
        <v>139</v>
      </c>
      <c r="M5081" t="s">
        <v>282</v>
      </c>
    </row>
    <row r="5082" spans="1:40" x14ac:dyDescent="0.35">
      <c r="A5082">
        <v>7101334</v>
      </c>
      <c r="B5082" t="s">
        <v>13382</v>
      </c>
      <c r="C5082" t="str">
        <f>"9783428173990"</f>
        <v>9783428173990</v>
      </c>
      <c r="D5082" t="str">
        <f>"9783428573998"</f>
        <v>9783428573998</v>
      </c>
      <c r="E5082" t="s">
        <v>12661</v>
      </c>
      <c r="F5082" t="s">
        <v>12661</v>
      </c>
      <c r="G5082" s="1">
        <v>44705</v>
      </c>
      <c r="H5082" s="1">
        <v>44840</v>
      </c>
      <c r="I5082" t="s">
        <v>189</v>
      </c>
      <c r="J5082">
        <v>1</v>
      </c>
      <c r="K5082" t="s">
        <v>13127</v>
      </c>
      <c r="L5082" t="s">
        <v>139</v>
      </c>
    </row>
    <row r="5083" spans="1:40" x14ac:dyDescent="0.35">
      <c r="A5083">
        <v>7101335</v>
      </c>
      <c r="B5083" t="s">
        <v>13383</v>
      </c>
      <c r="C5083" t="str">
        <f>"9783428174003"</f>
        <v>9783428174003</v>
      </c>
      <c r="D5083" t="str">
        <f>"9783428574001"</f>
        <v>9783428574001</v>
      </c>
      <c r="E5083" t="s">
        <v>12661</v>
      </c>
      <c r="F5083" t="s">
        <v>12661</v>
      </c>
      <c r="G5083" s="1">
        <v>44705</v>
      </c>
      <c r="H5083" s="1">
        <v>44840</v>
      </c>
      <c r="I5083" t="s">
        <v>189</v>
      </c>
      <c r="J5083">
        <v>1</v>
      </c>
      <c r="K5083" t="s">
        <v>13127</v>
      </c>
      <c r="L5083" t="s">
        <v>13384</v>
      </c>
      <c r="M5083" t="s">
        <v>389</v>
      </c>
    </row>
    <row r="5084" spans="1:40" x14ac:dyDescent="0.35">
      <c r="A5084">
        <v>7101336</v>
      </c>
      <c r="B5084" t="s">
        <v>13385</v>
      </c>
      <c r="C5084" t="str">
        <f>"9783428174140"</f>
        <v>9783428174140</v>
      </c>
      <c r="D5084" t="str">
        <f>"9783428574148"</f>
        <v>9783428574148</v>
      </c>
      <c r="E5084" t="s">
        <v>12661</v>
      </c>
      <c r="F5084" t="s">
        <v>12661</v>
      </c>
      <c r="G5084" s="1">
        <v>44705</v>
      </c>
      <c r="H5084" s="1">
        <v>44840</v>
      </c>
      <c r="I5084" t="s">
        <v>189</v>
      </c>
      <c r="J5084">
        <v>1</v>
      </c>
      <c r="K5084" t="s">
        <v>13127</v>
      </c>
      <c r="L5084" t="s">
        <v>13386</v>
      </c>
      <c r="M5084" t="s">
        <v>210</v>
      </c>
      <c r="Q5084" t="s">
        <v>408</v>
      </c>
      <c r="R5084" t="s">
        <v>261</v>
      </c>
      <c r="S5084" t="s">
        <v>261</v>
      </c>
      <c r="T5084" t="s">
        <v>261</v>
      </c>
      <c r="U5084" t="s">
        <v>262</v>
      </c>
      <c r="V5084" t="s">
        <v>262</v>
      </c>
      <c r="W5084" t="s">
        <v>261</v>
      </c>
      <c r="X5084" t="s">
        <v>262</v>
      </c>
      <c r="Y5084" t="s">
        <v>261</v>
      </c>
      <c r="AB5084" t="s">
        <v>409</v>
      </c>
      <c r="AC5084" t="s">
        <v>409</v>
      </c>
      <c r="AD5084" t="s">
        <v>261</v>
      </c>
      <c r="AH5084" t="s">
        <v>262</v>
      </c>
      <c r="AI5084" t="s">
        <v>262</v>
      </c>
      <c r="AJ5084" t="s">
        <v>261</v>
      </c>
      <c r="AK5084" t="s">
        <v>261</v>
      </c>
      <c r="AM5084" t="s">
        <v>262</v>
      </c>
      <c r="AN5084" t="s">
        <v>13387</v>
      </c>
    </row>
    <row r="5085" spans="1:40" x14ac:dyDescent="0.35">
      <c r="A5085">
        <v>7101337</v>
      </c>
      <c r="B5085" t="s">
        <v>13388</v>
      </c>
      <c r="C5085" t="str">
        <f>"9783428174157"</f>
        <v>9783428174157</v>
      </c>
      <c r="D5085" t="str">
        <f>"9783428574155"</f>
        <v>9783428574155</v>
      </c>
      <c r="E5085" t="s">
        <v>12661</v>
      </c>
      <c r="F5085" t="s">
        <v>12661</v>
      </c>
      <c r="G5085" s="1">
        <v>44705</v>
      </c>
      <c r="H5085" s="1">
        <v>44845</v>
      </c>
      <c r="I5085" t="s">
        <v>189</v>
      </c>
      <c r="J5085">
        <v>1</v>
      </c>
      <c r="K5085" t="s">
        <v>13127</v>
      </c>
      <c r="L5085" t="s">
        <v>13140</v>
      </c>
      <c r="M5085" t="s">
        <v>210</v>
      </c>
      <c r="Q5085" t="s">
        <v>408</v>
      </c>
      <c r="R5085" t="s">
        <v>261</v>
      </c>
      <c r="S5085" t="s">
        <v>261</v>
      </c>
      <c r="T5085" t="s">
        <v>261</v>
      </c>
      <c r="U5085" t="s">
        <v>262</v>
      </c>
      <c r="V5085" t="s">
        <v>262</v>
      </c>
      <c r="W5085" t="s">
        <v>261</v>
      </c>
      <c r="X5085" t="s">
        <v>262</v>
      </c>
      <c r="Y5085" t="s">
        <v>261</v>
      </c>
      <c r="AB5085" t="s">
        <v>409</v>
      </c>
      <c r="AC5085" t="s">
        <v>409</v>
      </c>
      <c r="AD5085" t="s">
        <v>261</v>
      </c>
      <c r="AH5085" t="s">
        <v>262</v>
      </c>
      <c r="AI5085" t="s">
        <v>262</v>
      </c>
      <c r="AJ5085" t="s">
        <v>261</v>
      </c>
      <c r="AK5085" t="s">
        <v>261</v>
      </c>
      <c r="AM5085" t="s">
        <v>262</v>
      </c>
      <c r="AN5085" t="s">
        <v>13389</v>
      </c>
    </row>
    <row r="5086" spans="1:40" x14ac:dyDescent="0.35">
      <c r="A5086">
        <v>7101338</v>
      </c>
      <c r="B5086" t="s">
        <v>13390</v>
      </c>
      <c r="C5086" t="str">
        <f>"9783428174164"</f>
        <v>9783428174164</v>
      </c>
      <c r="D5086" t="str">
        <f>"9783428574162"</f>
        <v>9783428574162</v>
      </c>
      <c r="E5086" t="s">
        <v>12661</v>
      </c>
      <c r="F5086" t="s">
        <v>12661</v>
      </c>
      <c r="G5086" s="1">
        <v>44705</v>
      </c>
      <c r="H5086" s="1">
        <v>44845</v>
      </c>
      <c r="I5086" t="s">
        <v>189</v>
      </c>
      <c r="J5086">
        <v>1</v>
      </c>
      <c r="K5086" t="s">
        <v>13127</v>
      </c>
      <c r="L5086" t="s">
        <v>13140</v>
      </c>
      <c r="M5086" t="s">
        <v>210</v>
      </c>
      <c r="Q5086" t="s">
        <v>408</v>
      </c>
      <c r="R5086" t="s">
        <v>261</v>
      </c>
      <c r="S5086" t="s">
        <v>261</v>
      </c>
      <c r="T5086" t="s">
        <v>261</v>
      </c>
      <c r="U5086" t="s">
        <v>262</v>
      </c>
      <c r="V5086" t="s">
        <v>262</v>
      </c>
      <c r="W5086" t="s">
        <v>261</v>
      </c>
      <c r="X5086" t="s">
        <v>262</v>
      </c>
      <c r="Y5086" t="s">
        <v>261</v>
      </c>
      <c r="AB5086" t="s">
        <v>409</v>
      </c>
      <c r="AC5086" t="s">
        <v>409</v>
      </c>
      <c r="AD5086" t="s">
        <v>261</v>
      </c>
      <c r="AH5086" t="s">
        <v>262</v>
      </c>
      <c r="AI5086" t="s">
        <v>262</v>
      </c>
      <c r="AJ5086" t="s">
        <v>261</v>
      </c>
      <c r="AK5086" t="s">
        <v>261</v>
      </c>
      <c r="AM5086" t="s">
        <v>262</v>
      </c>
      <c r="AN5086" t="s">
        <v>13391</v>
      </c>
    </row>
    <row r="5087" spans="1:40" x14ac:dyDescent="0.35">
      <c r="A5087">
        <v>7101339</v>
      </c>
      <c r="B5087" t="s">
        <v>13392</v>
      </c>
      <c r="C5087" t="str">
        <f>"9783428174171"</f>
        <v>9783428174171</v>
      </c>
      <c r="D5087" t="str">
        <f>"9783428574179"</f>
        <v>9783428574179</v>
      </c>
      <c r="E5087" t="s">
        <v>12661</v>
      </c>
      <c r="F5087" t="s">
        <v>12661</v>
      </c>
      <c r="G5087" s="1">
        <v>44705</v>
      </c>
      <c r="H5087" s="1">
        <v>44840</v>
      </c>
      <c r="I5087" t="s">
        <v>189</v>
      </c>
      <c r="J5087">
        <v>1</v>
      </c>
      <c r="K5087" t="s">
        <v>13127</v>
      </c>
      <c r="L5087" t="s">
        <v>13393</v>
      </c>
      <c r="M5087" t="s">
        <v>210</v>
      </c>
      <c r="Q5087" t="s">
        <v>408</v>
      </c>
      <c r="R5087" t="s">
        <v>261</v>
      </c>
      <c r="S5087" t="s">
        <v>261</v>
      </c>
      <c r="T5087" t="s">
        <v>261</v>
      </c>
      <c r="U5087" t="s">
        <v>262</v>
      </c>
      <c r="V5087" t="s">
        <v>262</v>
      </c>
      <c r="W5087" t="s">
        <v>261</v>
      </c>
      <c r="X5087" t="s">
        <v>262</v>
      </c>
      <c r="Y5087" t="s">
        <v>261</v>
      </c>
      <c r="AB5087" t="s">
        <v>409</v>
      </c>
      <c r="AC5087" t="s">
        <v>409</v>
      </c>
      <c r="AD5087" t="s">
        <v>261</v>
      </c>
      <c r="AH5087" t="s">
        <v>262</v>
      </c>
      <c r="AI5087" t="s">
        <v>262</v>
      </c>
      <c r="AJ5087" t="s">
        <v>261</v>
      </c>
      <c r="AK5087" t="s">
        <v>261</v>
      </c>
      <c r="AM5087" t="s">
        <v>262</v>
      </c>
      <c r="AN5087" t="s">
        <v>13394</v>
      </c>
    </row>
    <row r="5088" spans="1:40" x14ac:dyDescent="0.35">
      <c r="A5088">
        <v>7101340</v>
      </c>
      <c r="B5088" t="s">
        <v>13395</v>
      </c>
      <c r="C5088" t="str">
        <f>"9783428174188"</f>
        <v>9783428174188</v>
      </c>
      <c r="D5088" t="str">
        <f>"9783428574186"</f>
        <v>9783428574186</v>
      </c>
      <c r="E5088" t="s">
        <v>12661</v>
      </c>
      <c r="F5088" t="s">
        <v>12661</v>
      </c>
      <c r="G5088" s="1">
        <v>44705</v>
      </c>
      <c r="H5088" s="1">
        <v>44845</v>
      </c>
      <c r="I5088" t="s">
        <v>189</v>
      </c>
      <c r="J5088">
        <v>1</v>
      </c>
      <c r="K5088" t="s">
        <v>13127</v>
      </c>
      <c r="M5088" t="s">
        <v>210</v>
      </c>
      <c r="Q5088" t="s">
        <v>408</v>
      </c>
      <c r="R5088" t="s">
        <v>261</v>
      </c>
      <c r="S5088" t="s">
        <v>261</v>
      </c>
      <c r="T5088" t="s">
        <v>261</v>
      </c>
      <c r="U5088" t="s">
        <v>262</v>
      </c>
      <c r="V5088" t="s">
        <v>262</v>
      </c>
      <c r="W5088" t="s">
        <v>261</v>
      </c>
      <c r="X5088" t="s">
        <v>262</v>
      </c>
      <c r="Y5088" t="s">
        <v>261</v>
      </c>
      <c r="AB5088" t="s">
        <v>409</v>
      </c>
      <c r="AC5088" t="s">
        <v>409</v>
      </c>
      <c r="AD5088" t="s">
        <v>261</v>
      </c>
      <c r="AH5088" t="s">
        <v>262</v>
      </c>
      <c r="AI5088" t="s">
        <v>262</v>
      </c>
      <c r="AJ5088" t="s">
        <v>261</v>
      </c>
      <c r="AK5088" t="s">
        <v>261</v>
      </c>
      <c r="AM5088" t="s">
        <v>262</v>
      </c>
      <c r="AN5088" t="s">
        <v>13396</v>
      </c>
    </row>
    <row r="5089" spans="1:40" x14ac:dyDescent="0.35">
      <c r="A5089">
        <v>7101341</v>
      </c>
      <c r="B5089" t="s">
        <v>13397</v>
      </c>
      <c r="C5089" t="str">
        <f>"9783428174195"</f>
        <v>9783428174195</v>
      </c>
      <c r="D5089" t="str">
        <f>"9783428574193"</f>
        <v>9783428574193</v>
      </c>
      <c r="E5089" t="s">
        <v>12661</v>
      </c>
      <c r="F5089" t="s">
        <v>12661</v>
      </c>
      <c r="G5089" s="1">
        <v>44705</v>
      </c>
      <c r="H5089" s="1">
        <v>44840</v>
      </c>
      <c r="I5089" t="s">
        <v>189</v>
      </c>
      <c r="J5089">
        <v>1</v>
      </c>
      <c r="K5089" t="s">
        <v>13127</v>
      </c>
      <c r="L5089" t="s">
        <v>13398</v>
      </c>
      <c r="M5089" t="s">
        <v>210</v>
      </c>
      <c r="Q5089" t="s">
        <v>408</v>
      </c>
      <c r="R5089" t="s">
        <v>261</v>
      </c>
      <c r="S5089" t="s">
        <v>261</v>
      </c>
      <c r="T5089" t="s">
        <v>261</v>
      </c>
      <c r="U5089" t="s">
        <v>262</v>
      </c>
      <c r="V5089" t="s">
        <v>262</v>
      </c>
      <c r="W5089" t="s">
        <v>261</v>
      </c>
      <c r="X5089" t="s">
        <v>262</v>
      </c>
      <c r="Y5089" t="s">
        <v>261</v>
      </c>
      <c r="AB5089" t="s">
        <v>409</v>
      </c>
      <c r="AC5089" t="s">
        <v>409</v>
      </c>
      <c r="AD5089" t="s">
        <v>261</v>
      </c>
      <c r="AH5089" t="s">
        <v>262</v>
      </c>
      <c r="AI5089" t="s">
        <v>262</v>
      </c>
      <c r="AJ5089" t="s">
        <v>261</v>
      </c>
      <c r="AK5089" t="s">
        <v>261</v>
      </c>
      <c r="AM5089" t="s">
        <v>262</v>
      </c>
      <c r="AN5089" t="s">
        <v>13399</v>
      </c>
    </row>
    <row r="5090" spans="1:40" x14ac:dyDescent="0.35">
      <c r="A5090">
        <v>7101342</v>
      </c>
      <c r="B5090" t="s">
        <v>13400</v>
      </c>
      <c r="C5090" t="str">
        <f>"9783428174201"</f>
        <v>9783428174201</v>
      </c>
      <c r="D5090" t="str">
        <f>"9783428574209"</f>
        <v>9783428574209</v>
      </c>
      <c r="E5090" t="s">
        <v>12661</v>
      </c>
      <c r="F5090" t="s">
        <v>12661</v>
      </c>
      <c r="G5090" s="1">
        <v>44705</v>
      </c>
      <c r="H5090" s="1">
        <v>44845</v>
      </c>
      <c r="I5090" t="s">
        <v>189</v>
      </c>
      <c r="J5090">
        <v>1</v>
      </c>
      <c r="K5090" t="s">
        <v>13127</v>
      </c>
      <c r="L5090" t="s">
        <v>13140</v>
      </c>
      <c r="M5090" t="s">
        <v>282</v>
      </c>
      <c r="Q5090" t="s">
        <v>408</v>
      </c>
      <c r="R5090" t="s">
        <v>261</v>
      </c>
      <c r="S5090" t="s">
        <v>261</v>
      </c>
      <c r="T5090" t="s">
        <v>261</v>
      </c>
      <c r="U5090" t="s">
        <v>262</v>
      </c>
      <c r="V5090" t="s">
        <v>262</v>
      </c>
      <c r="W5090" t="s">
        <v>261</v>
      </c>
      <c r="X5090" t="s">
        <v>262</v>
      </c>
      <c r="Y5090" t="s">
        <v>261</v>
      </c>
      <c r="AB5090" t="s">
        <v>409</v>
      </c>
      <c r="AC5090" t="s">
        <v>409</v>
      </c>
      <c r="AD5090" t="s">
        <v>261</v>
      </c>
      <c r="AH5090" t="s">
        <v>262</v>
      </c>
      <c r="AI5090" t="s">
        <v>262</v>
      </c>
      <c r="AJ5090" t="s">
        <v>261</v>
      </c>
      <c r="AK5090" t="s">
        <v>261</v>
      </c>
      <c r="AM5090" t="s">
        <v>262</v>
      </c>
      <c r="AN5090" t="s">
        <v>13401</v>
      </c>
    </row>
    <row r="5091" spans="1:40" x14ac:dyDescent="0.35">
      <c r="A5091">
        <v>7101343</v>
      </c>
      <c r="B5091" t="s">
        <v>13402</v>
      </c>
      <c r="C5091" t="str">
        <f>"9783428174218"</f>
        <v>9783428174218</v>
      </c>
      <c r="D5091" t="str">
        <f>"9783428574216"</f>
        <v>9783428574216</v>
      </c>
      <c r="E5091" t="s">
        <v>12661</v>
      </c>
      <c r="F5091" t="s">
        <v>12661</v>
      </c>
      <c r="G5091" s="1">
        <v>44705</v>
      </c>
      <c r="H5091" s="1">
        <v>44845</v>
      </c>
      <c r="I5091" t="s">
        <v>189</v>
      </c>
      <c r="J5091">
        <v>1</v>
      </c>
      <c r="K5091" t="s">
        <v>13127</v>
      </c>
      <c r="L5091" t="s">
        <v>13140</v>
      </c>
      <c r="M5091" t="s">
        <v>282</v>
      </c>
      <c r="Q5091" t="s">
        <v>408</v>
      </c>
      <c r="R5091" t="s">
        <v>261</v>
      </c>
      <c r="S5091" t="s">
        <v>261</v>
      </c>
      <c r="T5091" t="s">
        <v>261</v>
      </c>
      <c r="U5091" t="s">
        <v>262</v>
      </c>
      <c r="V5091" t="s">
        <v>262</v>
      </c>
      <c r="W5091" t="s">
        <v>261</v>
      </c>
      <c r="X5091" t="s">
        <v>262</v>
      </c>
      <c r="Y5091" t="s">
        <v>261</v>
      </c>
      <c r="AB5091" t="s">
        <v>409</v>
      </c>
      <c r="AC5091" t="s">
        <v>409</v>
      </c>
      <c r="AD5091" t="s">
        <v>261</v>
      </c>
      <c r="AH5091" t="s">
        <v>262</v>
      </c>
      <c r="AI5091" t="s">
        <v>262</v>
      </c>
      <c r="AJ5091" t="s">
        <v>261</v>
      </c>
      <c r="AK5091" t="s">
        <v>261</v>
      </c>
      <c r="AM5091" t="s">
        <v>262</v>
      </c>
      <c r="AN5091" t="s">
        <v>13403</v>
      </c>
    </row>
    <row r="5092" spans="1:40" x14ac:dyDescent="0.35">
      <c r="A5092">
        <v>7101344</v>
      </c>
      <c r="B5092" t="s">
        <v>13404</v>
      </c>
      <c r="C5092" t="str">
        <f>"9783428174225"</f>
        <v>9783428174225</v>
      </c>
      <c r="D5092" t="str">
        <f>"9783428574223"</f>
        <v>9783428574223</v>
      </c>
      <c r="E5092" t="s">
        <v>12661</v>
      </c>
      <c r="F5092" t="s">
        <v>12661</v>
      </c>
      <c r="G5092" s="1">
        <v>44727</v>
      </c>
      <c r="H5092" s="1">
        <v>44845</v>
      </c>
      <c r="I5092" t="s">
        <v>189</v>
      </c>
      <c r="J5092">
        <v>1</v>
      </c>
      <c r="K5092" t="s">
        <v>13127</v>
      </c>
      <c r="L5092" t="s">
        <v>13140</v>
      </c>
      <c r="M5092" t="s">
        <v>282</v>
      </c>
      <c r="Q5092" t="s">
        <v>408</v>
      </c>
      <c r="R5092" t="s">
        <v>261</v>
      </c>
      <c r="S5092" t="s">
        <v>261</v>
      </c>
      <c r="T5092" t="s">
        <v>261</v>
      </c>
      <c r="U5092" t="s">
        <v>262</v>
      </c>
      <c r="V5092" t="s">
        <v>262</v>
      </c>
      <c r="W5092" t="s">
        <v>261</v>
      </c>
      <c r="X5092" t="s">
        <v>262</v>
      </c>
      <c r="Y5092" t="s">
        <v>261</v>
      </c>
      <c r="AB5092" t="s">
        <v>409</v>
      </c>
      <c r="AC5092" t="s">
        <v>409</v>
      </c>
      <c r="AD5092" t="s">
        <v>261</v>
      </c>
      <c r="AH5092" t="s">
        <v>262</v>
      </c>
      <c r="AI5092" t="s">
        <v>262</v>
      </c>
      <c r="AJ5092" t="s">
        <v>261</v>
      </c>
      <c r="AK5092" t="s">
        <v>261</v>
      </c>
      <c r="AM5092" t="s">
        <v>262</v>
      </c>
      <c r="AN5092" t="s">
        <v>13405</v>
      </c>
    </row>
    <row r="5093" spans="1:40" x14ac:dyDescent="0.35">
      <c r="A5093">
        <v>7101345</v>
      </c>
      <c r="B5093" t="s">
        <v>13406</v>
      </c>
      <c r="C5093" t="str">
        <f>"9783428174232"</f>
        <v>9783428174232</v>
      </c>
      <c r="D5093" t="str">
        <f>"9783428574230"</f>
        <v>9783428574230</v>
      </c>
      <c r="E5093" t="s">
        <v>12661</v>
      </c>
      <c r="F5093" t="s">
        <v>12661</v>
      </c>
      <c r="G5093" s="1">
        <v>44727</v>
      </c>
      <c r="H5093" s="1">
        <v>44845</v>
      </c>
      <c r="I5093" t="s">
        <v>189</v>
      </c>
      <c r="J5093">
        <v>1</v>
      </c>
      <c r="K5093" t="s">
        <v>13127</v>
      </c>
      <c r="L5093" t="s">
        <v>13140</v>
      </c>
      <c r="M5093" t="s">
        <v>282</v>
      </c>
      <c r="Q5093" t="s">
        <v>408</v>
      </c>
      <c r="R5093" t="s">
        <v>261</v>
      </c>
      <c r="S5093" t="s">
        <v>261</v>
      </c>
      <c r="T5093" t="s">
        <v>261</v>
      </c>
      <c r="U5093" t="s">
        <v>262</v>
      </c>
      <c r="V5093" t="s">
        <v>262</v>
      </c>
      <c r="W5093" t="s">
        <v>261</v>
      </c>
      <c r="X5093" t="s">
        <v>262</v>
      </c>
      <c r="Y5093" t="s">
        <v>261</v>
      </c>
      <c r="AB5093" t="s">
        <v>409</v>
      </c>
      <c r="AC5093" t="s">
        <v>409</v>
      </c>
      <c r="AD5093" t="s">
        <v>261</v>
      </c>
      <c r="AH5093" t="s">
        <v>262</v>
      </c>
      <c r="AI5093" t="s">
        <v>262</v>
      </c>
      <c r="AJ5093" t="s">
        <v>261</v>
      </c>
      <c r="AK5093" t="s">
        <v>261</v>
      </c>
      <c r="AM5093" t="s">
        <v>262</v>
      </c>
      <c r="AN5093" t="s">
        <v>13407</v>
      </c>
    </row>
    <row r="5094" spans="1:40" x14ac:dyDescent="0.35">
      <c r="A5094">
        <v>7101346</v>
      </c>
      <c r="B5094" t="s">
        <v>13408</v>
      </c>
      <c r="C5094" t="str">
        <f>"9783428174249"</f>
        <v>9783428174249</v>
      </c>
      <c r="D5094" t="str">
        <f>"9783428574247"</f>
        <v>9783428574247</v>
      </c>
      <c r="E5094" t="s">
        <v>12661</v>
      </c>
      <c r="F5094" t="s">
        <v>12661</v>
      </c>
      <c r="G5094" s="1">
        <v>44727</v>
      </c>
      <c r="H5094" s="1">
        <v>44845</v>
      </c>
      <c r="I5094" t="s">
        <v>189</v>
      </c>
      <c r="J5094">
        <v>1</v>
      </c>
      <c r="K5094" t="s">
        <v>13127</v>
      </c>
      <c r="L5094" t="s">
        <v>13140</v>
      </c>
      <c r="M5094" t="s">
        <v>282</v>
      </c>
      <c r="Q5094" t="s">
        <v>408</v>
      </c>
      <c r="R5094" t="s">
        <v>261</v>
      </c>
      <c r="S5094" t="s">
        <v>261</v>
      </c>
      <c r="T5094" t="s">
        <v>261</v>
      </c>
      <c r="U5094" t="s">
        <v>262</v>
      </c>
      <c r="V5094" t="s">
        <v>262</v>
      </c>
      <c r="W5094" t="s">
        <v>261</v>
      </c>
      <c r="X5094" t="s">
        <v>262</v>
      </c>
      <c r="Y5094" t="s">
        <v>261</v>
      </c>
      <c r="AB5094" t="s">
        <v>409</v>
      </c>
      <c r="AC5094" t="s">
        <v>409</v>
      </c>
      <c r="AD5094" t="s">
        <v>261</v>
      </c>
      <c r="AH5094" t="s">
        <v>262</v>
      </c>
      <c r="AI5094" t="s">
        <v>262</v>
      </c>
      <c r="AJ5094" t="s">
        <v>261</v>
      </c>
      <c r="AK5094" t="s">
        <v>261</v>
      </c>
      <c r="AM5094" t="s">
        <v>262</v>
      </c>
      <c r="AN5094" t="s">
        <v>13409</v>
      </c>
    </row>
    <row r="5095" spans="1:40" x14ac:dyDescent="0.35">
      <c r="A5095">
        <v>7101347</v>
      </c>
      <c r="B5095" t="s">
        <v>13410</v>
      </c>
      <c r="C5095" t="str">
        <f>"9783428174256"</f>
        <v>9783428174256</v>
      </c>
      <c r="D5095" t="str">
        <f>"9783428574254"</f>
        <v>9783428574254</v>
      </c>
      <c r="E5095" t="s">
        <v>12661</v>
      </c>
      <c r="F5095" t="s">
        <v>12661</v>
      </c>
      <c r="G5095" s="1">
        <v>44727</v>
      </c>
      <c r="H5095" s="1">
        <v>44845</v>
      </c>
      <c r="I5095" t="s">
        <v>189</v>
      </c>
      <c r="J5095">
        <v>1</v>
      </c>
      <c r="K5095" t="s">
        <v>13127</v>
      </c>
      <c r="L5095" t="s">
        <v>13140</v>
      </c>
      <c r="M5095" t="s">
        <v>282</v>
      </c>
    </row>
    <row r="5096" spans="1:40" x14ac:dyDescent="0.35">
      <c r="A5096">
        <v>7101348</v>
      </c>
      <c r="B5096" t="s">
        <v>13411</v>
      </c>
      <c r="C5096" t="str">
        <f>"9783428174270"</f>
        <v>9783428174270</v>
      </c>
      <c r="D5096" t="str">
        <f>"9783428574278"</f>
        <v>9783428574278</v>
      </c>
      <c r="E5096" t="s">
        <v>12661</v>
      </c>
      <c r="F5096" t="s">
        <v>12661</v>
      </c>
      <c r="G5096" s="1">
        <v>44727</v>
      </c>
      <c r="H5096" s="1">
        <v>44840</v>
      </c>
      <c r="I5096" t="s">
        <v>189</v>
      </c>
      <c r="J5096">
        <v>1</v>
      </c>
      <c r="K5096" t="s">
        <v>13127</v>
      </c>
      <c r="L5096" t="s">
        <v>137</v>
      </c>
    </row>
    <row r="5097" spans="1:40" x14ac:dyDescent="0.35">
      <c r="A5097">
        <v>7101349</v>
      </c>
      <c r="B5097" t="s">
        <v>13412</v>
      </c>
      <c r="C5097" t="str">
        <f>"9783428174287"</f>
        <v>9783428174287</v>
      </c>
      <c r="D5097" t="str">
        <f>"9783428574285"</f>
        <v>9783428574285</v>
      </c>
      <c r="E5097" t="s">
        <v>12661</v>
      </c>
      <c r="F5097" t="s">
        <v>12661</v>
      </c>
      <c r="G5097" s="1">
        <v>44727</v>
      </c>
      <c r="H5097" s="1">
        <v>44840</v>
      </c>
      <c r="I5097" t="s">
        <v>189</v>
      </c>
      <c r="J5097">
        <v>1</v>
      </c>
      <c r="K5097" t="s">
        <v>13127</v>
      </c>
      <c r="L5097" t="s">
        <v>137</v>
      </c>
    </row>
    <row r="5098" spans="1:40" x14ac:dyDescent="0.35">
      <c r="A5098">
        <v>7101350</v>
      </c>
      <c r="B5098" t="s">
        <v>13413</v>
      </c>
      <c r="C5098" t="str">
        <f>"9783428174294"</f>
        <v>9783428174294</v>
      </c>
      <c r="D5098" t="str">
        <f>"9783428574292"</f>
        <v>9783428574292</v>
      </c>
      <c r="E5098" t="s">
        <v>12661</v>
      </c>
      <c r="F5098" t="s">
        <v>12661</v>
      </c>
      <c r="G5098" s="1">
        <v>44727</v>
      </c>
      <c r="H5098" s="1">
        <v>44840</v>
      </c>
      <c r="I5098" t="s">
        <v>189</v>
      </c>
      <c r="J5098">
        <v>1</v>
      </c>
      <c r="K5098" t="s">
        <v>13127</v>
      </c>
      <c r="L5098" t="s">
        <v>137</v>
      </c>
    </row>
    <row r="5099" spans="1:40" x14ac:dyDescent="0.35">
      <c r="A5099">
        <v>7101351</v>
      </c>
      <c r="B5099" t="s">
        <v>13414</v>
      </c>
      <c r="C5099" t="str">
        <f>"9783428174300"</f>
        <v>9783428174300</v>
      </c>
      <c r="D5099" t="str">
        <f>"9783428574308"</f>
        <v>9783428574308</v>
      </c>
      <c r="E5099" t="s">
        <v>12661</v>
      </c>
      <c r="F5099" t="s">
        <v>12661</v>
      </c>
      <c r="G5099" s="1">
        <v>44727</v>
      </c>
      <c r="H5099" s="1">
        <v>44840</v>
      </c>
      <c r="I5099" t="s">
        <v>189</v>
      </c>
      <c r="J5099">
        <v>1</v>
      </c>
      <c r="K5099" t="s">
        <v>13127</v>
      </c>
      <c r="L5099" t="s">
        <v>13415</v>
      </c>
    </row>
    <row r="5100" spans="1:40" x14ac:dyDescent="0.35">
      <c r="A5100">
        <v>7101352</v>
      </c>
      <c r="B5100" t="s">
        <v>13416</v>
      </c>
      <c r="C5100" t="str">
        <f>"9783428174317"</f>
        <v>9783428174317</v>
      </c>
      <c r="D5100" t="str">
        <f>"9783428574315"</f>
        <v>9783428574315</v>
      </c>
      <c r="E5100" t="s">
        <v>12661</v>
      </c>
      <c r="F5100" t="s">
        <v>12661</v>
      </c>
      <c r="G5100" s="1">
        <v>44727</v>
      </c>
      <c r="H5100" s="1">
        <v>44840</v>
      </c>
      <c r="I5100" t="s">
        <v>189</v>
      </c>
      <c r="J5100">
        <v>1</v>
      </c>
      <c r="K5100" t="s">
        <v>13127</v>
      </c>
      <c r="L5100" t="s">
        <v>13415</v>
      </c>
    </row>
    <row r="5101" spans="1:40" x14ac:dyDescent="0.35">
      <c r="A5101">
        <v>7101353</v>
      </c>
      <c r="B5101" t="s">
        <v>13417</v>
      </c>
      <c r="C5101" t="str">
        <f>"9783428174324"</f>
        <v>9783428174324</v>
      </c>
      <c r="D5101" t="str">
        <f>"9783428574322"</f>
        <v>9783428574322</v>
      </c>
      <c r="E5101" t="s">
        <v>12661</v>
      </c>
      <c r="F5101" t="s">
        <v>12661</v>
      </c>
      <c r="G5101" s="1">
        <v>44727</v>
      </c>
      <c r="H5101" s="1">
        <v>44840</v>
      </c>
      <c r="I5101" t="s">
        <v>189</v>
      </c>
      <c r="J5101">
        <v>1</v>
      </c>
      <c r="K5101" t="s">
        <v>13127</v>
      </c>
      <c r="L5101" t="s">
        <v>13415</v>
      </c>
    </row>
    <row r="5102" spans="1:40" x14ac:dyDescent="0.35">
      <c r="A5102">
        <v>7101354</v>
      </c>
      <c r="B5102" t="s">
        <v>13418</v>
      </c>
      <c r="C5102" t="str">
        <f>"9783428174331"</f>
        <v>9783428174331</v>
      </c>
      <c r="D5102" t="str">
        <f>"9783428574339"</f>
        <v>9783428574339</v>
      </c>
      <c r="E5102" t="s">
        <v>12661</v>
      </c>
      <c r="F5102" t="s">
        <v>12661</v>
      </c>
      <c r="G5102" s="1">
        <v>44727</v>
      </c>
      <c r="H5102" s="1">
        <v>44840</v>
      </c>
      <c r="I5102" t="s">
        <v>189</v>
      </c>
      <c r="J5102">
        <v>1</v>
      </c>
      <c r="K5102" t="s">
        <v>13127</v>
      </c>
      <c r="L5102" t="s">
        <v>13415</v>
      </c>
    </row>
    <row r="5103" spans="1:40" x14ac:dyDescent="0.35">
      <c r="A5103">
        <v>7101355</v>
      </c>
      <c r="B5103" t="s">
        <v>13419</v>
      </c>
      <c r="C5103" t="str">
        <f>"9783428174348"</f>
        <v>9783428174348</v>
      </c>
      <c r="D5103" t="str">
        <f>"9783428574346"</f>
        <v>9783428574346</v>
      </c>
      <c r="E5103" t="s">
        <v>12661</v>
      </c>
      <c r="F5103" t="s">
        <v>12661</v>
      </c>
      <c r="G5103" s="1">
        <v>44727</v>
      </c>
      <c r="H5103" s="1">
        <v>44840</v>
      </c>
      <c r="I5103" t="s">
        <v>189</v>
      </c>
      <c r="J5103">
        <v>1</v>
      </c>
      <c r="K5103" t="s">
        <v>13127</v>
      </c>
      <c r="L5103" t="s">
        <v>137</v>
      </c>
    </row>
    <row r="5104" spans="1:40" x14ac:dyDescent="0.35">
      <c r="A5104">
        <v>7101356</v>
      </c>
      <c r="B5104" t="s">
        <v>13420</v>
      </c>
      <c r="C5104" t="str">
        <f>"9783428174355"</f>
        <v>9783428174355</v>
      </c>
      <c r="D5104" t="str">
        <f>"9783428574353"</f>
        <v>9783428574353</v>
      </c>
      <c r="E5104" t="s">
        <v>12661</v>
      </c>
      <c r="F5104" t="s">
        <v>12661</v>
      </c>
      <c r="G5104" s="1">
        <v>44727</v>
      </c>
      <c r="H5104" s="1">
        <v>44840</v>
      </c>
      <c r="I5104" t="s">
        <v>189</v>
      </c>
      <c r="J5104">
        <v>1</v>
      </c>
      <c r="K5104" t="s">
        <v>13127</v>
      </c>
      <c r="L5104" t="s">
        <v>137</v>
      </c>
    </row>
    <row r="5105" spans="1:40" x14ac:dyDescent="0.35">
      <c r="A5105">
        <v>7101357</v>
      </c>
      <c r="B5105" t="s">
        <v>13421</v>
      </c>
      <c r="C5105" t="str">
        <f>"9783428174362"</f>
        <v>9783428174362</v>
      </c>
      <c r="D5105" t="str">
        <f>"9783428574360"</f>
        <v>9783428574360</v>
      </c>
      <c r="E5105" t="s">
        <v>12661</v>
      </c>
      <c r="F5105" t="s">
        <v>12661</v>
      </c>
      <c r="G5105" s="1">
        <v>44727</v>
      </c>
      <c r="H5105" s="1">
        <v>44840</v>
      </c>
      <c r="I5105" t="s">
        <v>189</v>
      </c>
      <c r="J5105">
        <v>1</v>
      </c>
      <c r="K5105" t="s">
        <v>13127</v>
      </c>
      <c r="L5105" t="s">
        <v>137</v>
      </c>
    </row>
    <row r="5106" spans="1:40" x14ac:dyDescent="0.35">
      <c r="A5106">
        <v>7101358</v>
      </c>
      <c r="B5106" t="s">
        <v>13422</v>
      </c>
      <c r="C5106" t="str">
        <f>"9783428174379"</f>
        <v>9783428174379</v>
      </c>
      <c r="D5106" t="str">
        <f>"9783428574377"</f>
        <v>9783428574377</v>
      </c>
      <c r="E5106" t="s">
        <v>12661</v>
      </c>
      <c r="F5106" t="s">
        <v>12661</v>
      </c>
      <c r="G5106" s="1">
        <v>44727</v>
      </c>
      <c r="H5106" s="1">
        <v>44845</v>
      </c>
      <c r="I5106" t="s">
        <v>189</v>
      </c>
      <c r="J5106">
        <v>1</v>
      </c>
      <c r="K5106" t="s">
        <v>13127</v>
      </c>
      <c r="L5106" t="s">
        <v>13140</v>
      </c>
      <c r="M5106" t="s">
        <v>282</v>
      </c>
      <c r="Q5106" t="s">
        <v>408</v>
      </c>
      <c r="R5106" t="s">
        <v>261</v>
      </c>
      <c r="S5106" t="s">
        <v>261</v>
      </c>
      <c r="T5106" t="s">
        <v>261</v>
      </c>
      <c r="U5106" t="s">
        <v>262</v>
      </c>
      <c r="V5106" t="s">
        <v>262</v>
      </c>
      <c r="W5106" t="s">
        <v>261</v>
      </c>
      <c r="X5106" t="s">
        <v>262</v>
      </c>
      <c r="Y5106" t="s">
        <v>261</v>
      </c>
      <c r="AB5106" t="s">
        <v>409</v>
      </c>
      <c r="AC5106" t="s">
        <v>409</v>
      </c>
      <c r="AD5106" t="s">
        <v>261</v>
      </c>
      <c r="AH5106" t="s">
        <v>262</v>
      </c>
      <c r="AI5106" t="s">
        <v>262</v>
      </c>
      <c r="AJ5106" t="s">
        <v>261</v>
      </c>
      <c r="AK5106" t="s">
        <v>261</v>
      </c>
      <c r="AM5106" t="s">
        <v>262</v>
      </c>
      <c r="AN5106" t="s">
        <v>13423</v>
      </c>
    </row>
    <row r="5107" spans="1:40" x14ac:dyDescent="0.35">
      <c r="A5107">
        <v>7101359</v>
      </c>
      <c r="B5107" t="s">
        <v>13424</v>
      </c>
      <c r="C5107" t="str">
        <f>"9783428174386"</f>
        <v>9783428174386</v>
      </c>
      <c r="D5107" t="str">
        <f>"9783428574384"</f>
        <v>9783428574384</v>
      </c>
      <c r="E5107" t="s">
        <v>12661</v>
      </c>
      <c r="F5107" t="s">
        <v>12661</v>
      </c>
      <c r="G5107" s="1">
        <v>44727</v>
      </c>
      <c r="H5107" s="1">
        <v>44840</v>
      </c>
      <c r="I5107" t="s">
        <v>189</v>
      </c>
      <c r="J5107">
        <v>1</v>
      </c>
      <c r="K5107" t="s">
        <v>13127</v>
      </c>
      <c r="L5107" t="s">
        <v>13425</v>
      </c>
      <c r="M5107" t="s">
        <v>282</v>
      </c>
      <c r="Q5107" t="s">
        <v>408</v>
      </c>
      <c r="R5107" t="s">
        <v>261</v>
      </c>
      <c r="S5107" t="s">
        <v>261</v>
      </c>
      <c r="T5107" t="s">
        <v>261</v>
      </c>
      <c r="U5107" t="s">
        <v>262</v>
      </c>
      <c r="V5107" t="s">
        <v>262</v>
      </c>
      <c r="W5107" t="s">
        <v>261</v>
      </c>
      <c r="X5107" t="s">
        <v>262</v>
      </c>
      <c r="Y5107" t="s">
        <v>261</v>
      </c>
      <c r="AB5107" t="s">
        <v>409</v>
      </c>
      <c r="AC5107" t="s">
        <v>409</v>
      </c>
      <c r="AD5107" t="s">
        <v>261</v>
      </c>
      <c r="AH5107" t="s">
        <v>262</v>
      </c>
      <c r="AI5107" t="s">
        <v>262</v>
      </c>
      <c r="AJ5107" t="s">
        <v>261</v>
      </c>
      <c r="AK5107" t="s">
        <v>261</v>
      </c>
      <c r="AM5107" t="s">
        <v>262</v>
      </c>
      <c r="AN5107" t="s">
        <v>13426</v>
      </c>
    </row>
    <row r="5108" spans="1:40" x14ac:dyDescent="0.35">
      <c r="A5108">
        <v>7101360</v>
      </c>
      <c r="B5108" t="s">
        <v>13427</v>
      </c>
      <c r="C5108" t="str">
        <f>"9783428174393"</f>
        <v>9783428174393</v>
      </c>
      <c r="D5108" t="str">
        <f>"9783428574391"</f>
        <v>9783428574391</v>
      </c>
      <c r="E5108" t="s">
        <v>12661</v>
      </c>
      <c r="F5108" t="s">
        <v>12661</v>
      </c>
      <c r="G5108" s="1">
        <v>44751</v>
      </c>
      <c r="H5108" s="1">
        <v>44840</v>
      </c>
      <c r="I5108" t="s">
        <v>189</v>
      </c>
      <c r="J5108">
        <v>1</v>
      </c>
      <c r="K5108" t="s">
        <v>13127</v>
      </c>
      <c r="L5108" t="s">
        <v>13428</v>
      </c>
      <c r="M5108" t="s">
        <v>282</v>
      </c>
      <c r="Q5108" t="s">
        <v>408</v>
      </c>
      <c r="R5108" t="s">
        <v>261</v>
      </c>
      <c r="S5108" t="s">
        <v>261</v>
      </c>
      <c r="T5108" t="s">
        <v>261</v>
      </c>
      <c r="U5108" t="s">
        <v>262</v>
      </c>
      <c r="V5108" t="s">
        <v>262</v>
      </c>
      <c r="W5108" t="s">
        <v>261</v>
      </c>
      <c r="X5108" t="s">
        <v>262</v>
      </c>
      <c r="Y5108" t="s">
        <v>261</v>
      </c>
      <c r="AB5108" t="s">
        <v>409</v>
      </c>
      <c r="AC5108" t="s">
        <v>409</v>
      </c>
      <c r="AD5108" t="s">
        <v>261</v>
      </c>
      <c r="AH5108" t="s">
        <v>262</v>
      </c>
      <c r="AI5108" t="s">
        <v>262</v>
      </c>
      <c r="AJ5108" t="s">
        <v>261</v>
      </c>
      <c r="AK5108" t="s">
        <v>261</v>
      </c>
      <c r="AM5108" t="s">
        <v>262</v>
      </c>
      <c r="AN5108" t="s">
        <v>13429</v>
      </c>
    </row>
    <row r="5109" spans="1:40" x14ac:dyDescent="0.35">
      <c r="A5109">
        <v>7101361</v>
      </c>
      <c r="B5109" t="s">
        <v>13430</v>
      </c>
      <c r="C5109" t="str">
        <f>"9783428174409"</f>
        <v>9783428174409</v>
      </c>
      <c r="D5109" t="str">
        <f>"9783428574407"</f>
        <v>9783428574407</v>
      </c>
      <c r="E5109" t="s">
        <v>12661</v>
      </c>
      <c r="F5109" t="s">
        <v>12661</v>
      </c>
      <c r="G5109" s="1">
        <v>44751</v>
      </c>
      <c r="H5109" s="1">
        <v>44840</v>
      </c>
      <c r="I5109" t="s">
        <v>189</v>
      </c>
      <c r="J5109">
        <v>1</v>
      </c>
      <c r="K5109" t="s">
        <v>13127</v>
      </c>
      <c r="L5109" t="s">
        <v>13428</v>
      </c>
    </row>
    <row r="5110" spans="1:40" x14ac:dyDescent="0.35">
      <c r="A5110">
        <v>7101362</v>
      </c>
      <c r="B5110" t="s">
        <v>13431</v>
      </c>
      <c r="C5110" t="str">
        <f>"9783428174416"</f>
        <v>9783428174416</v>
      </c>
      <c r="D5110" t="str">
        <f>"9783428574414"</f>
        <v>9783428574414</v>
      </c>
      <c r="E5110" t="s">
        <v>12661</v>
      </c>
      <c r="F5110" t="s">
        <v>12661</v>
      </c>
      <c r="G5110" s="1">
        <v>44751</v>
      </c>
      <c r="H5110" s="1">
        <v>44840</v>
      </c>
      <c r="I5110" t="s">
        <v>189</v>
      </c>
      <c r="J5110">
        <v>1</v>
      </c>
      <c r="K5110" t="s">
        <v>13127</v>
      </c>
      <c r="L5110" t="s">
        <v>13428</v>
      </c>
    </row>
    <row r="5111" spans="1:40" x14ac:dyDescent="0.35">
      <c r="A5111">
        <v>7101363</v>
      </c>
      <c r="B5111" t="s">
        <v>13432</v>
      </c>
      <c r="C5111" t="str">
        <f>"9783428174423"</f>
        <v>9783428174423</v>
      </c>
      <c r="D5111" t="str">
        <f>"9783428574421"</f>
        <v>9783428574421</v>
      </c>
      <c r="E5111" t="s">
        <v>12661</v>
      </c>
      <c r="F5111" t="s">
        <v>12661</v>
      </c>
      <c r="G5111" s="1">
        <v>44751</v>
      </c>
      <c r="H5111" s="1">
        <v>44840</v>
      </c>
      <c r="I5111" t="s">
        <v>189</v>
      </c>
      <c r="J5111">
        <v>1</v>
      </c>
      <c r="K5111" t="s">
        <v>13127</v>
      </c>
      <c r="L5111" t="s">
        <v>13428</v>
      </c>
      <c r="M5111" t="s">
        <v>282</v>
      </c>
      <c r="Q5111" t="s">
        <v>408</v>
      </c>
      <c r="R5111" t="s">
        <v>261</v>
      </c>
      <c r="S5111" t="s">
        <v>261</v>
      </c>
      <c r="T5111" t="s">
        <v>261</v>
      </c>
      <c r="U5111" t="s">
        <v>262</v>
      </c>
      <c r="V5111" t="s">
        <v>262</v>
      </c>
      <c r="W5111" t="s">
        <v>261</v>
      </c>
      <c r="X5111" t="s">
        <v>262</v>
      </c>
      <c r="Y5111" t="s">
        <v>261</v>
      </c>
      <c r="AB5111" t="s">
        <v>409</v>
      </c>
      <c r="AC5111" t="s">
        <v>409</v>
      </c>
      <c r="AD5111" t="s">
        <v>261</v>
      </c>
      <c r="AH5111" t="s">
        <v>262</v>
      </c>
      <c r="AI5111" t="s">
        <v>262</v>
      </c>
      <c r="AJ5111" t="s">
        <v>261</v>
      </c>
      <c r="AK5111" t="s">
        <v>261</v>
      </c>
      <c r="AM5111" t="s">
        <v>262</v>
      </c>
      <c r="AN5111" t="s">
        <v>13433</v>
      </c>
    </row>
    <row r="5112" spans="1:40" x14ac:dyDescent="0.35">
      <c r="A5112">
        <v>7101364</v>
      </c>
      <c r="B5112" t="s">
        <v>13434</v>
      </c>
      <c r="C5112" t="str">
        <f>"9783428174430"</f>
        <v>9783428174430</v>
      </c>
      <c r="D5112" t="str">
        <f>"9783428574438"</f>
        <v>9783428574438</v>
      </c>
      <c r="E5112" t="s">
        <v>12661</v>
      </c>
      <c r="F5112" t="s">
        <v>12661</v>
      </c>
      <c r="G5112" s="1">
        <v>44751</v>
      </c>
      <c r="H5112" s="1">
        <v>44840</v>
      </c>
      <c r="I5112" t="s">
        <v>189</v>
      </c>
      <c r="J5112">
        <v>1</v>
      </c>
      <c r="K5112" t="s">
        <v>13127</v>
      </c>
      <c r="L5112" t="s">
        <v>13428</v>
      </c>
    </row>
    <row r="5113" spans="1:40" x14ac:dyDescent="0.35">
      <c r="A5113">
        <v>7101365</v>
      </c>
      <c r="B5113" t="s">
        <v>13435</v>
      </c>
      <c r="C5113" t="str">
        <f>"9783428174447"</f>
        <v>9783428174447</v>
      </c>
      <c r="D5113" t="str">
        <f>"9783428574445"</f>
        <v>9783428574445</v>
      </c>
      <c r="E5113" t="s">
        <v>12661</v>
      </c>
      <c r="F5113" t="s">
        <v>12661</v>
      </c>
      <c r="G5113" s="1">
        <v>44751</v>
      </c>
      <c r="H5113" s="1">
        <v>44840</v>
      </c>
      <c r="I5113" t="s">
        <v>189</v>
      </c>
      <c r="J5113">
        <v>1</v>
      </c>
      <c r="K5113" t="s">
        <v>13127</v>
      </c>
      <c r="L5113" t="s">
        <v>13428</v>
      </c>
    </row>
    <row r="5114" spans="1:40" x14ac:dyDescent="0.35">
      <c r="A5114">
        <v>7101366</v>
      </c>
      <c r="B5114" t="s">
        <v>13436</v>
      </c>
      <c r="C5114" t="str">
        <f>"9783428174454"</f>
        <v>9783428174454</v>
      </c>
      <c r="D5114" t="str">
        <f>"9783428574452"</f>
        <v>9783428574452</v>
      </c>
      <c r="E5114" t="s">
        <v>12661</v>
      </c>
      <c r="F5114" t="s">
        <v>12661</v>
      </c>
      <c r="G5114" s="1">
        <v>44751</v>
      </c>
      <c r="H5114" s="1">
        <v>44840</v>
      </c>
      <c r="I5114" t="s">
        <v>189</v>
      </c>
      <c r="J5114">
        <v>1</v>
      </c>
      <c r="K5114" t="s">
        <v>13127</v>
      </c>
      <c r="L5114" t="s">
        <v>13437</v>
      </c>
      <c r="M5114" t="s">
        <v>249</v>
      </c>
      <c r="Q5114" t="s">
        <v>1827</v>
      </c>
      <c r="R5114" t="s">
        <v>261</v>
      </c>
      <c r="S5114" t="s">
        <v>261</v>
      </c>
      <c r="T5114" t="s">
        <v>261</v>
      </c>
      <c r="U5114" t="s">
        <v>262</v>
      </c>
      <c r="V5114" t="s">
        <v>262</v>
      </c>
      <c r="W5114" t="s">
        <v>261</v>
      </c>
      <c r="X5114" t="s">
        <v>262</v>
      </c>
      <c r="Y5114" t="s">
        <v>261</v>
      </c>
      <c r="AB5114" t="s">
        <v>409</v>
      </c>
      <c r="AC5114" t="s">
        <v>409</v>
      </c>
      <c r="AD5114" t="s">
        <v>261</v>
      </c>
      <c r="AH5114" t="s">
        <v>262</v>
      </c>
      <c r="AI5114" t="s">
        <v>262</v>
      </c>
      <c r="AJ5114" t="s">
        <v>261</v>
      </c>
      <c r="AK5114" t="s">
        <v>261</v>
      </c>
      <c r="AM5114" t="s">
        <v>262</v>
      </c>
      <c r="AN5114" t="s">
        <v>13438</v>
      </c>
    </row>
    <row r="5115" spans="1:40" x14ac:dyDescent="0.35">
      <c r="A5115">
        <v>7101367</v>
      </c>
      <c r="B5115" t="s">
        <v>13439</v>
      </c>
      <c r="C5115" t="str">
        <f>"9783428174461"</f>
        <v>9783428174461</v>
      </c>
      <c r="D5115" t="str">
        <f>"9783428574469"</f>
        <v>9783428574469</v>
      </c>
      <c r="E5115" t="s">
        <v>12661</v>
      </c>
      <c r="F5115" t="s">
        <v>12661</v>
      </c>
      <c r="G5115" s="1">
        <v>44751</v>
      </c>
      <c r="H5115" s="1">
        <v>44840</v>
      </c>
      <c r="I5115" t="s">
        <v>189</v>
      </c>
      <c r="J5115">
        <v>1</v>
      </c>
      <c r="K5115" t="s">
        <v>13127</v>
      </c>
      <c r="L5115" t="s">
        <v>13428</v>
      </c>
      <c r="M5115" t="s">
        <v>210</v>
      </c>
    </row>
    <row r="5116" spans="1:40" x14ac:dyDescent="0.35">
      <c r="A5116">
        <v>7101368</v>
      </c>
      <c r="B5116" t="s">
        <v>13440</v>
      </c>
      <c r="C5116" t="str">
        <f>"9783428174478"</f>
        <v>9783428174478</v>
      </c>
      <c r="D5116" t="str">
        <f>"9783428574476"</f>
        <v>9783428574476</v>
      </c>
      <c r="E5116" t="s">
        <v>12661</v>
      </c>
      <c r="F5116" t="s">
        <v>12661</v>
      </c>
      <c r="G5116" s="1">
        <v>44755</v>
      </c>
      <c r="H5116" s="1">
        <v>44840</v>
      </c>
      <c r="I5116" t="s">
        <v>189</v>
      </c>
      <c r="J5116">
        <v>1</v>
      </c>
      <c r="K5116" t="s">
        <v>13127</v>
      </c>
      <c r="L5116" t="s">
        <v>13428</v>
      </c>
      <c r="M5116" t="s">
        <v>282</v>
      </c>
    </row>
    <row r="5117" spans="1:40" x14ac:dyDescent="0.35">
      <c r="A5117">
        <v>7101369</v>
      </c>
      <c r="B5117" t="s">
        <v>13441</v>
      </c>
      <c r="C5117" t="str">
        <f>"9783428174485"</f>
        <v>9783428174485</v>
      </c>
      <c r="D5117" t="str">
        <f>"9783428574483"</f>
        <v>9783428574483</v>
      </c>
      <c r="E5117" t="s">
        <v>12661</v>
      </c>
      <c r="F5117" t="s">
        <v>12661</v>
      </c>
      <c r="G5117" s="1">
        <v>44751</v>
      </c>
      <c r="H5117" s="1">
        <v>44840</v>
      </c>
      <c r="I5117" t="s">
        <v>189</v>
      </c>
      <c r="J5117">
        <v>1</v>
      </c>
      <c r="K5117" t="s">
        <v>13127</v>
      </c>
      <c r="L5117" t="s">
        <v>13442</v>
      </c>
      <c r="M5117" t="s">
        <v>239</v>
      </c>
    </row>
    <row r="5118" spans="1:40" x14ac:dyDescent="0.35">
      <c r="A5118">
        <v>7101370</v>
      </c>
      <c r="B5118" t="s">
        <v>13443</v>
      </c>
      <c r="C5118" t="str">
        <f>"9783428174522"</f>
        <v>9783428174522</v>
      </c>
      <c r="D5118" t="str">
        <f>"9783428574520"</f>
        <v>9783428574520</v>
      </c>
      <c r="E5118" t="s">
        <v>12661</v>
      </c>
      <c r="F5118" t="s">
        <v>12661</v>
      </c>
      <c r="G5118" s="1">
        <v>44751</v>
      </c>
      <c r="H5118" s="1">
        <v>44845</v>
      </c>
      <c r="I5118" t="s">
        <v>189</v>
      </c>
      <c r="J5118">
        <v>1</v>
      </c>
      <c r="K5118" t="s">
        <v>13127</v>
      </c>
      <c r="L5118" t="s">
        <v>13140</v>
      </c>
      <c r="M5118" t="s">
        <v>249</v>
      </c>
      <c r="Q5118" t="s">
        <v>408</v>
      </c>
      <c r="R5118" t="s">
        <v>261</v>
      </c>
      <c r="S5118" t="s">
        <v>261</v>
      </c>
      <c r="T5118" t="s">
        <v>261</v>
      </c>
      <c r="U5118" t="s">
        <v>262</v>
      </c>
      <c r="V5118" t="s">
        <v>262</v>
      </c>
      <c r="W5118" t="s">
        <v>261</v>
      </c>
      <c r="X5118" t="s">
        <v>262</v>
      </c>
      <c r="Y5118" t="s">
        <v>261</v>
      </c>
      <c r="AB5118" t="s">
        <v>409</v>
      </c>
      <c r="AC5118" t="s">
        <v>409</v>
      </c>
      <c r="AD5118" t="s">
        <v>261</v>
      </c>
      <c r="AH5118" t="s">
        <v>262</v>
      </c>
      <c r="AI5118" t="s">
        <v>262</v>
      </c>
      <c r="AJ5118" t="s">
        <v>261</v>
      </c>
      <c r="AK5118" t="s">
        <v>261</v>
      </c>
      <c r="AM5118" t="s">
        <v>262</v>
      </c>
      <c r="AN5118" t="s">
        <v>13444</v>
      </c>
    </row>
    <row r="5119" spans="1:40" x14ac:dyDescent="0.35">
      <c r="A5119">
        <v>7101371</v>
      </c>
      <c r="B5119" t="s">
        <v>13445</v>
      </c>
      <c r="C5119" t="str">
        <f>"9783428174492"</f>
        <v>9783428174492</v>
      </c>
      <c r="D5119" t="str">
        <f>"9783428574490"</f>
        <v>9783428574490</v>
      </c>
      <c r="E5119" t="s">
        <v>12661</v>
      </c>
      <c r="F5119" t="s">
        <v>12661</v>
      </c>
      <c r="G5119" s="1">
        <v>44751</v>
      </c>
      <c r="H5119" s="1">
        <v>44840</v>
      </c>
      <c r="I5119" t="s">
        <v>189</v>
      </c>
      <c r="J5119">
        <v>1</v>
      </c>
      <c r="K5119" t="s">
        <v>13127</v>
      </c>
      <c r="L5119" t="s">
        <v>13428</v>
      </c>
      <c r="M5119" t="s">
        <v>210</v>
      </c>
    </row>
    <row r="5120" spans="1:40" x14ac:dyDescent="0.35">
      <c r="A5120">
        <v>7101372</v>
      </c>
      <c r="B5120" t="s">
        <v>13446</v>
      </c>
      <c r="C5120" t="str">
        <f>"9783428174539"</f>
        <v>9783428174539</v>
      </c>
      <c r="D5120" t="str">
        <f>"9783428574537"</f>
        <v>9783428574537</v>
      </c>
      <c r="E5120" t="s">
        <v>12661</v>
      </c>
      <c r="F5120" t="s">
        <v>12661</v>
      </c>
      <c r="G5120" s="1">
        <v>44751</v>
      </c>
      <c r="H5120" s="1">
        <v>44845</v>
      </c>
      <c r="I5120" t="s">
        <v>189</v>
      </c>
      <c r="J5120">
        <v>1</v>
      </c>
      <c r="K5120" t="s">
        <v>13127</v>
      </c>
      <c r="L5120" t="s">
        <v>13140</v>
      </c>
      <c r="M5120" t="s">
        <v>249</v>
      </c>
      <c r="Q5120" t="s">
        <v>408</v>
      </c>
      <c r="R5120" t="s">
        <v>261</v>
      </c>
      <c r="S5120" t="s">
        <v>261</v>
      </c>
      <c r="T5120" t="s">
        <v>261</v>
      </c>
      <c r="U5120" t="s">
        <v>262</v>
      </c>
      <c r="V5120" t="s">
        <v>262</v>
      </c>
      <c r="W5120" t="s">
        <v>261</v>
      </c>
      <c r="X5120" t="s">
        <v>262</v>
      </c>
      <c r="Y5120" t="s">
        <v>261</v>
      </c>
      <c r="AB5120" t="s">
        <v>409</v>
      </c>
      <c r="AC5120" t="s">
        <v>409</v>
      </c>
      <c r="AD5120" t="s">
        <v>261</v>
      </c>
      <c r="AH5120" t="s">
        <v>262</v>
      </c>
      <c r="AI5120" t="s">
        <v>262</v>
      </c>
      <c r="AJ5120" t="s">
        <v>261</v>
      </c>
      <c r="AK5120" t="s">
        <v>261</v>
      </c>
      <c r="AM5120" t="s">
        <v>262</v>
      </c>
      <c r="AN5120" t="s">
        <v>13447</v>
      </c>
    </row>
    <row r="5121" spans="1:40" x14ac:dyDescent="0.35">
      <c r="A5121">
        <v>7101373</v>
      </c>
      <c r="B5121" t="s">
        <v>13448</v>
      </c>
      <c r="C5121" t="str">
        <f>"9783428174546"</f>
        <v>9783428174546</v>
      </c>
      <c r="D5121" t="str">
        <f>"9783428574544"</f>
        <v>9783428574544</v>
      </c>
      <c r="E5121" t="s">
        <v>12661</v>
      </c>
      <c r="F5121" t="s">
        <v>12661</v>
      </c>
      <c r="G5121" s="1">
        <v>44751</v>
      </c>
      <c r="H5121" s="1">
        <v>44840</v>
      </c>
      <c r="I5121" t="s">
        <v>189</v>
      </c>
      <c r="J5121">
        <v>1</v>
      </c>
      <c r="K5121" t="s">
        <v>13127</v>
      </c>
      <c r="L5121" t="s">
        <v>13449</v>
      </c>
      <c r="M5121" t="s">
        <v>249</v>
      </c>
      <c r="Q5121" t="s">
        <v>408</v>
      </c>
      <c r="R5121" t="s">
        <v>261</v>
      </c>
      <c r="S5121" t="s">
        <v>261</v>
      </c>
      <c r="T5121" t="s">
        <v>261</v>
      </c>
      <c r="U5121" t="s">
        <v>262</v>
      </c>
      <c r="V5121" t="s">
        <v>262</v>
      </c>
      <c r="W5121" t="s">
        <v>261</v>
      </c>
      <c r="X5121" t="s">
        <v>262</v>
      </c>
      <c r="Y5121" t="s">
        <v>261</v>
      </c>
      <c r="AB5121" t="s">
        <v>409</v>
      </c>
      <c r="AC5121" t="s">
        <v>409</v>
      </c>
      <c r="AD5121" t="s">
        <v>261</v>
      </c>
      <c r="AH5121" t="s">
        <v>262</v>
      </c>
      <c r="AI5121" t="s">
        <v>262</v>
      </c>
      <c r="AJ5121" t="s">
        <v>261</v>
      </c>
      <c r="AK5121" t="s">
        <v>261</v>
      </c>
      <c r="AM5121" t="s">
        <v>262</v>
      </c>
      <c r="AN5121" t="s">
        <v>13450</v>
      </c>
    </row>
    <row r="5122" spans="1:40" x14ac:dyDescent="0.35">
      <c r="A5122">
        <v>7101374</v>
      </c>
      <c r="B5122" t="s">
        <v>13451</v>
      </c>
      <c r="C5122" t="str">
        <f>"9783428174553"</f>
        <v>9783428174553</v>
      </c>
      <c r="D5122" t="str">
        <f>"9783428574551"</f>
        <v>9783428574551</v>
      </c>
      <c r="E5122" t="s">
        <v>12661</v>
      </c>
      <c r="F5122" t="s">
        <v>12661</v>
      </c>
      <c r="G5122" s="1">
        <v>44751</v>
      </c>
      <c r="H5122" s="1">
        <v>44840</v>
      </c>
      <c r="I5122" t="s">
        <v>189</v>
      </c>
      <c r="J5122">
        <v>1</v>
      </c>
      <c r="K5122" t="s">
        <v>13127</v>
      </c>
      <c r="L5122" t="s">
        <v>13452</v>
      </c>
      <c r="M5122" t="s">
        <v>249</v>
      </c>
      <c r="Q5122" t="s">
        <v>408</v>
      </c>
      <c r="R5122" t="s">
        <v>261</v>
      </c>
      <c r="S5122" t="s">
        <v>261</v>
      </c>
      <c r="T5122" t="s">
        <v>261</v>
      </c>
      <c r="U5122" t="s">
        <v>262</v>
      </c>
      <c r="V5122" t="s">
        <v>262</v>
      </c>
      <c r="W5122" t="s">
        <v>261</v>
      </c>
      <c r="X5122" t="s">
        <v>262</v>
      </c>
      <c r="Y5122" t="s">
        <v>261</v>
      </c>
      <c r="AB5122" t="s">
        <v>409</v>
      </c>
      <c r="AC5122" t="s">
        <v>409</v>
      </c>
      <c r="AD5122" t="s">
        <v>261</v>
      </c>
      <c r="AH5122" t="s">
        <v>262</v>
      </c>
      <c r="AI5122" t="s">
        <v>262</v>
      </c>
      <c r="AJ5122" t="s">
        <v>261</v>
      </c>
      <c r="AK5122" t="s">
        <v>261</v>
      </c>
      <c r="AM5122" t="s">
        <v>262</v>
      </c>
      <c r="AN5122" t="s">
        <v>13453</v>
      </c>
    </row>
    <row r="5123" spans="1:40" x14ac:dyDescent="0.35">
      <c r="A5123">
        <v>7101375</v>
      </c>
      <c r="B5123" t="s">
        <v>13454</v>
      </c>
      <c r="C5123" t="str">
        <f>"9783428174560"</f>
        <v>9783428174560</v>
      </c>
      <c r="D5123" t="str">
        <f>"9783428574568"</f>
        <v>9783428574568</v>
      </c>
      <c r="E5123" t="s">
        <v>12661</v>
      </c>
      <c r="F5123" t="s">
        <v>12661</v>
      </c>
      <c r="G5123" s="1">
        <v>44751</v>
      </c>
      <c r="H5123" s="1">
        <v>44840</v>
      </c>
      <c r="I5123" t="s">
        <v>189</v>
      </c>
      <c r="J5123">
        <v>1</v>
      </c>
      <c r="K5123" t="s">
        <v>13127</v>
      </c>
      <c r="L5123" t="s">
        <v>13222</v>
      </c>
      <c r="M5123" t="s">
        <v>282</v>
      </c>
      <c r="Q5123" t="s">
        <v>408</v>
      </c>
      <c r="R5123" t="s">
        <v>261</v>
      </c>
      <c r="S5123" t="s">
        <v>261</v>
      </c>
      <c r="T5123" t="s">
        <v>261</v>
      </c>
      <c r="U5123" t="s">
        <v>262</v>
      </c>
      <c r="V5123" t="s">
        <v>262</v>
      </c>
      <c r="W5123" t="s">
        <v>261</v>
      </c>
      <c r="X5123" t="s">
        <v>262</v>
      </c>
      <c r="Y5123" t="s">
        <v>261</v>
      </c>
      <c r="AB5123" t="s">
        <v>409</v>
      </c>
      <c r="AC5123" t="s">
        <v>409</v>
      </c>
      <c r="AD5123" t="s">
        <v>261</v>
      </c>
      <c r="AH5123" t="s">
        <v>262</v>
      </c>
      <c r="AI5123" t="s">
        <v>262</v>
      </c>
      <c r="AJ5123" t="s">
        <v>261</v>
      </c>
      <c r="AK5123" t="s">
        <v>261</v>
      </c>
      <c r="AM5123" t="s">
        <v>262</v>
      </c>
      <c r="AN5123" t="s">
        <v>13455</v>
      </c>
    </row>
    <row r="5124" spans="1:40" x14ac:dyDescent="0.35">
      <c r="A5124">
        <v>7101376</v>
      </c>
      <c r="B5124" t="s">
        <v>13456</v>
      </c>
      <c r="C5124" t="str">
        <f>"9783428174584"</f>
        <v>9783428174584</v>
      </c>
      <c r="D5124" t="str">
        <f>"9783428574582"</f>
        <v>9783428574582</v>
      </c>
      <c r="E5124" t="s">
        <v>12661</v>
      </c>
      <c r="F5124" t="s">
        <v>12661</v>
      </c>
      <c r="G5124" s="1">
        <v>44751</v>
      </c>
      <c r="H5124" s="1">
        <v>44840</v>
      </c>
      <c r="I5124" t="s">
        <v>189</v>
      </c>
      <c r="J5124">
        <v>1</v>
      </c>
      <c r="K5124" t="s">
        <v>13127</v>
      </c>
      <c r="L5124" t="s">
        <v>13457</v>
      </c>
    </row>
    <row r="5125" spans="1:40" x14ac:dyDescent="0.35">
      <c r="A5125">
        <v>7101377</v>
      </c>
      <c r="B5125" t="s">
        <v>13458</v>
      </c>
      <c r="C5125" t="str">
        <f>"9783428174577"</f>
        <v>9783428174577</v>
      </c>
      <c r="D5125" t="str">
        <f>"9783428574575"</f>
        <v>9783428574575</v>
      </c>
      <c r="E5125" t="s">
        <v>12661</v>
      </c>
      <c r="F5125" t="s">
        <v>12661</v>
      </c>
      <c r="G5125" s="1">
        <v>44751</v>
      </c>
      <c r="H5125" s="1">
        <v>44840</v>
      </c>
      <c r="I5125" t="s">
        <v>189</v>
      </c>
      <c r="J5125">
        <v>1</v>
      </c>
      <c r="K5125" t="s">
        <v>13127</v>
      </c>
      <c r="L5125" t="s">
        <v>13459</v>
      </c>
    </row>
    <row r="5126" spans="1:40" x14ac:dyDescent="0.35">
      <c r="A5126">
        <v>7101378</v>
      </c>
      <c r="B5126" t="s">
        <v>13460</v>
      </c>
      <c r="C5126" t="str">
        <f>"9783428174591"</f>
        <v>9783428174591</v>
      </c>
      <c r="D5126" t="str">
        <f>"9783428574599"</f>
        <v>9783428574599</v>
      </c>
      <c r="E5126" t="s">
        <v>12661</v>
      </c>
      <c r="F5126" t="s">
        <v>12661</v>
      </c>
      <c r="G5126" s="1">
        <v>44751</v>
      </c>
      <c r="H5126" s="1">
        <v>44840</v>
      </c>
      <c r="I5126" t="s">
        <v>189</v>
      </c>
      <c r="J5126">
        <v>1</v>
      </c>
      <c r="K5126" t="s">
        <v>13127</v>
      </c>
      <c r="L5126" t="s">
        <v>139</v>
      </c>
    </row>
    <row r="5127" spans="1:40" x14ac:dyDescent="0.35">
      <c r="A5127">
        <v>7101379</v>
      </c>
      <c r="B5127" t="s">
        <v>13461</v>
      </c>
      <c r="C5127" t="str">
        <f>"9783428174607"</f>
        <v>9783428174607</v>
      </c>
      <c r="D5127" t="str">
        <f>"9783428574605"</f>
        <v>9783428574605</v>
      </c>
      <c r="E5127" t="s">
        <v>12661</v>
      </c>
      <c r="F5127" t="s">
        <v>12661</v>
      </c>
      <c r="G5127" s="1">
        <v>44751</v>
      </c>
      <c r="H5127" s="1">
        <v>44840</v>
      </c>
      <c r="I5127" t="s">
        <v>189</v>
      </c>
      <c r="J5127">
        <v>1</v>
      </c>
      <c r="K5127" t="s">
        <v>13127</v>
      </c>
      <c r="L5127" t="s">
        <v>138</v>
      </c>
    </row>
    <row r="5128" spans="1:40" x14ac:dyDescent="0.35">
      <c r="A5128">
        <v>7101380</v>
      </c>
      <c r="B5128" t="s">
        <v>13462</v>
      </c>
      <c r="C5128" t="str">
        <f>"9783428174614"</f>
        <v>9783428174614</v>
      </c>
      <c r="D5128" t="str">
        <f>"9783428574612"</f>
        <v>9783428574612</v>
      </c>
      <c r="E5128" t="s">
        <v>12661</v>
      </c>
      <c r="F5128" t="s">
        <v>12661</v>
      </c>
      <c r="G5128" s="1">
        <v>44751</v>
      </c>
      <c r="H5128" s="1">
        <v>44840</v>
      </c>
      <c r="I5128" t="s">
        <v>189</v>
      </c>
      <c r="J5128">
        <v>1</v>
      </c>
      <c r="K5128" t="s">
        <v>13127</v>
      </c>
      <c r="L5128" t="s">
        <v>139</v>
      </c>
    </row>
    <row r="5129" spans="1:40" x14ac:dyDescent="0.35">
      <c r="A5129">
        <v>7101381</v>
      </c>
      <c r="B5129" t="s">
        <v>13463</v>
      </c>
      <c r="C5129" t="str">
        <f>"9783428174621"</f>
        <v>9783428174621</v>
      </c>
      <c r="D5129" t="str">
        <f>"9783428574629"</f>
        <v>9783428574629</v>
      </c>
      <c r="E5129" t="s">
        <v>12661</v>
      </c>
      <c r="F5129" t="s">
        <v>12661</v>
      </c>
      <c r="G5129" s="1">
        <v>44751</v>
      </c>
      <c r="H5129" s="1">
        <v>44840</v>
      </c>
      <c r="I5129" t="s">
        <v>189</v>
      </c>
      <c r="J5129">
        <v>1</v>
      </c>
      <c r="K5129" t="s">
        <v>13127</v>
      </c>
      <c r="L5129" t="s">
        <v>138</v>
      </c>
    </row>
    <row r="5130" spans="1:40" x14ac:dyDescent="0.35">
      <c r="A5130">
        <v>7101382</v>
      </c>
      <c r="B5130" t="s">
        <v>13464</v>
      </c>
      <c r="C5130" t="str">
        <f>"9783428174638"</f>
        <v>9783428174638</v>
      </c>
      <c r="D5130" t="str">
        <f>"9783428574636"</f>
        <v>9783428574636</v>
      </c>
      <c r="E5130" t="s">
        <v>12661</v>
      </c>
      <c r="F5130" t="s">
        <v>12661</v>
      </c>
      <c r="G5130" s="1">
        <v>44757</v>
      </c>
      <c r="H5130" s="1">
        <v>44840</v>
      </c>
      <c r="I5130" t="s">
        <v>189</v>
      </c>
      <c r="J5130">
        <v>1</v>
      </c>
      <c r="K5130" t="s">
        <v>13127</v>
      </c>
      <c r="L5130" t="s">
        <v>13457</v>
      </c>
    </row>
    <row r="5131" spans="1:40" x14ac:dyDescent="0.35">
      <c r="A5131">
        <v>7101383</v>
      </c>
      <c r="B5131" t="s">
        <v>13465</v>
      </c>
      <c r="C5131" t="str">
        <f>"9783428174645"</f>
        <v>9783428174645</v>
      </c>
      <c r="D5131" t="str">
        <f>"9783428574643"</f>
        <v>9783428574643</v>
      </c>
      <c r="E5131" t="s">
        <v>12661</v>
      </c>
      <c r="F5131" t="s">
        <v>12661</v>
      </c>
      <c r="G5131" s="1">
        <v>44757</v>
      </c>
      <c r="H5131" s="1">
        <v>44840</v>
      </c>
      <c r="I5131" t="s">
        <v>189</v>
      </c>
      <c r="J5131">
        <v>1</v>
      </c>
      <c r="K5131" t="s">
        <v>13127</v>
      </c>
      <c r="L5131" t="s">
        <v>13457</v>
      </c>
    </row>
    <row r="5132" spans="1:40" x14ac:dyDescent="0.35">
      <c r="A5132">
        <v>7101384</v>
      </c>
      <c r="B5132" t="s">
        <v>13466</v>
      </c>
      <c r="C5132" t="str">
        <f>"9783428174652"</f>
        <v>9783428174652</v>
      </c>
      <c r="D5132" t="str">
        <f>"9783428574650"</f>
        <v>9783428574650</v>
      </c>
      <c r="E5132" t="s">
        <v>12661</v>
      </c>
      <c r="F5132" t="s">
        <v>12661</v>
      </c>
      <c r="G5132" s="1">
        <v>44757</v>
      </c>
      <c r="H5132" s="1">
        <v>44840</v>
      </c>
      <c r="I5132" t="s">
        <v>189</v>
      </c>
      <c r="J5132">
        <v>1</v>
      </c>
      <c r="K5132" t="s">
        <v>13127</v>
      </c>
      <c r="L5132" t="s">
        <v>13457</v>
      </c>
    </row>
    <row r="5133" spans="1:40" x14ac:dyDescent="0.35">
      <c r="A5133">
        <v>7101385</v>
      </c>
      <c r="B5133" t="s">
        <v>13467</v>
      </c>
      <c r="C5133" t="str">
        <f>"9783428174669"</f>
        <v>9783428174669</v>
      </c>
      <c r="D5133" t="str">
        <f>"9783428574667"</f>
        <v>9783428574667</v>
      </c>
      <c r="E5133" t="s">
        <v>12661</v>
      </c>
      <c r="F5133" t="s">
        <v>12661</v>
      </c>
      <c r="G5133" s="1">
        <v>44757</v>
      </c>
      <c r="H5133" s="1">
        <v>44840</v>
      </c>
      <c r="I5133" t="s">
        <v>189</v>
      </c>
      <c r="J5133">
        <v>1</v>
      </c>
      <c r="K5133" t="s">
        <v>13127</v>
      </c>
      <c r="L5133" t="s">
        <v>13468</v>
      </c>
      <c r="M5133" t="s">
        <v>282</v>
      </c>
    </row>
    <row r="5134" spans="1:40" x14ac:dyDescent="0.35">
      <c r="A5134">
        <v>7101386</v>
      </c>
      <c r="B5134" t="s">
        <v>13469</v>
      </c>
      <c r="C5134" t="str">
        <f>"9783428174683"</f>
        <v>9783428174683</v>
      </c>
      <c r="D5134" t="str">
        <f>"9783428574681"</f>
        <v>9783428574681</v>
      </c>
      <c r="E5134" t="s">
        <v>12661</v>
      </c>
      <c r="F5134" t="s">
        <v>12661</v>
      </c>
      <c r="G5134" s="1">
        <v>44758</v>
      </c>
      <c r="H5134" s="1">
        <v>44845</v>
      </c>
      <c r="I5134" t="s">
        <v>189</v>
      </c>
      <c r="J5134">
        <v>1</v>
      </c>
      <c r="K5134" t="s">
        <v>13127</v>
      </c>
      <c r="L5134" t="s">
        <v>13140</v>
      </c>
      <c r="M5134" t="s">
        <v>210</v>
      </c>
      <c r="Q5134" t="s">
        <v>408</v>
      </c>
      <c r="R5134" t="s">
        <v>261</v>
      </c>
      <c r="S5134" t="s">
        <v>261</v>
      </c>
      <c r="T5134" t="s">
        <v>261</v>
      </c>
      <c r="U5134" t="s">
        <v>262</v>
      </c>
      <c r="V5134" t="s">
        <v>262</v>
      </c>
      <c r="W5134" t="s">
        <v>261</v>
      </c>
      <c r="X5134" t="s">
        <v>262</v>
      </c>
      <c r="Y5134" t="s">
        <v>261</v>
      </c>
      <c r="AB5134" t="s">
        <v>409</v>
      </c>
      <c r="AC5134" t="s">
        <v>409</v>
      </c>
      <c r="AD5134" t="s">
        <v>261</v>
      </c>
      <c r="AH5134" t="s">
        <v>262</v>
      </c>
      <c r="AI5134" t="s">
        <v>262</v>
      </c>
      <c r="AJ5134" t="s">
        <v>261</v>
      </c>
      <c r="AK5134" t="s">
        <v>261</v>
      </c>
      <c r="AM5134" t="s">
        <v>262</v>
      </c>
      <c r="AN5134" t="s">
        <v>13470</v>
      </c>
    </row>
    <row r="5135" spans="1:40" x14ac:dyDescent="0.35">
      <c r="A5135">
        <v>7101387</v>
      </c>
      <c r="B5135" t="s">
        <v>13471</v>
      </c>
      <c r="C5135" t="str">
        <f>"9783428174676"</f>
        <v>9783428174676</v>
      </c>
      <c r="D5135" t="str">
        <f>"9783428574674"</f>
        <v>9783428574674</v>
      </c>
      <c r="E5135" t="s">
        <v>12661</v>
      </c>
      <c r="F5135" t="s">
        <v>12661</v>
      </c>
      <c r="G5135" s="1">
        <v>44802</v>
      </c>
      <c r="H5135" s="1">
        <v>44840</v>
      </c>
      <c r="I5135" t="s">
        <v>189</v>
      </c>
      <c r="J5135">
        <v>1</v>
      </c>
      <c r="K5135" t="s">
        <v>13127</v>
      </c>
      <c r="L5135" t="s">
        <v>13472</v>
      </c>
    </row>
    <row r="5136" spans="1:40" x14ac:dyDescent="0.35">
      <c r="A5136">
        <v>7101388</v>
      </c>
      <c r="B5136" t="s">
        <v>13473</v>
      </c>
      <c r="C5136" t="str">
        <f>"9783428174690"</f>
        <v>9783428174690</v>
      </c>
      <c r="D5136" t="str">
        <f>"9783428574698"</f>
        <v>9783428574698</v>
      </c>
      <c r="E5136" t="s">
        <v>12661</v>
      </c>
      <c r="F5136" t="s">
        <v>12661</v>
      </c>
      <c r="G5136" s="1">
        <v>44758</v>
      </c>
      <c r="H5136" s="1">
        <v>44840</v>
      </c>
      <c r="I5136" t="s">
        <v>189</v>
      </c>
      <c r="J5136">
        <v>1</v>
      </c>
      <c r="K5136" t="s">
        <v>13127</v>
      </c>
      <c r="L5136" t="s">
        <v>13474</v>
      </c>
    </row>
    <row r="5137" spans="1:40" x14ac:dyDescent="0.35">
      <c r="A5137">
        <v>7101389</v>
      </c>
      <c r="B5137" t="s">
        <v>13475</v>
      </c>
      <c r="C5137" t="str">
        <f>"9783428174706"</f>
        <v>9783428174706</v>
      </c>
      <c r="D5137" t="str">
        <f>"9783428574704"</f>
        <v>9783428574704</v>
      </c>
      <c r="E5137" t="s">
        <v>12661</v>
      </c>
      <c r="F5137" t="s">
        <v>12661</v>
      </c>
      <c r="G5137" s="1">
        <v>44758</v>
      </c>
      <c r="H5137" s="1">
        <v>44840</v>
      </c>
      <c r="I5137" t="s">
        <v>189</v>
      </c>
      <c r="J5137">
        <v>1</v>
      </c>
      <c r="K5137" t="s">
        <v>13127</v>
      </c>
      <c r="L5137" t="s">
        <v>13474</v>
      </c>
    </row>
    <row r="5138" spans="1:40" x14ac:dyDescent="0.35">
      <c r="A5138">
        <v>7101390</v>
      </c>
      <c r="B5138" t="s">
        <v>13476</v>
      </c>
      <c r="C5138" t="str">
        <f>"9783428174713"</f>
        <v>9783428174713</v>
      </c>
      <c r="D5138" t="str">
        <f>"9783428574711"</f>
        <v>9783428574711</v>
      </c>
      <c r="E5138" t="s">
        <v>12661</v>
      </c>
      <c r="F5138" t="s">
        <v>12661</v>
      </c>
      <c r="G5138" s="1">
        <v>44758</v>
      </c>
      <c r="H5138" s="1">
        <v>44840</v>
      </c>
      <c r="I5138" t="s">
        <v>189</v>
      </c>
      <c r="J5138">
        <v>1</v>
      </c>
      <c r="K5138" t="s">
        <v>13127</v>
      </c>
      <c r="L5138" t="s">
        <v>13477</v>
      </c>
      <c r="M5138" t="s">
        <v>249</v>
      </c>
      <c r="Q5138" t="s">
        <v>408</v>
      </c>
      <c r="R5138" t="s">
        <v>261</v>
      </c>
      <c r="S5138" t="s">
        <v>261</v>
      </c>
      <c r="T5138" t="s">
        <v>261</v>
      </c>
      <c r="U5138" t="s">
        <v>262</v>
      </c>
      <c r="V5138" t="s">
        <v>262</v>
      </c>
      <c r="W5138" t="s">
        <v>261</v>
      </c>
      <c r="X5138" t="s">
        <v>262</v>
      </c>
      <c r="Y5138" t="s">
        <v>261</v>
      </c>
      <c r="AB5138" t="s">
        <v>409</v>
      </c>
      <c r="AC5138" t="s">
        <v>409</v>
      </c>
      <c r="AD5138" t="s">
        <v>261</v>
      </c>
      <c r="AH5138" t="s">
        <v>262</v>
      </c>
      <c r="AI5138" t="s">
        <v>262</v>
      </c>
      <c r="AJ5138" t="s">
        <v>261</v>
      </c>
      <c r="AK5138" t="s">
        <v>261</v>
      </c>
      <c r="AM5138" t="s">
        <v>262</v>
      </c>
      <c r="AN5138" t="s">
        <v>13478</v>
      </c>
    </row>
    <row r="5139" spans="1:40" x14ac:dyDescent="0.35">
      <c r="A5139">
        <v>7101391</v>
      </c>
      <c r="B5139" t="s">
        <v>13479</v>
      </c>
      <c r="C5139" t="str">
        <f>"9783428174737"</f>
        <v>9783428174737</v>
      </c>
      <c r="D5139" t="str">
        <f>"9783428574735"</f>
        <v>9783428574735</v>
      </c>
      <c r="E5139" t="s">
        <v>12661</v>
      </c>
      <c r="F5139" t="s">
        <v>12661</v>
      </c>
      <c r="G5139" s="1">
        <v>44758</v>
      </c>
      <c r="H5139" s="1">
        <v>44840</v>
      </c>
      <c r="I5139" t="s">
        <v>189</v>
      </c>
      <c r="J5139">
        <v>1</v>
      </c>
      <c r="K5139" t="s">
        <v>13127</v>
      </c>
      <c r="L5139" t="s">
        <v>13477</v>
      </c>
      <c r="M5139" t="s">
        <v>249</v>
      </c>
      <c r="Q5139" t="s">
        <v>408</v>
      </c>
      <c r="R5139" t="s">
        <v>261</v>
      </c>
      <c r="S5139" t="s">
        <v>261</v>
      </c>
      <c r="T5139" t="s">
        <v>261</v>
      </c>
      <c r="U5139" t="s">
        <v>262</v>
      </c>
      <c r="V5139" t="s">
        <v>262</v>
      </c>
      <c r="W5139" t="s">
        <v>261</v>
      </c>
      <c r="X5139" t="s">
        <v>262</v>
      </c>
      <c r="Y5139" t="s">
        <v>261</v>
      </c>
      <c r="AB5139" t="s">
        <v>409</v>
      </c>
      <c r="AC5139" t="s">
        <v>409</v>
      </c>
      <c r="AD5139" t="s">
        <v>261</v>
      </c>
      <c r="AH5139" t="s">
        <v>262</v>
      </c>
      <c r="AI5139" t="s">
        <v>262</v>
      </c>
      <c r="AJ5139" t="s">
        <v>261</v>
      </c>
      <c r="AK5139" t="s">
        <v>261</v>
      </c>
      <c r="AM5139" t="s">
        <v>262</v>
      </c>
      <c r="AN5139" t="s">
        <v>13480</v>
      </c>
    </row>
    <row r="5140" spans="1:40" x14ac:dyDescent="0.35">
      <c r="A5140">
        <v>7101392</v>
      </c>
      <c r="B5140" t="s">
        <v>13481</v>
      </c>
      <c r="C5140" t="str">
        <f>"9783428174720"</f>
        <v>9783428174720</v>
      </c>
      <c r="D5140" t="str">
        <f>"9783428574728"</f>
        <v>9783428574728</v>
      </c>
      <c r="E5140" t="s">
        <v>12661</v>
      </c>
      <c r="F5140" t="s">
        <v>12661</v>
      </c>
      <c r="G5140" s="1">
        <v>44758</v>
      </c>
      <c r="H5140" s="1">
        <v>44840</v>
      </c>
      <c r="I5140" t="s">
        <v>189</v>
      </c>
      <c r="J5140">
        <v>1</v>
      </c>
      <c r="K5140" t="s">
        <v>13127</v>
      </c>
      <c r="L5140" t="s">
        <v>13477</v>
      </c>
      <c r="M5140" t="s">
        <v>249</v>
      </c>
      <c r="Q5140" t="s">
        <v>408</v>
      </c>
      <c r="R5140" t="s">
        <v>261</v>
      </c>
      <c r="S5140" t="s">
        <v>261</v>
      </c>
      <c r="T5140" t="s">
        <v>261</v>
      </c>
      <c r="U5140" t="s">
        <v>262</v>
      </c>
      <c r="V5140" t="s">
        <v>262</v>
      </c>
      <c r="W5140" t="s">
        <v>261</v>
      </c>
      <c r="X5140" t="s">
        <v>262</v>
      </c>
      <c r="Y5140" t="s">
        <v>261</v>
      </c>
      <c r="AB5140" t="s">
        <v>409</v>
      </c>
      <c r="AC5140" t="s">
        <v>409</v>
      </c>
      <c r="AD5140" t="s">
        <v>261</v>
      </c>
      <c r="AH5140" t="s">
        <v>262</v>
      </c>
      <c r="AI5140" t="s">
        <v>262</v>
      </c>
      <c r="AJ5140" t="s">
        <v>261</v>
      </c>
      <c r="AK5140" t="s">
        <v>261</v>
      </c>
      <c r="AM5140" t="s">
        <v>262</v>
      </c>
      <c r="AN5140" t="s">
        <v>13482</v>
      </c>
    </row>
    <row r="5141" spans="1:40" x14ac:dyDescent="0.35">
      <c r="A5141">
        <v>7101393</v>
      </c>
      <c r="B5141" t="s">
        <v>13483</v>
      </c>
      <c r="C5141" t="str">
        <f>"9783428174782"</f>
        <v>9783428174782</v>
      </c>
      <c r="D5141" t="str">
        <f>"9783428574780"</f>
        <v>9783428574780</v>
      </c>
      <c r="E5141" t="s">
        <v>12661</v>
      </c>
      <c r="F5141" t="s">
        <v>12661</v>
      </c>
      <c r="G5141" s="1">
        <v>44758</v>
      </c>
      <c r="H5141" s="1">
        <v>44840</v>
      </c>
      <c r="I5141" t="s">
        <v>189</v>
      </c>
      <c r="J5141">
        <v>1</v>
      </c>
      <c r="K5141" t="s">
        <v>13127</v>
      </c>
      <c r="L5141" t="s">
        <v>13477</v>
      </c>
      <c r="M5141" t="s">
        <v>282</v>
      </c>
      <c r="Q5141" t="s">
        <v>408</v>
      </c>
      <c r="R5141" t="s">
        <v>261</v>
      </c>
      <c r="S5141" t="s">
        <v>261</v>
      </c>
      <c r="T5141" t="s">
        <v>261</v>
      </c>
      <c r="U5141" t="s">
        <v>262</v>
      </c>
      <c r="V5141" t="s">
        <v>262</v>
      </c>
      <c r="W5141" t="s">
        <v>261</v>
      </c>
      <c r="X5141" t="s">
        <v>262</v>
      </c>
      <c r="Y5141" t="s">
        <v>261</v>
      </c>
      <c r="AB5141" t="s">
        <v>409</v>
      </c>
      <c r="AC5141" t="s">
        <v>409</v>
      </c>
      <c r="AD5141" t="s">
        <v>261</v>
      </c>
      <c r="AH5141" t="s">
        <v>262</v>
      </c>
      <c r="AI5141" t="s">
        <v>262</v>
      </c>
      <c r="AJ5141" t="s">
        <v>261</v>
      </c>
      <c r="AK5141" t="s">
        <v>261</v>
      </c>
      <c r="AM5141" t="s">
        <v>262</v>
      </c>
      <c r="AN5141" t="s">
        <v>13484</v>
      </c>
    </row>
    <row r="5142" spans="1:40" x14ac:dyDescent="0.35">
      <c r="A5142">
        <v>7101394</v>
      </c>
      <c r="B5142" t="s">
        <v>13485</v>
      </c>
      <c r="C5142" t="str">
        <f>"9783428174799"</f>
        <v>9783428174799</v>
      </c>
      <c r="D5142" t="str">
        <f>"9783428574797"</f>
        <v>9783428574797</v>
      </c>
      <c r="E5142" t="s">
        <v>12661</v>
      </c>
      <c r="F5142" t="s">
        <v>12661</v>
      </c>
      <c r="G5142" s="1">
        <v>44758</v>
      </c>
      <c r="H5142" s="1">
        <v>44840</v>
      </c>
      <c r="I5142" t="s">
        <v>189</v>
      </c>
      <c r="J5142">
        <v>1</v>
      </c>
      <c r="K5142" t="s">
        <v>13127</v>
      </c>
      <c r="L5142" t="s">
        <v>13477</v>
      </c>
      <c r="M5142" t="s">
        <v>282</v>
      </c>
      <c r="Q5142" t="s">
        <v>408</v>
      </c>
      <c r="R5142" t="s">
        <v>261</v>
      </c>
      <c r="S5142" t="s">
        <v>261</v>
      </c>
      <c r="T5142" t="s">
        <v>261</v>
      </c>
      <c r="U5142" t="s">
        <v>262</v>
      </c>
      <c r="V5142" t="s">
        <v>262</v>
      </c>
      <c r="W5142" t="s">
        <v>261</v>
      </c>
      <c r="X5142" t="s">
        <v>262</v>
      </c>
      <c r="Y5142" t="s">
        <v>261</v>
      </c>
      <c r="AB5142" t="s">
        <v>409</v>
      </c>
      <c r="AC5142" t="s">
        <v>409</v>
      </c>
      <c r="AD5142" t="s">
        <v>261</v>
      </c>
      <c r="AH5142" t="s">
        <v>262</v>
      </c>
      <c r="AI5142" t="s">
        <v>262</v>
      </c>
      <c r="AJ5142" t="s">
        <v>261</v>
      </c>
      <c r="AK5142" t="s">
        <v>261</v>
      </c>
      <c r="AM5142" t="s">
        <v>262</v>
      </c>
      <c r="AN5142" t="s">
        <v>13486</v>
      </c>
    </row>
    <row r="5143" spans="1:40" x14ac:dyDescent="0.35">
      <c r="A5143">
        <v>7101395</v>
      </c>
      <c r="B5143" t="s">
        <v>13487</v>
      </c>
      <c r="C5143" t="str">
        <f>"9783428174805"</f>
        <v>9783428174805</v>
      </c>
      <c r="D5143" t="str">
        <f>"9783428574803"</f>
        <v>9783428574803</v>
      </c>
      <c r="E5143" t="s">
        <v>12661</v>
      </c>
      <c r="F5143" t="s">
        <v>12661</v>
      </c>
      <c r="G5143" s="1">
        <v>44757</v>
      </c>
      <c r="H5143" s="1">
        <v>44840</v>
      </c>
      <c r="I5143" t="s">
        <v>189</v>
      </c>
      <c r="J5143">
        <v>1</v>
      </c>
      <c r="K5143" t="s">
        <v>13127</v>
      </c>
      <c r="L5143" t="s">
        <v>13477</v>
      </c>
    </row>
    <row r="5144" spans="1:40" x14ac:dyDescent="0.35">
      <c r="A5144">
        <v>7101396</v>
      </c>
      <c r="B5144" t="s">
        <v>13488</v>
      </c>
      <c r="C5144" t="str">
        <f>"9783428174812"</f>
        <v>9783428174812</v>
      </c>
      <c r="D5144" t="str">
        <f>"9783428574810"</f>
        <v>9783428574810</v>
      </c>
      <c r="E5144" t="s">
        <v>12661</v>
      </c>
      <c r="F5144" t="s">
        <v>12661</v>
      </c>
      <c r="G5144" s="1">
        <v>44757</v>
      </c>
      <c r="H5144" s="1">
        <v>44845</v>
      </c>
      <c r="I5144" t="s">
        <v>189</v>
      </c>
      <c r="J5144">
        <v>1</v>
      </c>
      <c r="K5144" t="s">
        <v>13127</v>
      </c>
      <c r="L5144" t="s">
        <v>13140</v>
      </c>
      <c r="M5144" t="s">
        <v>249</v>
      </c>
    </row>
    <row r="5145" spans="1:40" x14ac:dyDescent="0.35">
      <c r="A5145">
        <v>7101397</v>
      </c>
      <c r="B5145" t="s">
        <v>13489</v>
      </c>
      <c r="C5145" t="str">
        <f>"9783428174829"</f>
        <v>9783428174829</v>
      </c>
      <c r="D5145" t="str">
        <f>"9783428574827"</f>
        <v>9783428574827</v>
      </c>
      <c r="E5145" t="s">
        <v>12661</v>
      </c>
      <c r="F5145" t="s">
        <v>12661</v>
      </c>
      <c r="G5145" s="1">
        <v>44757</v>
      </c>
      <c r="H5145" s="1">
        <v>44840</v>
      </c>
      <c r="I5145" t="s">
        <v>189</v>
      </c>
      <c r="J5145">
        <v>1</v>
      </c>
      <c r="K5145" t="s">
        <v>13127</v>
      </c>
      <c r="L5145" t="s">
        <v>13490</v>
      </c>
      <c r="M5145" t="s">
        <v>210</v>
      </c>
    </row>
    <row r="5146" spans="1:40" x14ac:dyDescent="0.35">
      <c r="A5146">
        <v>7101398</v>
      </c>
      <c r="B5146" t="s">
        <v>13491</v>
      </c>
      <c r="C5146" t="str">
        <f>"9783428174836"</f>
        <v>9783428174836</v>
      </c>
      <c r="D5146" t="str">
        <f>"9783428574834"</f>
        <v>9783428574834</v>
      </c>
      <c r="E5146" t="s">
        <v>12661</v>
      </c>
      <c r="F5146" t="s">
        <v>12661</v>
      </c>
      <c r="G5146" s="1">
        <v>44757</v>
      </c>
      <c r="H5146" s="1">
        <v>44845</v>
      </c>
      <c r="I5146" t="s">
        <v>189</v>
      </c>
      <c r="J5146">
        <v>1</v>
      </c>
      <c r="K5146" t="s">
        <v>13127</v>
      </c>
      <c r="L5146" t="s">
        <v>13140</v>
      </c>
      <c r="M5146" t="s">
        <v>323</v>
      </c>
    </row>
    <row r="5147" spans="1:40" x14ac:dyDescent="0.35">
      <c r="A5147">
        <v>7101399</v>
      </c>
      <c r="B5147" t="s">
        <v>13492</v>
      </c>
      <c r="C5147" t="str">
        <f>"9783428174874"</f>
        <v>9783428174874</v>
      </c>
      <c r="D5147" t="str">
        <f>"9783428574872"</f>
        <v>9783428574872</v>
      </c>
      <c r="E5147" t="s">
        <v>12661</v>
      </c>
      <c r="F5147" t="s">
        <v>12661</v>
      </c>
      <c r="G5147" s="1">
        <v>44757</v>
      </c>
      <c r="H5147" s="1">
        <v>44840</v>
      </c>
      <c r="I5147" t="s">
        <v>189</v>
      </c>
      <c r="J5147">
        <v>1</v>
      </c>
      <c r="K5147" t="s">
        <v>13127</v>
      </c>
      <c r="L5147" t="s">
        <v>13493</v>
      </c>
    </row>
    <row r="5148" spans="1:40" x14ac:dyDescent="0.35">
      <c r="A5148">
        <v>7101400</v>
      </c>
      <c r="B5148" t="s">
        <v>13494</v>
      </c>
      <c r="C5148" t="str">
        <f>"9783428174850"</f>
        <v>9783428174850</v>
      </c>
      <c r="D5148" t="str">
        <f>"9783428574858"</f>
        <v>9783428574858</v>
      </c>
      <c r="E5148" t="s">
        <v>12661</v>
      </c>
      <c r="F5148" t="s">
        <v>12661</v>
      </c>
      <c r="G5148" s="1">
        <v>44757</v>
      </c>
      <c r="H5148" s="1">
        <v>44845</v>
      </c>
      <c r="I5148" t="s">
        <v>189</v>
      </c>
      <c r="J5148">
        <v>1</v>
      </c>
      <c r="K5148" t="s">
        <v>13127</v>
      </c>
      <c r="L5148" t="s">
        <v>13140</v>
      </c>
      <c r="M5148" t="s">
        <v>282</v>
      </c>
    </row>
    <row r="5149" spans="1:40" x14ac:dyDescent="0.35">
      <c r="A5149">
        <v>7101401</v>
      </c>
      <c r="B5149" t="s">
        <v>13495</v>
      </c>
      <c r="C5149" t="str">
        <f>"9783428174898"</f>
        <v>9783428174898</v>
      </c>
      <c r="D5149" t="str">
        <f>"9783428574896"</f>
        <v>9783428574896</v>
      </c>
      <c r="E5149" t="s">
        <v>12661</v>
      </c>
      <c r="F5149" t="s">
        <v>12661</v>
      </c>
      <c r="G5149" s="1">
        <v>44769</v>
      </c>
      <c r="H5149" s="1">
        <v>44840</v>
      </c>
      <c r="I5149" t="s">
        <v>189</v>
      </c>
      <c r="J5149">
        <v>1</v>
      </c>
      <c r="K5149" t="s">
        <v>13127</v>
      </c>
      <c r="L5149" t="s">
        <v>140</v>
      </c>
    </row>
    <row r="5150" spans="1:40" x14ac:dyDescent="0.35">
      <c r="A5150">
        <v>7101402</v>
      </c>
      <c r="B5150" t="s">
        <v>13496</v>
      </c>
      <c r="C5150" t="str">
        <f>"9783428174881"</f>
        <v>9783428174881</v>
      </c>
      <c r="D5150" t="str">
        <f>"9783428574889"</f>
        <v>9783428574889</v>
      </c>
      <c r="E5150" t="s">
        <v>12661</v>
      </c>
      <c r="F5150" t="s">
        <v>12661</v>
      </c>
      <c r="G5150" s="1">
        <v>44757</v>
      </c>
      <c r="H5150" s="1">
        <v>44840</v>
      </c>
      <c r="I5150" t="s">
        <v>189</v>
      </c>
      <c r="J5150">
        <v>1</v>
      </c>
      <c r="K5150" t="s">
        <v>13127</v>
      </c>
      <c r="L5150" t="s">
        <v>140</v>
      </c>
    </row>
    <row r="5151" spans="1:40" x14ac:dyDescent="0.35">
      <c r="A5151">
        <v>7101403</v>
      </c>
      <c r="B5151" t="s">
        <v>13497</v>
      </c>
      <c r="C5151" t="str">
        <f>"9783428174904"</f>
        <v>9783428174904</v>
      </c>
      <c r="D5151" t="str">
        <f>"9783428574902"</f>
        <v>9783428574902</v>
      </c>
      <c r="E5151" t="s">
        <v>12661</v>
      </c>
      <c r="F5151" t="s">
        <v>12661</v>
      </c>
      <c r="G5151" s="1">
        <v>44757</v>
      </c>
      <c r="H5151" s="1">
        <v>44840</v>
      </c>
      <c r="I5151" t="s">
        <v>189</v>
      </c>
      <c r="J5151">
        <v>1</v>
      </c>
      <c r="K5151" t="s">
        <v>13127</v>
      </c>
      <c r="L5151" t="s">
        <v>140</v>
      </c>
    </row>
    <row r="5152" spans="1:40" x14ac:dyDescent="0.35">
      <c r="A5152">
        <v>7101404</v>
      </c>
      <c r="B5152" t="s">
        <v>13498</v>
      </c>
      <c r="C5152" t="str">
        <f>"9783428174911"</f>
        <v>9783428174911</v>
      </c>
      <c r="D5152" t="str">
        <f>"9783428574919"</f>
        <v>9783428574919</v>
      </c>
      <c r="E5152" t="s">
        <v>12661</v>
      </c>
      <c r="F5152" t="s">
        <v>12661</v>
      </c>
      <c r="G5152" s="1">
        <v>44757</v>
      </c>
      <c r="H5152" s="1">
        <v>44840</v>
      </c>
      <c r="I5152" t="s">
        <v>189</v>
      </c>
      <c r="J5152">
        <v>1</v>
      </c>
      <c r="K5152" t="s">
        <v>13127</v>
      </c>
      <c r="L5152" t="s">
        <v>142</v>
      </c>
    </row>
    <row r="5153" spans="1:40" x14ac:dyDescent="0.35">
      <c r="A5153">
        <v>7101405</v>
      </c>
      <c r="B5153" t="s">
        <v>13499</v>
      </c>
      <c r="C5153" t="str">
        <f>"9783428174935"</f>
        <v>9783428174935</v>
      </c>
      <c r="D5153" t="str">
        <f>"9783428574933"</f>
        <v>9783428574933</v>
      </c>
      <c r="E5153" t="s">
        <v>12661</v>
      </c>
      <c r="F5153" t="s">
        <v>12661</v>
      </c>
      <c r="G5153" s="1">
        <v>44769</v>
      </c>
      <c r="H5153" s="1">
        <v>44840</v>
      </c>
      <c r="I5153" t="s">
        <v>189</v>
      </c>
      <c r="J5153">
        <v>1</v>
      </c>
      <c r="K5153" t="s">
        <v>13127</v>
      </c>
      <c r="L5153" t="s">
        <v>13428</v>
      </c>
    </row>
    <row r="5154" spans="1:40" x14ac:dyDescent="0.35">
      <c r="A5154">
        <v>7101406</v>
      </c>
      <c r="B5154" t="s">
        <v>13500</v>
      </c>
      <c r="C5154" t="str">
        <f>"9783428174959"</f>
        <v>9783428174959</v>
      </c>
      <c r="D5154" t="str">
        <f>"9783428574957"</f>
        <v>9783428574957</v>
      </c>
      <c r="E5154" t="s">
        <v>12661</v>
      </c>
      <c r="F5154" t="s">
        <v>12661</v>
      </c>
      <c r="G5154" s="1">
        <v>44769</v>
      </c>
      <c r="H5154" s="1">
        <v>44840</v>
      </c>
      <c r="I5154" t="s">
        <v>189</v>
      </c>
      <c r="J5154">
        <v>1</v>
      </c>
      <c r="K5154" t="s">
        <v>13127</v>
      </c>
      <c r="L5154" t="s">
        <v>13501</v>
      </c>
    </row>
    <row r="5155" spans="1:40" x14ac:dyDescent="0.35">
      <c r="A5155">
        <v>7101407</v>
      </c>
      <c r="B5155" t="s">
        <v>13502</v>
      </c>
      <c r="C5155" t="str">
        <f>"9783428174966"</f>
        <v>9783428174966</v>
      </c>
      <c r="D5155" t="str">
        <f>"9783428574964"</f>
        <v>9783428574964</v>
      </c>
      <c r="E5155" t="s">
        <v>12661</v>
      </c>
      <c r="F5155" t="s">
        <v>12661</v>
      </c>
      <c r="G5155" s="1">
        <v>44757</v>
      </c>
      <c r="H5155" s="1">
        <v>44840</v>
      </c>
      <c r="I5155" t="s">
        <v>189</v>
      </c>
      <c r="J5155">
        <v>1</v>
      </c>
      <c r="K5155" t="s">
        <v>13127</v>
      </c>
      <c r="L5155" t="s">
        <v>13501</v>
      </c>
    </row>
    <row r="5156" spans="1:40" x14ac:dyDescent="0.35">
      <c r="A5156">
        <v>7101408</v>
      </c>
      <c r="B5156" t="s">
        <v>13503</v>
      </c>
      <c r="C5156" t="str">
        <f>"9783428174973"</f>
        <v>9783428174973</v>
      </c>
      <c r="D5156" t="str">
        <f>"9783428574971"</f>
        <v>9783428574971</v>
      </c>
      <c r="E5156" t="s">
        <v>12661</v>
      </c>
      <c r="F5156" t="s">
        <v>12661</v>
      </c>
      <c r="G5156" s="1">
        <v>44757</v>
      </c>
      <c r="H5156" s="1">
        <v>44840</v>
      </c>
      <c r="I5156" t="s">
        <v>189</v>
      </c>
      <c r="J5156">
        <v>1</v>
      </c>
      <c r="K5156" t="s">
        <v>13127</v>
      </c>
      <c r="L5156" t="s">
        <v>141</v>
      </c>
    </row>
    <row r="5157" spans="1:40" x14ac:dyDescent="0.35">
      <c r="A5157">
        <v>7101409</v>
      </c>
      <c r="B5157" t="s">
        <v>13504</v>
      </c>
      <c r="C5157" t="str">
        <f>"9783428174980"</f>
        <v>9783428174980</v>
      </c>
      <c r="D5157" t="str">
        <f>"9783428574988"</f>
        <v>9783428574988</v>
      </c>
      <c r="E5157" t="s">
        <v>12661</v>
      </c>
      <c r="F5157" t="s">
        <v>12661</v>
      </c>
      <c r="G5157" s="1">
        <v>44758</v>
      </c>
      <c r="H5157" s="1">
        <v>44840</v>
      </c>
      <c r="I5157" t="s">
        <v>189</v>
      </c>
      <c r="J5157">
        <v>1</v>
      </c>
      <c r="K5157" t="s">
        <v>13127</v>
      </c>
      <c r="L5157" t="s">
        <v>143</v>
      </c>
    </row>
    <row r="5158" spans="1:40" x14ac:dyDescent="0.35">
      <c r="A5158">
        <v>7101410</v>
      </c>
      <c r="B5158" t="s">
        <v>13505</v>
      </c>
      <c r="C5158" t="str">
        <f>"9783428174997"</f>
        <v>9783428174997</v>
      </c>
      <c r="D5158" t="str">
        <f>"9783428574995"</f>
        <v>9783428574995</v>
      </c>
      <c r="E5158" t="s">
        <v>12661</v>
      </c>
      <c r="F5158" t="s">
        <v>12661</v>
      </c>
      <c r="G5158" s="1">
        <v>44757</v>
      </c>
      <c r="H5158" s="1">
        <v>44840</v>
      </c>
      <c r="I5158" t="s">
        <v>189</v>
      </c>
      <c r="J5158">
        <v>1</v>
      </c>
      <c r="K5158" t="s">
        <v>13127</v>
      </c>
      <c r="L5158" t="s">
        <v>13506</v>
      </c>
      <c r="M5158" t="s">
        <v>282</v>
      </c>
    </row>
    <row r="5159" spans="1:40" x14ac:dyDescent="0.35">
      <c r="A5159">
        <v>7101411</v>
      </c>
      <c r="B5159" t="s">
        <v>13507</v>
      </c>
      <c r="C5159" t="str">
        <f>"9783428175000"</f>
        <v>9783428175000</v>
      </c>
      <c r="D5159" t="str">
        <f>"9783428575008"</f>
        <v>9783428575008</v>
      </c>
      <c r="E5159" t="s">
        <v>12661</v>
      </c>
      <c r="F5159" t="s">
        <v>12661</v>
      </c>
      <c r="G5159" s="1">
        <v>44758</v>
      </c>
      <c r="H5159" s="1">
        <v>44845</v>
      </c>
      <c r="I5159" t="s">
        <v>189</v>
      </c>
      <c r="J5159">
        <v>1</v>
      </c>
      <c r="K5159" t="s">
        <v>13127</v>
      </c>
      <c r="L5159" t="s">
        <v>13140</v>
      </c>
      <c r="M5159" t="s">
        <v>210</v>
      </c>
    </row>
    <row r="5160" spans="1:40" x14ac:dyDescent="0.35">
      <c r="A5160">
        <v>7101412</v>
      </c>
      <c r="B5160" t="s">
        <v>13508</v>
      </c>
      <c r="C5160" t="str">
        <f>"9783428175017"</f>
        <v>9783428175017</v>
      </c>
      <c r="D5160" t="str">
        <f>"9783428575015"</f>
        <v>9783428575015</v>
      </c>
      <c r="E5160" t="s">
        <v>12661</v>
      </c>
      <c r="F5160" t="s">
        <v>12661</v>
      </c>
      <c r="G5160" s="1">
        <v>44758</v>
      </c>
      <c r="H5160" s="1">
        <v>44840</v>
      </c>
      <c r="I5160" t="s">
        <v>189</v>
      </c>
      <c r="J5160">
        <v>1</v>
      </c>
      <c r="K5160" t="s">
        <v>13127</v>
      </c>
      <c r="L5160" t="s">
        <v>13428</v>
      </c>
      <c r="M5160" t="s">
        <v>210</v>
      </c>
      <c r="Q5160" t="s">
        <v>408</v>
      </c>
      <c r="R5160" t="s">
        <v>261</v>
      </c>
      <c r="S5160" t="s">
        <v>261</v>
      </c>
      <c r="T5160" t="s">
        <v>261</v>
      </c>
      <c r="U5160" t="s">
        <v>262</v>
      </c>
      <c r="V5160" t="s">
        <v>262</v>
      </c>
      <c r="W5160" t="s">
        <v>261</v>
      </c>
      <c r="X5160" t="s">
        <v>262</v>
      </c>
      <c r="Y5160" t="s">
        <v>261</v>
      </c>
      <c r="AB5160" t="s">
        <v>409</v>
      </c>
      <c r="AC5160" t="s">
        <v>409</v>
      </c>
      <c r="AD5160" t="s">
        <v>261</v>
      </c>
      <c r="AH5160" t="s">
        <v>262</v>
      </c>
      <c r="AI5160" t="s">
        <v>262</v>
      </c>
      <c r="AJ5160" t="s">
        <v>261</v>
      </c>
      <c r="AK5160" t="s">
        <v>261</v>
      </c>
      <c r="AM5160" t="s">
        <v>262</v>
      </c>
      <c r="AN5160" t="s">
        <v>13509</v>
      </c>
    </row>
    <row r="5161" spans="1:40" x14ac:dyDescent="0.35">
      <c r="A5161">
        <v>7101413</v>
      </c>
      <c r="B5161" t="s">
        <v>13510</v>
      </c>
      <c r="C5161" t="str">
        <f>"9783428175024"</f>
        <v>9783428175024</v>
      </c>
      <c r="D5161" t="str">
        <f>"9783428575022"</f>
        <v>9783428575022</v>
      </c>
      <c r="E5161" t="s">
        <v>12661</v>
      </c>
      <c r="F5161" t="s">
        <v>12661</v>
      </c>
      <c r="G5161" s="1">
        <v>44758</v>
      </c>
      <c r="H5161" s="1">
        <v>44840</v>
      </c>
      <c r="I5161" t="s">
        <v>189</v>
      </c>
      <c r="J5161">
        <v>1</v>
      </c>
      <c r="K5161" t="s">
        <v>13127</v>
      </c>
      <c r="L5161" t="s">
        <v>13428</v>
      </c>
      <c r="M5161" t="s">
        <v>210</v>
      </c>
      <c r="Q5161" t="s">
        <v>408</v>
      </c>
      <c r="R5161" t="s">
        <v>261</v>
      </c>
      <c r="S5161" t="s">
        <v>261</v>
      </c>
      <c r="T5161" t="s">
        <v>261</v>
      </c>
      <c r="U5161" t="s">
        <v>262</v>
      </c>
      <c r="V5161" t="s">
        <v>262</v>
      </c>
      <c r="W5161" t="s">
        <v>261</v>
      </c>
      <c r="X5161" t="s">
        <v>262</v>
      </c>
      <c r="Y5161" t="s">
        <v>261</v>
      </c>
      <c r="AB5161" t="s">
        <v>409</v>
      </c>
      <c r="AC5161" t="s">
        <v>409</v>
      </c>
      <c r="AD5161" t="s">
        <v>261</v>
      </c>
      <c r="AH5161" t="s">
        <v>262</v>
      </c>
      <c r="AI5161" t="s">
        <v>262</v>
      </c>
      <c r="AJ5161" t="s">
        <v>261</v>
      </c>
      <c r="AK5161" t="s">
        <v>261</v>
      </c>
      <c r="AM5161" t="s">
        <v>262</v>
      </c>
      <c r="AN5161" t="s">
        <v>13511</v>
      </c>
    </row>
    <row r="5162" spans="1:40" x14ac:dyDescent="0.35">
      <c r="A5162">
        <v>7101414</v>
      </c>
      <c r="B5162" t="s">
        <v>13512</v>
      </c>
      <c r="C5162" t="str">
        <f>"9783428175031"</f>
        <v>9783428175031</v>
      </c>
      <c r="D5162" t="str">
        <f>"9783428575039"</f>
        <v>9783428575039</v>
      </c>
      <c r="E5162" t="s">
        <v>12661</v>
      </c>
      <c r="F5162" t="s">
        <v>12661</v>
      </c>
      <c r="G5162" s="1">
        <v>44758</v>
      </c>
      <c r="H5162" s="1">
        <v>44840</v>
      </c>
      <c r="I5162" t="s">
        <v>189</v>
      </c>
      <c r="J5162">
        <v>1</v>
      </c>
      <c r="K5162" t="s">
        <v>13127</v>
      </c>
      <c r="L5162" t="s">
        <v>13428</v>
      </c>
      <c r="M5162" t="s">
        <v>210</v>
      </c>
      <c r="Q5162" t="s">
        <v>408</v>
      </c>
      <c r="R5162" t="s">
        <v>261</v>
      </c>
      <c r="S5162" t="s">
        <v>261</v>
      </c>
      <c r="T5162" t="s">
        <v>261</v>
      </c>
      <c r="U5162" t="s">
        <v>262</v>
      </c>
      <c r="V5162" t="s">
        <v>262</v>
      </c>
      <c r="W5162" t="s">
        <v>261</v>
      </c>
      <c r="X5162" t="s">
        <v>262</v>
      </c>
      <c r="Y5162" t="s">
        <v>261</v>
      </c>
      <c r="AB5162" t="s">
        <v>409</v>
      </c>
      <c r="AC5162" t="s">
        <v>409</v>
      </c>
      <c r="AD5162" t="s">
        <v>261</v>
      </c>
      <c r="AH5162" t="s">
        <v>262</v>
      </c>
      <c r="AI5162" t="s">
        <v>262</v>
      </c>
      <c r="AJ5162" t="s">
        <v>261</v>
      </c>
      <c r="AK5162" t="s">
        <v>261</v>
      </c>
      <c r="AM5162" t="s">
        <v>262</v>
      </c>
      <c r="AN5162" t="s">
        <v>13513</v>
      </c>
    </row>
    <row r="5163" spans="1:40" x14ac:dyDescent="0.35">
      <c r="A5163">
        <v>7101415</v>
      </c>
      <c r="B5163" t="s">
        <v>13514</v>
      </c>
      <c r="C5163" t="str">
        <f>"9783428175048"</f>
        <v>9783428175048</v>
      </c>
      <c r="D5163" t="str">
        <f>"9783428575046"</f>
        <v>9783428575046</v>
      </c>
      <c r="E5163" t="s">
        <v>12661</v>
      </c>
      <c r="F5163" t="s">
        <v>12661</v>
      </c>
      <c r="G5163" s="1">
        <v>44758</v>
      </c>
      <c r="H5163" s="1">
        <v>44840</v>
      </c>
      <c r="I5163" t="s">
        <v>189</v>
      </c>
      <c r="J5163">
        <v>1</v>
      </c>
      <c r="K5163" t="s">
        <v>13127</v>
      </c>
      <c r="L5163" t="s">
        <v>13428</v>
      </c>
      <c r="M5163" t="s">
        <v>210</v>
      </c>
      <c r="Q5163" t="s">
        <v>408</v>
      </c>
      <c r="R5163" t="s">
        <v>261</v>
      </c>
      <c r="S5163" t="s">
        <v>261</v>
      </c>
      <c r="T5163" t="s">
        <v>261</v>
      </c>
      <c r="U5163" t="s">
        <v>262</v>
      </c>
      <c r="V5163" t="s">
        <v>262</v>
      </c>
      <c r="W5163" t="s">
        <v>261</v>
      </c>
      <c r="X5163" t="s">
        <v>262</v>
      </c>
      <c r="Y5163" t="s">
        <v>261</v>
      </c>
      <c r="AB5163" t="s">
        <v>409</v>
      </c>
      <c r="AC5163" t="s">
        <v>409</v>
      </c>
      <c r="AD5163" t="s">
        <v>261</v>
      </c>
      <c r="AH5163" t="s">
        <v>262</v>
      </c>
      <c r="AI5163" t="s">
        <v>262</v>
      </c>
      <c r="AJ5163" t="s">
        <v>261</v>
      </c>
      <c r="AK5163" t="s">
        <v>261</v>
      </c>
      <c r="AM5163" t="s">
        <v>262</v>
      </c>
      <c r="AN5163" t="s">
        <v>13515</v>
      </c>
    </row>
    <row r="5164" spans="1:40" x14ac:dyDescent="0.35">
      <c r="A5164">
        <v>7101416</v>
      </c>
      <c r="B5164" t="s">
        <v>13516</v>
      </c>
      <c r="C5164" t="str">
        <f>"9783428175055"</f>
        <v>9783428175055</v>
      </c>
      <c r="D5164" t="str">
        <f>"9783428575053"</f>
        <v>9783428575053</v>
      </c>
      <c r="E5164" t="s">
        <v>12661</v>
      </c>
      <c r="F5164" t="s">
        <v>12661</v>
      </c>
      <c r="G5164" s="1">
        <v>44769</v>
      </c>
      <c r="H5164" s="1">
        <v>44840</v>
      </c>
      <c r="I5164" t="s">
        <v>189</v>
      </c>
      <c r="J5164">
        <v>1</v>
      </c>
      <c r="K5164" t="s">
        <v>13127</v>
      </c>
      <c r="L5164" t="s">
        <v>13131</v>
      </c>
      <c r="M5164" t="s">
        <v>249</v>
      </c>
    </row>
    <row r="5165" spans="1:40" x14ac:dyDescent="0.35">
      <c r="A5165">
        <v>7101417</v>
      </c>
      <c r="B5165" t="s">
        <v>13517</v>
      </c>
      <c r="C5165" t="str">
        <f>"9783428175062"</f>
        <v>9783428175062</v>
      </c>
      <c r="D5165" t="str">
        <f>"9783428575060"</f>
        <v>9783428575060</v>
      </c>
      <c r="E5165" t="s">
        <v>12661</v>
      </c>
      <c r="F5165" t="s">
        <v>12661</v>
      </c>
      <c r="G5165" s="1">
        <v>44769</v>
      </c>
      <c r="H5165" s="1">
        <v>44840</v>
      </c>
      <c r="I5165" t="s">
        <v>189</v>
      </c>
      <c r="J5165">
        <v>1</v>
      </c>
      <c r="K5165" t="s">
        <v>13127</v>
      </c>
      <c r="L5165" t="s">
        <v>141</v>
      </c>
      <c r="M5165" t="s">
        <v>282</v>
      </c>
      <c r="Q5165" t="s">
        <v>408</v>
      </c>
      <c r="R5165" t="s">
        <v>261</v>
      </c>
      <c r="S5165" t="s">
        <v>261</v>
      </c>
      <c r="T5165" t="s">
        <v>261</v>
      </c>
      <c r="U5165" t="s">
        <v>262</v>
      </c>
      <c r="V5165" t="s">
        <v>262</v>
      </c>
      <c r="W5165" t="s">
        <v>261</v>
      </c>
      <c r="X5165" t="s">
        <v>262</v>
      </c>
      <c r="Y5165" t="s">
        <v>261</v>
      </c>
      <c r="AB5165" t="s">
        <v>409</v>
      </c>
      <c r="AC5165" t="s">
        <v>409</v>
      </c>
      <c r="AD5165" t="s">
        <v>261</v>
      </c>
      <c r="AH5165" t="s">
        <v>262</v>
      </c>
      <c r="AI5165" t="s">
        <v>262</v>
      </c>
      <c r="AJ5165" t="s">
        <v>261</v>
      </c>
      <c r="AK5165" t="s">
        <v>261</v>
      </c>
      <c r="AM5165" t="s">
        <v>262</v>
      </c>
      <c r="AN5165" t="s">
        <v>13518</v>
      </c>
    </row>
    <row r="5166" spans="1:40" x14ac:dyDescent="0.35">
      <c r="A5166">
        <v>7101418</v>
      </c>
      <c r="B5166" t="s">
        <v>13519</v>
      </c>
      <c r="C5166" t="str">
        <f>"9783428175079"</f>
        <v>9783428175079</v>
      </c>
      <c r="D5166" t="str">
        <f>"9783428575077"</f>
        <v>9783428575077</v>
      </c>
      <c r="E5166" t="s">
        <v>12661</v>
      </c>
      <c r="F5166" t="s">
        <v>12661</v>
      </c>
      <c r="G5166" s="1">
        <v>44769</v>
      </c>
      <c r="H5166" s="1">
        <v>44840</v>
      </c>
      <c r="I5166" t="s">
        <v>189</v>
      </c>
      <c r="J5166">
        <v>1</v>
      </c>
      <c r="K5166" t="s">
        <v>13127</v>
      </c>
      <c r="L5166" t="s">
        <v>141</v>
      </c>
      <c r="M5166" t="s">
        <v>282</v>
      </c>
      <c r="Q5166" t="s">
        <v>408</v>
      </c>
      <c r="R5166" t="s">
        <v>261</v>
      </c>
      <c r="S5166" t="s">
        <v>261</v>
      </c>
      <c r="T5166" t="s">
        <v>261</v>
      </c>
      <c r="U5166" t="s">
        <v>262</v>
      </c>
      <c r="V5166" t="s">
        <v>262</v>
      </c>
      <c r="W5166" t="s">
        <v>261</v>
      </c>
      <c r="X5166" t="s">
        <v>262</v>
      </c>
      <c r="Y5166" t="s">
        <v>261</v>
      </c>
      <c r="AB5166" t="s">
        <v>409</v>
      </c>
      <c r="AC5166" t="s">
        <v>409</v>
      </c>
      <c r="AD5166" t="s">
        <v>261</v>
      </c>
      <c r="AH5166" t="s">
        <v>262</v>
      </c>
      <c r="AI5166" t="s">
        <v>262</v>
      </c>
      <c r="AJ5166" t="s">
        <v>261</v>
      </c>
      <c r="AK5166" t="s">
        <v>261</v>
      </c>
      <c r="AM5166" t="s">
        <v>262</v>
      </c>
      <c r="AN5166" t="s">
        <v>13520</v>
      </c>
    </row>
    <row r="5167" spans="1:40" x14ac:dyDescent="0.35">
      <c r="A5167">
        <v>7101419</v>
      </c>
      <c r="B5167" t="s">
        <v>13521</v>
      </c>
      <c r="C5167" t="str">
        <f>"9783428175086"</f>
        <v>9783428175086</v>
      </c>
      <c r="D5167" t="str">
        <f>"9783428575084"</f>
        <v>9783428575084</v>
      </c>
      <c r="E5167" t="s">
        <v>12661</v>
      </c>
      <c r="F5167" t="s">
        <v>12661</v>
      </c>
      <c r="G5167" s="1">
        <v>44758</v>
      </c>
      <c r="H5167" s="1">
        <v>44840</v>
      </c>
      <c r="I5167" t="s">
        <v>189</v>
      </c>
      <c r="J5167">
        <v>1</v>
      </c>
      <c r="K5167" t="s">
        <v>13127</v>
      </c>
      <c r="L5167" t="s">
        <v>143</v>
      </c>
      <c r="M5167" t="s">
        <v>282</v>
      </c>
      <c r="Q5167" t="s">
        <v>408</v>
      </c>
      <c r="R5167" t="s">
        <v>261</v>
      </c>
      <c r="S5167" t="s">
        <v>261</v>
      </c>
      <c r="T5167" t="s">
        <v>261</v>
      </c>
      <c r="U5167" t="s">
        <v>262</v>
      </c>
      <c r="V5167" t="s">
        <v>262</v>
      </c>
      <c r="W5167" t="s">
        <v>261</v>
      </c>
      <c r="X5167" t="s">
        <v>262</v>
      </c>
      <c r="Y5167" t="s">
        <v>261</v>
      </c>
      <c r="AB5167" t="s">
        <v>409</v>
      </c>
      <c r="AC5167" t="s">
        <v>409</v>
      </c>
      <c r="AD5167" t="s">
        <v>261</v>
      </c>
      <c r="AH5167" t="s">
        <v>262</v>
      </c>
      <c r="AI5167" t="s">
        <v>262</v>
      </c>
      <c r="AJ5167" t="s">
        <v>261</v>
      </c>
      <c r="AK5167" t="s">
        <v>261</v>
      </c>
      <c r="AM5167" t="s">
        <v>262</v>
      </c>
      <c r="AN5167" t="s">
        <v>13522</v>
      </c>
    </row>
    <row r="5168" spans="1:40" x14ac:dyDescent="0.35">
      <c r="A5168">
        <v>7101420</v>
      </c>
      <c r="B5168" t="s">
        <v>13523</v>
      </c>
      <c r="C5168" t="str">
        <f>"9783428175093"</f>
        <v>9783428175093</v>
      </c>
      <c r="D5168" t="str">
        <f>"9783428575091"</f>
        <v>9783428575091</v>
      </c>
      <c r="E5168" t="s">
        <v>12661</v>
      </c>
      <c r="F5168" t="s">
        <v>12661</v>
      </c>
      <c r="G5168" s="1">
        <v>44758</v>
      </c>
      <c r="H5168" s="1">
        <v>44840</v>
      </c>
      <c r="I5168" t="s">
        <v>189</v>
      </c>
      <c r="J5168">
        <v>1</v>
      </c>
      <c r="K5168" t="s">
        <v>13127</v>
      </c>
      <c r="L5168" t="s">
        <v>143</v>
      </c>
    </row>
    <row r="5169" spans="1:40" x14ac:dyDescent="0.35">
      <c r="A5169">
        <v>7101421</v>
      </c>
      <c r="B5169" t="s">
        <v>13524</v>
      </c>
      <c r="C5169" t="str">
        <f>"9783428175109"</f>
        <v>9783428175109</v>
      </c>
      <c r="D5169" t="str">
        <f>"9783428575107"</f>
        <v>9783428575107</v>
      </c>
      <c r="E5169" t="s">
        <v>12661</v>
      </c>
      <c r="F5169" t="s">
        <v>12661</v>
      </c>
      <c r="G5169" s="1">
        <v>44758</v>
      </c>
      <c r="H5169" s="1">
        <v>44840</v>
      </c>
      <c r="I5169" t="s">
        <v>189</v>
      </c>
      <c r="J5169">
        <v>1</v>
      </c>
      <c r="K5169" t="s">
        <v>13127</v>
      </c>
      <c r="L5169" t="s">
        <v>143</v>
      </c>
      <c r="M5169" t="s">
        <v>282</v>
      </c>
      <c r="Q5169" t="s">
        <v>408</v>
      </c>
      <c r="R5169" t="s">
        <v>261</v>
      </c>
      <c r="S5169" t="s">
        <v>261</v>
      </c>
      <c r="T5169" t="s">
        <v>261</v>
      </c>
      <c r="U5169" t="s">
        <v>262</v>
      </c>
      <c r="V5169" t="s">
        <v>262</v>
      </c>
      <c r="W5169" t="s">
        <v>261</v>
      </c>
      <c r="X5169" t="s">
        <v>262</v>
      </c>
      <c r="Y5169" t="s">
        <v>261</v>
      </c>
      <c r="AB5169" t="s">
        <v>409</v>
      </c>
      <c r="AC5169" t="s">
        <v>409</v>
      </c>
      <c r="AD5169" t="s">
        <v>261</v>
      </c>
      <c r="AH5169" t="s">
        <v>262</v>
      </c>
      <c r="AI5169" t="s">
        <v>262</v>
      </c>
      <c r="AJ5169" t="s">
        <v>261</v>
      </c>
      <c r="AK5169" t="s">
        <v>261</v>
      </c>
      <c r="AM5169" t="s">
        <v>262</v>
      </c>
      <c r="AN5169" t="s">
        <v>13525</v>
      </c>
    </row>
    <row r="5170" spans="1:40" x14ac:dyDescent="0.35">
      <c r="A5170">
        <v>7101422</v>
      </c>
      <c r="B5170" t="s">
        <v>13526</v>
      </c>
      <c r="C5170" t="str">
        <f>"9783428175116"</f>
        <v>9783428175116</v>
      </c>
      <c r="D5170" t="str">
        <f>"9783428575114"</f>
        <v>9783428575114</v>
      </c>
      <c r="E5170" t="s">
        <v>12661</v>
      </c>
      <c r="F5170" t="s">
        <v>12661</v>
      </c>
      <c r="G5170" s="1">
        <v>44758</v>
      </c>
      <c r="H5170" s="1">
        <v>44840</v>
      </c>
      <c r="I5170" t="s">
        <v>189</v>
      </c>
      <c r="J5170">
        <v>1</v>
      </c>
      <c r="K5170" t="s">
        <v>13127</v>
      </c>
      <c r="L5170" t="s">
        <v>143</v>
      </c>
      <c r="M5170" t="s">
        <v>282</v>
      </c>
      <c r="Q5170" t="s">
        <v>408</v>
      </c>
      <c r="R5170" t="s">
        <v>261</v>
      </c>
      <c r="S5170" t="s">
        <v>261</v>
      </c>
      <c r="T5170" t="s">
        <v>261</v>
      </c>
      <c r="U5170" t="s">
        <v>262</v>
      </c>
      <c r="V5170" t="s">
        <v>262</v>
      </c>
      <c r="W5170" t="s">
        <v>261</v>
      </c>
      <c r="X5170" t="s">
        <v>262</v>
      </c>
      <c r="Y5170" t="s">
        <v>261</v>
      </c>
      <c r="AB5170" t="s">
        <v>409</v>
      </c>
      <c r="AC5170" t="s">
        <v>409</v>
      </c>
      <c r="AD5170" t="s">
        <v>261</v>
      </c>
      <c r="AH5170" t="s">
        <v>262</v>
      </c>
      <c r="AI5170" t="s">
        <v>262</v>
      </c>
      <c r="AJ5170" t="s">
        <v>261</v>
      </c>
      <c r="AK5170" t="s">
        <v>261</v>
      </c>
      <c r="AM5170" t="s">
        <v>262</v>
      </c>
      <c r="AN5170" t="s">
        <v>13527</v>
      </c>
    </row>
    <row r="5171" spans="1:40" x14ac:dyDescent="0.35">
      <c r="A5171">
        <v>7101423</v>
      </c>
      <c r="B5171" t="s">
        <v>13528</v>
      </c>
      <c r="C5171" t="str">
        <f>"9783428175130"</f>
        <v>9783428175130</v>
      </c>
      <c r="D5171" t="str">
        <f>"9783428575138"</f>
        <v>9783428575138</v>
      </c>
      <c r="E5171" t="s">
        <v>12661</v>
      </c>
      <c r="F5171" t="s">
        <v>12661</v>
      </c>
      <c r="G5171" s="1">
        <v>44758</v>
      </c>
      <c r="H5171" s="1">
        <v>44840</v>
      </c>
      <c r="I5171" t="s">
        <v>189</v>
      </c>
      <c r="J5171">
        <v>1</v>
      </c>
      <c r="K5171" t="s">
        <v>13127</v>
      </c>
      <c r="L5171" t="s">
        <v>13133</v>
      </c>
      <c r="M5171" t="s">
        <v>282</v>
      </c>
      <c r="Q5171" t="s">
        <v>408</v>
      </c>
      <c r="R5171" t="s">
        <v>261</v>
      </c>
      <c r="S5171" t="s">
        <v>261</v>
      </c>
      <c r="T5171" t="s">
        <v>261</v>
      </c>
      <c r="U5171" t="s">
        <v>262</v>
      </c>
      <c r="V5171" t="s">
        <v>262</v>
      </c>
      <c r="W5171" t="s">
        <v>261</v>
      </c>
      <c r="X5171" t="s">
        <v>262</v>
      </c>
      <c r="Y5171" t="s">
        <v>261</v>
      </c>
      <c r="AB5171" t="s">
        <v>409</v>
      </c>
      <c r="AC5171" t="s">
        <v>409</v>
      </c>
      <c r="AD5171" t="s">
        <v>261</v>
      </c>
      <c r="AH5171" t="s">
        <v>262</v>
      </c>
      <c r="AI5171" t="s">
        <v>262</v>
      </c>
      <c r="AJ5171" t="s">
        <v>261</v>
      </c>
      <c r="AK5171" t="s">
        <v>261</v>
      </c>
      <c r="AM5171" t="s">
        <v>262</v>
      </c>
      <c r="AN5171" t="s">
        <v>13529</v>
      </c>
    </row>
    <row r="5172" spans="1:40" x14ac:dyDescent="0.35">
      <c r="A5172">
        <v>7101424</v>
      </c>
      <c r="B5172" t="s">
        <v>13530</v>
      </c>
      <c r="C5172" t="str">
        <f>"9783428175147"</f>
        <v>9783428175147</v>
      </c>
      <c r="D5172" t="str">
        <f>"9783428575145"</f>
        <v>9783428575145</v>
      </c>
      <c r="E5172" t="s">
        <v>12661</v>
      </c>
      <c r="F5172" t="s">
        <v>12661</v>
      </c>
      <c r="G5172" s="1">
        <v>44758</v>
      </c>
      <c r="H5172" s="1">
        <v>44840</v>
      </c>
      <c r="I5172" t="s">
        <v>189</v>
      </c>
      <c r="J5172">
        <v>1</v>
      </c>
      <c r="K5172" t="s">
        <v>13127</v>
      </c>
      <c r="L5172" t="s">
        <v>13133</v>
      </c>
      <c r="M5172" t="s">
        <v>249</v>
      </c>
    </row>
    <row r="5173" spans="1:40" x14ac:dyDescent="0.35">
      <c r="A5173">
        <v>7101425</v>
      </c>
      <c r="B5173" t="s">
        <v>13531</v>
      </c>
      <c r="C5173" t="str">
        <f>"9783428175154"</f>
        <v>9783428175154</v>
      </c>
      <c r="D5173" t="str">
        <f>"9783428575152"</f>
        <v>9783428575152</v>
      </c>
      <c r="E5173" t="s">
        <v>12661</v>
      </c>
      <c r="F5173" t="s">
        <v>12661</v>
      </c>
      <c r="G5173" s="1">
        <v>44758</v>
      </c>
      <c r="H5173" s="1">
        <v>44840</v>
      </c>
      <c r="I5173" t="s">
        <v>189</v>
      </c>
      <c r="J5173">
        <v>1</v>
      </c>
      <c r="K5173" t="s">
        <v>13127</v>
      </c>
      <c r="L5173" t="s">
        <v>13133</v>
      </c>
    </row>
    <row r="5174" spans="1:40" x14ac:dyDescent="0.35">
      <c r="A5174">
        <v>7101426</v>
      </c>
      <c r="B5174" t="s">
        <v>13532</v>
      </c>
      <c r="C5174" t="str">
        <f>"9783428175161"</f>
        <v>9783428175161</v>
      </c>
      <c r="D5174" t="str">
        <f>"9783428575169"</f>
        <v>9783428575169</v>
      </c>
      <c r="E5174" t="s">
        <v>12661</v>
      </c>
      <c r="F5174" t="s">
        <v>12661</v>
      </c>
      <c r="G5174" s="1">
        <v>44769</v>
      </c>
      <c r="H5174" s="1">
        <v>44840</v>
      </c>
      <c r="I5174" t="s">
        <v>189</v>
      </c>
      <c r="J5174">
        <v>1</v>
      </c>
      <c r="K5174" t="s">
        <v>13127</v>
      </c>
      <c r="L5174" t="s">
        <v>13533</v>
      </c>
      <c r="M5174" t="s">
        <v>210</v>
      </c>
    </row>
    <row r="5175" spans="1:40" x14ac:dyDescent="0.35">
      <c r="A5175">
        <v>7101427</v>
      </c>
      <c r="B5175" t="s">
        <v>13534</v>
      </c>
      <c r="C5175" t="str">
        <f>"9783428175178"</f>
        <v>9783428175178</v>
      </c>
      <c r="D5175" t="str">
        <f>"9783428575176"</f>
        <v>9783428575176</v>
      </c>
      <c r="E5175" t="s">
        <v>12661</v>
      </c>
      <c r="F5175" t="s">
        <v>12661</v>
      </c>
      <c r="G5175" s="1">
        <v>44769</v>
      </c>
      <c r="H5175" s="1">
        <v>44840</v>
      </c>
      <c r="I5175" t="s">
        <v>189</v>
      </c>
      <c r="J5175">
        <v>1</v>
      </c>
      <c r="K5175" t="s">
        <v>13127</v>
      </c>
      <c r="L5175" t="s">
        <v>13533</v>
      </c>
      <c r="M5175" t="s">
        <v>389</v>
      </c>
    </row>
    <row r="5176" spans="1:40" x14ac:dyDescent="0.35">
      <c r="A5176">
        <v>7101428</v>
      </c>
      <c r="B5176" t="s">
        <v>13535</v>
      </c>
      <c r="C5176" t="str">
        <f>"9783428175185"</f>
        <v>9783428175185</v>
      </c>
      <c r="D5176" t="str">
        <f>"9783428575183"</f>
        <v>9783428575183</v>
      </c>
      <c r="E5176" t="s">
        <v>12661</v>
      </c>
      <c r="F5176" t="s">
        <v>12661</v>
      </c>
      <c r="G5176" s="1">
        <v>44769</v>
      </c>
      <c r="H5176" s="1">
        <v>44840</v>
      </c>
      <c r="I5176" t="s">
        <v>189</v>
      </c>
      <c r="J5176">
        <v>1</v>
      </c>
      <c r="K5176" t="s">
        <v>13127</v>
      </c>
      <c r="L5176" t="s">
        <v>13533</v>
      </c>
      <c r="M5176" t="s">
        <v>329</v>
      </c>
    </row>
    <row r="5177" spans="1:40" x14ac:dyDescent="0.35">
      <c r="A5177">
        <v>7101429</v>
      </c>
      <c r="B5177" t="s">
        <v>13536</v>
      </c>
      <c r="C5177" t="str">
        <f>"9783428175192"</f>
        <v>9783428175192</v>
      </c>
      <c r="D5177" t="str">
        <f>"9783428575190"</f>
        <v>9783428575190</v>
      </c>
      <c r="E5177" t="s">
        <v>12661</v>
      </c>
      <c r="F5177" t="s">
        <v>12661</v>
      </c>
      <c r="G5177" s="1">
        <v>44769</v>
      </c>
      <c r="H5177" s="1">
        <v>44840</v>
      </c>
      <c r="I5177" t="s">
        <v>189</v>
      </c>
      <c r="J5177">
        <v>1</v>
      </c>
      <c r="K5177" t="s">
        <v>13127</v>
      </c>
      <c r="L5177" t="s">
        <v>137</v>
      </c>
    </row>
    <row r="5178" spans="1:40" x14ac:dyDescent="0.35">
      <c r="A5178">
        <v>7101430</v>
      </c>
      <c r="B5178" t="s">
        <v>13537</v>
      </c>
      <c r="C5178" t="str">
        <f>"9783428175215"</f>
        <v>9783428175215</v>
      </c>
      <c r="D5178" t="str">
        <f>"9783428575213"</f>
        <v>9783428575213</v>
      </c>
      <c r="E5178" t="s">
        <v>12661</v>
      </c>
      <c r="F5178" t="s">
        <v>12661</v>
      </c>
      <c r="G5178" s="1">
        <v>44769</v>
      </c>
      <c r="H5178" s="1">
        <v>44840</v>
      </c>
      <c r="I5178" t="s">
        <v>189</v>
      </c>
      <c r="J5178">
        <v>1</v>
      </c>
      <c r="K5178" t="s">
        <v>13127</v>
      </c>
      <c r="L5178" t="s">
        <v>13538</v>
      </c>
    </row>
    <row r="5179" spans="1:40" x14ac:dyDescent="0.35">
      <c r="A5179">
        <v>7101431</v>
      </c>
      <c r="B5179" t="s">
        <v>13539</v>
      </c>
      <c r="C5179" t="str">
        <f>"9783428175208"</f>
        <v>9783428175208</v>
      </c>
      <c r="D5179" t="str">
        <f>"9783428575206"</f>
        <v>9783428575206</v>
      </c>
      <c r="E5179" t="s">
        <v>12661</v>
      </c>
      <c r="F5179" t="s">
        <v>12661</v>
      </c>
      <c r="G5179" s="1">
        <v>44769</v>
      </c>
      <c r="H5179" s="1">
        <v>44840</v>
      </c>
      <c r="I5179" t="s">
        <v>189</v>
      </c>
      <c r="J5179">
        <v>1</v>
      </c>
      <c r="K5179" t="s">
        <v>13127</v>
      </c>
      <c r="L5179" t="s">
        <v>137</v>
      </c>
    </row>
    <row r="5180" spans="1:40" x14ac:dyDescent="0.35">
      <c r="A5180">
        <v>7101432</v>
      </c>
      <c r="B5180" t="s">
        <v>13540</v>
      </c>
      <c r="C5180" t="str">
        <f>"9783428175284"</f>
        <v>9783428175284</v>
      </c>
      <c r="D5180" t="str">
        <f>"9783428575282"</f>
        <v>9783428575282</v>
      </c>
      <c r="E5180" t="s">
        <v>12661</v>
      </c>
      <c r="F5180" t="s">
        <v>12661</v>
      </c>
      <c r="G5180" s="1">
        <v>44769</v>
      </c>
      <c r="H5180" s="1">
        <v>44840</v>
      </c>
      <c r="I5180" t="s">
        <v>189</v>
      </c>
      <c r="J5180">
        <v>1</v>
      </c>
      <c r="K5180" t="s">
        <v>13127</v>
      </c>
      <c r="L5180" t="s">
        <v>13501</v>
      </c>
    </row>
    <row r="5181" spans="1:40" x14ac:dyDescent="0.35">
      <c r="A5181">
        <v>7101433</v>
      </c>
      <c r="B5181" t="s">
        <v>13541</v>
      </c>
      <c r="C5181" t="str">
        <f>"9783428175291"</f>
        <v>9783428175291</v>
      </c>
      <c r="D5181" t="str">
        <f>"9783428575299"</f>
        <v>9783428575299</v>
      </c>
      <c r="E5181" t="s">
        <v>12661</v>
      </c>
      <c r="F5181" t="s">
        <v>12661</v>
      </c>
      <c r="G5181" s="1">
        <v>44769</v>
      </c>
      <c r="H5181" s="1">
        <v>44840</v>
      </c>
      <c r="I5181" t="s">
        <v>189</v>
      </c>
      <c r="J5181">
        <v>1</v>
      </c>
      <c r="K5181" t="s">
        <v>13127</v>
      </c>
      <c r="L5181" t="s">
        <v>13501</v>
      </c>
    </row>
    <row r="5182" spans="1:40" x14ac:dyDescent="0.35">
      <c r="A5182">
        <v>7101434</v>
      </c>
      <c r="B5182" t="s">
        <v>13542</v>
      </c>
      <c r="C5182" t="str">
        <f>"9783428175307"</f>
        <v>9783428175307</v>
      </c>
      <c r="D5182" t="str">
        <f>"9783428575305"</f>
        <v>9783428575305</v>
      </c>
      <c r="E5182" t="s">
        <v>12661</v>
      </c>
      <c r="F5182" t="s">
        <v>12661</v>
      </c>
      <c r="G5182" s="1">
        <v>44769</v>
      </c>
      <c r="H5182" s="1">
        <v>44840</v>
      </c>
      <c r="I5182" t="s">
        <v>189</v>
      </c>
      <c r="J5182">
        <v>1</v>
      </c>
      <c r="K5182" t="s">
        <v>13127</v>
      </c>
      <c r="L5182" t="s">
        <v>13493</v>
      </c>
    </row>
    <row r="5183" spans="1:40" x14ac:dyDescent="0.35">
      <c r="A5183">
        <v>7101435</v>
      </c>
      <c r="B5183" t="s">
        <v>13543</v>
      </c>
      <c r="C5183" t="str">
        <f>"9783428175314"</f>
        <v>9783428175314</v>
      </c>
      <c r="D5183" t="str">
        <f>"9783428575312"</f>
        <v>9783428575312</v>
      </c>
      <c r="E5183" t="s">
        <v>12661</v>
      </c>
      <c r="F5183" t="s">
        <v>12661</v>
      </c>
      <c r="G5183" s="1">
        <v>44769</v>
      </c>
      <c r="H5183" s="1">
        <v>44840</v>
      </c>
      <c r="I5183" t="s">
        <v>189</v>
      </c>
      <c r="J5183">
        <v>1</v>
      </c>
      <c r="K5183" t="s">
        <v>13127</v>
      </c>
      <c r="L5183" t="s">
        <v>13493</v>
      </c>
    </row>
    <row r="5184" spans="1:40" x14ac:dyDescent="0.35">
      <c r="A5184">
        <v>7101436</v>
      </c>
      <c r="B5184" t="s">
        <v>13544</v>
      </c>
      <c r="C5184" t="str">
        <f>"9783428175321"</f>
        <v>9783428175321</v>
      </c>
      <c r="D5184" t="str">
        <f>"9783428575329"</f>
        <v>9783428575329</v>
      </c>
      <c r="E5184" t="s">
        <v>12661</v>
      </c>
      <c r="F5184" t="s">
        <v>12661</v>
      </c>
      <c r="G5184" s="1">
        <v>44769</v>
      </c>
      <c r="H5184" s="1">
        <v>44840</v>
      </c>
      <c r="I5184" t="s">
        <v>189</v>
      </c>
      <c r="J5184">
        <v>1</v>
      </c>
      <c r="K5184" t="s">
        <v>13127</v>
      </c>
      <c r="L5184" t="s">
        <v>13493</v>
      </c>
    </row>
    <row r="5185" spans="1:40" x14ac:dyDescent="0.35">
      <c r="A5185">
        <v>7101437</v>
      </c>
      <c r="B5185" t="s">
        <v>13545</v>
      </c>
      <c r="C5185" t="str">
        <f>"9783428175338"</f>
        <v>9783428175338</v>
      </c>
      <c r="D5185" t="str">
        <f>"9783428575336"</f>
        <v>9783428575336</v>
      </c>
      <c r="E5185" t="s">
        <v>12661</v>
      </c>
      <c r="F5185" t="s">
        <v>12661</v>
      </c>
      <c r="G5185" s="1">
        <v>44681</v>
      </c>
      <c r="H5185" s="1">
        <v>44840</v>
      </c>
      <c r="I5185" t="s">
        <v>189</v>
      </c>
      <c r="J5185">
        <v>1</v>
      </c>
      <c r="K5185" t="s">
        <v>13127</v>
      </c>
      <c r="L5185" t="s">
        <v>144</v>
      </c>
    </row>
    <row r="5186" spans="1:40" x14ac:dyDescent="0.35">
      <c r="A5186">
        <v>7101438</v>
      </c>
      <c r="B5186" t="s">
        <v>13546</v>
      </c>
      <c r="C5186" t="str">
        <f>"9783428175345"</f>
        <v>9783428175345</v>
      </c>
      <c r="D5186" t="str">
        <f>"9783428575343"</f>
        <v>9783428575343</v>
      </c>
      <c r="E5186" t="s">
        <v>12661</v>
      </c>
      <c r="F5186" t="s">
        <v>12661</v>
      </c>
      <c r="G5186" s="1">
        <v>44681</v>
      </c>
      <c r="H5186" s="1">
        <v>44840</v>
      </c>
      <c r="I5186" t="s">
        <v>189</v>
      </c>
      <c r="J5186">
        <v>1</v>
      </c>
      <c r="K5186" t="s">
        <v>13127</v>
      </c>
      <c r="L5186" t="s">
        <v>144</v>
      </c>
    </row>
    <row r="5187" spans="1:40" x14ac:dyDescent="0.35">
      <c r="A5187">
        <v>7101439</v>
      </c>
      <c r="B5187" t="s">
        <v>13547</v>
      </c>
      <c r="C5187" t="str">
        <f>"9783428175352"</f>
        <v>9783428175352</v>
      </c>
      <c r="D5187" t="str">
        <f>"9783428575350"</f>
        <v>9783428575350</v>
      </c>
      <c r="E5187" t="s">
        <v>12661</v>
      </c>
      <c r="F5187" t="s">
        <v>12661</v>
      </c>
      <c r="G5187" s="1">
        <v>44769</v>
      </c>
      <c r="H5187" s="1">
        <v>44840</v>
      </c>
      <c r="I5187" t="s">
        <v>189</v>
      </c>
      <c r="J5187">
        <v>1</v>
      </c>
      <c r="K5187" t="s">
        <v>13127</v>
      </c>
      <c r="L5187" t="s">
        <v>13131</v>
      </c>
      <c r="M5187" t="s">
        <v>210</v>
      </c>
      <c r="Q5187" t="s">
        <v>408</v>
      </c>
      <c r="R5187" t="s">
        <v>261</v>
      </c>
      <c r="S5187" t="s">
        <v>261</v>
      </c>
      <c r="T5187" t="s">
        <v>261</v>
      </c>
      <c r="U5187" t="s">
        <v>262</v>
      </c>
      <c r="V5187" t="s">
        <v>262</v>
      </c>
      <c r="W5187" t="s">
        <v>261</v>
      </c>
      <c r="X5187" t="s">
        <v>262</v>
      </c>
      <c r="Y5187" t="s">
        <v>261</v>
      </c>
      <c r="AB5187" t="s">
        <v>409</v>
      </c>
      <c r="AC5187" t="s">
        <v>409</v>
      </c>
      <c r="AD5187" t="s">
        <v>261</v>
      </c>
      <c r="AH5187" t="s">
        <v>262</v>
      </c>
      <c r="AI5187" t="s">
        <v>262</v>
      </c>
      <c r="AJ5187" t="s">
        <v>261</v>
      </c>
      <c r="AK5187" t="s">
        <v>261</v>
      </c>
      <c r="AM5187" t="s">
        <v>262</v>
      </c>
      <c r="AN5187" t="s">
        <v>13548</v>
      </c>
    </row>
    <row r="5188" spans="1:40" x14ac:dyDescent="0.35">
      <c r="A5188">
        <v>7101440</v>
      </c>
      <c r="B5188" t="s">
        <v>13549</v>
      </c>
      <c r="C5188" t="str">
        <f>"9783428175383"</f>
        <v>9783428175383</v>
      </c>
      <c r="D5188" t="str">
        <f>"9783428575381"</f>
        <v>9783428575381</v>
      </c>
      <c r="E5188" t="s">
        <v>12661</v>
      </c>
      <c r="F5188" t="s">
        <v>12661</v>
      </c>
      <c r="G5188" s="1">
        <v>44769</v>
      </c>
      <c r="H5188" s="1">
        <v>44840</v>
      </c>
      <c r="I5188" t="s">
        <v>189</v>
      </c>
      <c r="J5188">
        <v>1</v>
      </c>
      <c r="K5188" t="s">
        <v>13127</v>
      </c>
      <c r="L5188" t="s">
        <v>13550</v>
      </c>
      <c r="M5188" t="s">
        <v>210</v>
      </c>
    </row>
    <row r="5189" spans="1:40" x14ac:dyDescent="0.35">
      <c r="A5189">
        <v>7101441</v>
      </c>
      <c r="B5189" t="s">
        <v>13551</v>
      </c>
      <c r="C5189" t="str">
        <f>"9783428175390"</f>
        <v>9783428175390</v>
      </c>
      <c r="D5189" t="str">
        <f>"9783428575398"</f>
        <v>9783428575398</v>
      </c>
      <c r="E5189" t="s">
        <v>12661</v>
      </c>
      <c r="F5189" t="s">
        <v>12661</v>
      </c>
      <c r="G5189" s="1">
        <v>44769</v>
      </c>
      <c r="H5189" s="1">
        <v>44840</v>
      </c>
      <c r="I5189" t="s">
        <v>189</v>
      </c>
      <c r="J5189">
        <v>1</v>
      </c>
      <c r="K5189" t="s">
        <v>13127</v>
      </c>
      <c r="L5189" t="s">
        <v>13550</v>
      </c>
      <c r="M5189" t="s">
        <v>316</v>
      </c>
    </row>
    <row r="5190" spans="1:40" x14ac:dyDescent="0.35">
      <c r="A5190">
        <v>7101442</v>
      </c>
      <c r="B5190" t="s">
        <v>13552</v>
      </c>
      <c r="C5190" t="str">
        <f>"9783428175413"</f>
        <v>9783428175413</v>
      </c>
      <c r="D5190" t="str">
        <f>"9783428575411"</f>
        <v>9783428575411</v>
      </c>
      <c r="E5190" t="s">
        <v>12661</v>
      </c>
      <c r="F5190" t="s">
        <v>12661</v>
      </c>
      <c r="G5190" s="1">
        <v>44769</v>
      </c>
      <c r="H5190" s="1">
        <v>44840</v>
      </c>
      <c r="I5190" t="s">
        <v>189</v>
      </c>
      <c r="J5190">
        <v>1</v>
      </c>
      <c r="K5190" t="s">
        <v>13127</v>
      </c>
      <c r="L5190" t="s">
        <v>13136</v>
      </c>
    </row>
    <row r="5191" spans="1:40" x14ac:dyDescent="0.35">
      <c r="A5191">
        <v>7101443</v>
      </c>
      <c r="B5191" t="s">
        <v>13553</v>
      </c>
      <c r="C5191" t="str">
        <f>"9783428175420"</f>
        <v>9783428175420</v>
      </c>
      <c r="D5191" t="str">
        <f>"9783428575428"</f>
        <v>9783428575428</v>
      </c>
      <c r="E5191" t="s">
        <v>12661</v>
      </c>
      <c r="F5191" t="s">
        <v>12661</v>
      </c>
      <c r="G5191" s="1">
        <v>44769</v>
      </c>
      <c r="H5191" s="1">
        <v>44840</v>
      </c>
      <c r="I5191" t="s">
        <v>189</v>
      </c>
      <c r="J5191">
        <v>1</v>
      </c>
      <c r="K5191" t="s">
        <v>13127</v>
      </c>
      <c r="L5191" t="s">
        <v>144</v>
      </c>
    </row>
    <row r="5192" spans="1:40" x14ac:dyDescent="0.35">
      <c r="A5192">
        <v>7101444</v>
      </c>
      <c r="B5192" t="s">
        <v>13554</v>
      </c>
      <c r="C5192" t="str">
        <f>"9783428181070"</f>
        <v>9783428181070</v>
      </c>
      <c r="D5192" t="str">
        <f>"9783428581078"</f>
        <v>9783428581078</v>
      </c>
      <c r="E5192" t="s">
        <v>12661</v>
      </c>
      <c r="F5192" t="s">
        <v>12661</v>
      </c>
      <c r="G5192" s="1">
        <v>44187</v>
      </c>
      <c r="H5192" s="1">
        <v>44845</v>
      </c>
      <c r="I5192" t="s">
        <v>189</v>
      </c>
      <c r="J5192">
        <v>1</v>
      </c>
      <c r="K5192" t="s">
        <v>13555</v>
      </c>
      <c r="L5192" t="s">
        <v>13556</v>
      </c>
      <c r="M5192" t="s">
        <v>316</v>
      </c>
      <c r="Q5192" t="s">
        <v>408</v>
      </c>
      <c r="R5192" t="s">
        <v>261</v>
      </c>
      <c r="S5192" t="s">
        <v>261</v>
      </c>
      <c r="T5192" t="s">
        <v>261</v>
      </c>
      <c r="U5192" t="s">
        <v>262</v>
      </c>
      <c r="V5192" t="s">
        <v>262</v>
      </c>
      <c r="W5192" t="s">
        <v>261</v>
      </c>
      <c r="X5192" t="s">
        <v>262</v>
      </c>
      <c r="Y5192" t="s">
        <v>261</v>
      </c>
      <c r="AB5192" t="s">
        <v>409</v>
      </c>
      <c r="AC5192" t="s">
        <v>409</v>
      </c>
      <c r="AD5192" t="s">
        <v>261</v>
      </c>
      <c r="AH5192" t="s">
        <v>262</v>
      </c>
      <c r="AI5192" t="s">
        <v>262</v>
      </c>
      <c r="AJ5192" t="s">
        <v>261</v>
      </c>
      <c r="AK5192" t="s">
        <v>261</v>
      </c>
      <c r="AM5192" t="s">
        <v>262</v>
      </c>
      <c r="AN5192" t="s">
        <v>13557</v>
      </c>
    </row>
    <row r="5193" spans="1:40" x14ac:dyDescent="0.35">
      <c r="A5193">
        <v>7101445</v>
      </c>
      <c r="B5193" t="s">
        <v>13558</v>
      </c>
      <c r="C5193" t="str">
        <f>"9783428181971"</f>
        <v>9783428181971</v>
      </c>
      <c r="D5193" t="str">
        <f>"9783428581979"</f>
        <v>9783428581979</v>
      </c>
      <c r="E5193" t="s">
        <v>12661</v>
      </c>
      <c r="F5193" t="s">
        <v>12661</v>
      </c>
      <c r="G5193" s="1">
        <v>44644</v>
      </c>
      <c r="H5193" s="1">
        <v>44840</v>
      </c>
      <c r="I5193" t="s">
        <v>189</v>
      </c>
      <c r="J5193">
        <v>1</v>
      </c>
      <c r="K5193" t="s">
        <v>13110</v>
      </c>
      <c r="L5193" t="s">
        <v>13111</v>
      </c>
      <c r="M5193" t="s">
        <v>239</v>
      </c>
      <c r="Q5193" t="s">
        <v>408</v>
      </c>
      <c r="R5193" t="s">
        <v>261</v>
      </c>
      <c r="S5193" t="s">
        <v>261</v>
      </c>
      <c r="T5193" t="s">
        <v>261</v>
      </c>
      <c r="U5193" t="s">
        <v>262</v>
      </c>
      <c r="V5193" t="s">
        <v>262</v>
      </c>
      <c r="W5193" t="s">
        <v>261</v>
      </c>
      <c r="X5193" t="s">
        <v>262</v>
      </c>
      <c r="Y5193" t="s">
        <v>261</v>
      </c>
      <c r="AB5193" t="s">
        <v>409</v>
      </c>
      <c r="AC5193" t="s">
        <v>409</v>
      </c>
      <c r="AD5193" t="s">
        <v>261</v>
      </c>
      <c r="AH5193" t="s">
        <v>262</v>
      </c>
      <c r="AI5193" t="s">
        <v>262</v>
      </c>
      <c r="AJ5193" t="s">
        <v>261</v>
      </c>
      <c r="AK5193" t="s">
        <v>261</v>
      </c>
      <c r="AM5193" t="s">
        <v>262</v>
      </c>
      <c r="AN5193" t="s">
        <v>13559</v>
      </c>
    </row>
    <row r="5194" spans="1:40" x14ac:dyDescent="0.35">
      <c r="A5194">
        <v>7101446</v>
      </c>
      <c r="B5194" t="s">
        <v>13560</v>
      </c>
      <c r="C5194" t="str">
        <f>"9783428182602"</f>
        <v>9783428182602</v>
      </c>
      <c r="D5194" t="str">
        <f>"9783428582600"</f>
        <v>9783428582600</v>
      </c>
      <c r="E5194" t="s">
        <v>12661</v>
      </c>
      <c r="F5194" t="s">
        <v>12661</v>
      </c>
      <c r="G5194" s="1">
        <v>44307</v>
      </c>
      <c r="H5194" s="1">
        <v>44840</v>
      </c>
      <c r="I5194" t="s">
        <v>189</v>
      </c>
      <c r="J5194">
        <v>1</v>
      </c>
      <c r="K5194" t="s">
        <v>13561</v>
      </c>
      <c r="L5194" t="s">
        <v>13562</v>
      </c>
    </row>
    <row r="5195" spans="1:40" x14ac:dyDescent="0.35">
      <c r="A5195">
        <v>7101447</v>
      </c>
      <c r="B5195" t="s">
        <v>13563</v>
      </c>
      <c r="C5195" t="str">
        <f>"9783428184569"</f>
        <v>9783428184569</v>
      </c>
      <c r="D5195" t="str">
        <f>"9783428584567"</f>
        <v>9783428584567</v>
      </c>
      <c r="E5195" t="s">
        <v>12661</v>
      </c>
      <c r="F5195" t="s">
        <v>12661</v>
      </c>
      <c r="G5195" s="1">
        <v>44706</v>
      </c>
      <c r="H5195" s="1">
        <v>44840</v>
      </c>
      <c r="I5195" t="s">
        <v>189</v>
      </c>
      <c r="J5195">
        <v>1</v>
      </c>
      <c r="K5195" t="s">
        <v>12662</v>
      </c>
      <c r="L5195" t="s">
        <v>13564</v>
      </c>
      <c r="M5195" t="s">
        <v>282</v>
      </c>
    </row>
    <row r="5196" spans="1:40" x14ac:dyDescent="0.35">
      <c r="A5196">
        <v>7101448</v>
      </c>
      <c r="B5196" t="s">
        <v>13565</v>
      </c>
      <c r="C5196" t="str">
        <f>"9783428184873"</f>
        <v>9783428184873</v>
      </c>
      <c r="D5196" t="str">
        <f>"9783428584871"</f>
        <v>9783428584871</v>
      </c>
      <c r="E5196" t="s">
        <v>12661</v>
      </c>
      <c r="F5196" t="s">
        <v>12661</v>
      </c>
      <c r="G5196" s="1">
        <v>44545</v>
      </c>
      <c r="H5196" s="1">
        <v>44840</v>
      </c>
      <c r="I5196" t="s">
        <v>189</v>
      </c>
      <c r="J5196">
        <v>1</v>
      </c>
      <c r="K5196" t="s">
        <v>13566</v>
      </c>
      <c r="L5196" t="s">
        <v>13567</v>
      </c>
      <c r="M5196" t="s">
        <v>199</v>
      </c>
    </row>
    <row r="5197" spans="1:40" x14ac:dyDescent="0.35">
      <c r="A5197">
        <v>7101449</v>
      </c>
      <c r="B5197" t="s">
        <v>13568</v>
      </c>
      <c r="C5197" t="str">
        <f>"9783428185221"</f>
        <v>9783428185221</v>
      </c>
      <c r="D5197" t="str">
        <f>"9783428585229"</f>
        <v>9783428585229</v>
      </c>
      <c r="E5197" t="s">
        <v>12661</v>
      </c>
      <c r="F5197" t="s">
        <v>12661</v>
      </c>
      <c r="G5197" s="1">
        <v>44699</v>
      </c>
      <c r="H5197" s="1">
        <v>44840</v>
      </c>
      <c r="I5197" t="s">
        <v>189</v>
      </c>
      <c r="J5197">
        <v>1</v>
      </c>
      <c r="K5197" t="s">
        <v>13569</v>
      </c>
      <c r="L5197" t="s">
        <v>13570</v>
      </c>
      <c r="Q5197" t="s">
        <v>408</v>
      </c>
      <c r="R5197" t="s">
        <v>261</v>
      </c>
      <c r="S5197" t="s">
        <v>261</v>
      </c>
      <c r="T5197" t="s">
        <v>261</v>
      </c>
      <c r="U5197" t="s">
        <v>262</v>
      </c>
      <c r="V5197" t="s">
        <v>262</v>
      </c>
      <c r="W5197" t="s">
        <v>261</v>
      </c>
      <c r="X5197" t="s">
        <v>262</v>
      </c>
      <c r="Y5197" t="s">
        <v>261</v>
      </c>
      <c r="AB5197" t="s">
        <v>409</v>
      </c>
      <c r="AC5197" t="s">
        <v>409</v>
      </c>
      <c r="AD5197" t="s">
        <v>261</v>
      </c>
      <c r="AH5197" t="s">
        <v>262</v>
      </c>
      <c r="AI5197" t="s">
        <v>262</v>
      </c>
      <c r="AJ5197" t="s">
        <v>261</v>
      </c>
      <c r="AK5197" t="s">
        <v>261</v>
      </c>
      <c r="AM5197" t="s">
        <v>262</v>
      </c>
      <c r="AN5197" t="s">
        <v>13571</v>
      </c>
    </row>
    <row r="5198" spans="1:40" x14ac:dyDescent="0.35">
      <c r="A5198">
        <v>7101450</v>
      </c>
      <c r="B5198" t="s">
        <v>13572</v>
      </c>
      <c r="C5198" t="str">
        <f>"9783428186167"</f>
        <v>9783428186167</v>
      </c>
      <c r="D5198" t="str">
        <f>"9783428586165"</f>
        <v>9783428586165</v>
      </c>
      <c r="E5198" t="s">
        <v>12661</v>
      </c>
      <c r="F5198" t="s">
        <v>12661</v>
      </c>
      <c r="G5198" s="1">
        <v>44769</v>
      </c>
      <c r="H5198" s="1">
        <v>44840</v>
      </c>
      <c r="I5198" t="s">
        <v>189</v>
      </c>
      <c r="J5198">
        <v>1</v>
      </c>
      <c r="K5198" t="s">
        <v>13106</v>
      </c>
      <c r="L5198" t="s">
        <v>13107</v>
      </c>
    </row>
    <row r="5199" spans="1:40" x14ac:dyDescent="0.35">
      <c r="A5199">
        <v>7101451</v>
      </c>
      <c r="B5199" t="s">
        <v>13573</v>
      </c>
      <c r="C5199" t="str">
        <f>"9783428186600"</f>
        <v>9783428186600</v>
      </c>
      <c r="D5199" t="str">
        <f>"9783428586608"</f>
        <v>9783428586608</v>
      </c>
      <c r="E5199" t="s">
        <v>12661</v>
      </c>
      <c r="F5199" t="s">
        <v>12661</v>
      </c>
      <c r="G5199" s="1">
        <v>44816</v>
      </c>
      <c r="H5199" s="1">
        <v>44840</v>
      </c>
      <c r="I5199" t="s">
        <v>189</v>
      </c>
      <c r="J5199">
        <v>1</v>
      </c>
      <c r="K5199" t="s">
        <v>13574</v>
      </c>
      <c r="L5199" t="s">
        <v>13575</v>
      </c>
      <c r="M5199" t="s">
        <v>316</v>
      </c>
      <c r="Q5199" t="s">
        <v>408</v>
      </c>
      <c r="R5199" t="s">
        <v>261</v>
      </c>
      <c r="S5199" t="s">
        <v>261</v>
      </c>
      <c r="T5199" t="s">
        <v>261</v>
      </c>
      <c r="U5199" t="s">
        <v>262</v>
      </c>
      <c r="V5199" t="s">
        <v>262</v>
      </c>
      <c r="W5199" t="s">
        <v>261</v>
      </c>
      <c r="X5199" t="s">
        <v>262</v>
      </c>
      <c r="Y5199" t="s">
        <v>261</v>
      </c>
      <c r="AB5199" t="s">
        <v>409</v>
      </c>
      <c r="AC5199" t="s">
        <v>409</v>
      </c>
      <c r="AD5199" t="s">
        <v>261</v>
      </c>
      <c r="AH5199" t="s">
        <v>262</v>
      </c>
      <c r="AI5199" t="s">
        <v>262</v>
      </c>
      <c r="AJ5199" t="s">
        <v>261</v>
      </c>
      <c r="AK5199" t="s">
        <v>261</v>
      </c>
      <c r="AM5199" t="s">
        <v>262</v>
      </c>
      <c r="AN5199" t="s">
        <v>13576</v>
      </c>
    </row>
    <row r="5200" spans="1:40" x14ac:dyDescent="0.35">
      <c r="A5200">
        <v>7101452</v>
      </c>
      <c r="B5200" t="s">
        <v>13577</v>
      </c>
      <c r="C5200" t="str">
        <f>"9783428186778"</f>
        <v>9783428186778</v>
      </c>
      <c r="D5200" t="str">
        <f>"9783428586776"</f>
        <v>9783428586776</v>
      </c>
      <c r="E5200" t="s">
        <v>12661</v>
      </c>
      <c r="F5200" t="s">
        <v>12661</v>
      </c>
      <c r="G5200" s="1">
        <v>44839</v>
      </c>
      <c r="H5200" s="1">
        <v>44840</v>
      </c>
      <c r="I5200" t="s">
        <v>189</v>
      </c>
      <c r="J5200">
        <v>1</v>
      </c>
      <c r="K5200" t="s">
        <v>12662</v>
      </c>
      <c r="L5200" t="s">
        <v>13578</v>
      </c>
      <c r="M5200" t="s">
        <v>282</v>
      </c>
      <c r="Q5200" t="s">
        <v>408</v>
      </c>
      <c r="R5200" t="s">
        <v>261</v>
      </c>
      <c r="S5200" t="s">
        <v>261</v>
      </c>
      <c r="T5200" t="s">
        <v>261</v>
      </c>
      <c r="U5200" t="s">
        <v>262</v>
      </c>
      <c r="V5200" t="s">
        <v>262</v>
      </c>
      <c r="W5200" t="s">
        <v>261</v>
      </c>
      <c r="X5200" t="s">
        <v>262</v>
      </c>
      <c r="Y5200" t="s">
        <v>261</v>
      </c>
      <c r="AB5200" t="s">
        <v>409</v>
      </c>
      <c r="AC5200" t="s">
        <v>409</v>
      </c>
      <c r="AD5200" t="s">
        <v>261</v>
      </c>
      <c r="AH5200" t="s">
        <v>262</v>
      </c>
      <c r="AI5200" t="s">
        <v>262</v>
      </c>
      <c r="AJ5200" t="s">
        <v>261</v>
      </c>
      <c r="AK5200" t="s">
        <v>261</v>
      </c>
      <c r="AM5200" t="s">
        <v>262</v>
      </c>
      <c r="AN5200" t="s">
        <v>13579</v>
      </c>
    </row>
    <row r="5201" spans="1:40" x14ac:dyDescent="0.35">
      <c r="A5201">
        <v>7101854</v>
      </c>
      <c r="B5201" t="s">
        <v>13580</v>
      </c>
      <c r="C5201" t="str">
        <f>"9783031110801"</f>
        <v>9783031110801</v>
      </c>
      <c r="D5201" t="str">
        <f>"9783031110818"</f>
        <v>9783031110818</v>
      </c>
      <c r="E5201" t="s">
        <v>2289</v>
      </c>
      <c r="F5201" t="s">
        <v>2290</v>
      </c>
      <c r="G5201" s="1">
        <v>44826</v>
      </c>
      <c r="H5201" s="1">
        <v>44883</v>
      </c>
      <c r="I5201" t="s">
        <v>189</v>
      </c>
      <c r="K5201" t="s">
        <v>13581</v>
      </c>
      <c r="L5201" t="s">
        <v>13582</v>
      </c>
      <c r="M5201" t="s">
        <v>210</v>
      </c>
      <c r="N5201" t="s">
        <v>13583</v>
      </c>
      <c r="Q5201" t="s">
        <v>260</v>
      </c>
      <c r="R5201" t="s">
        <v>261</v>
      </c>
      <c r="S5201" t="s">
        <v>261</v>
      </c>
      <c r="T5201" t="s">
        <v>261</v>
      </c>
      <c r="U5201" t="s">
        <v>261</v>
      </c>
      <c r="V5201" t="s">
        <v>262</v>
      </c>
      <c r="W5201" t="s">
        <v>261</v>
      </c>
      <c r="X5201" t="s">
        <v>261</v>
      </c>
      <c r="Y5201" t="s">
        <v>261</v>
      </c>
      <c r="Z5201" t="s">
        <v>409</v>
      </c>
      <c r="AA5201" t="s">
        <v>409</v>
      </c>
      <c r="AB5201" t="s">
        <v>409</v>
      </c>
      <c r="AC5201" t="s">
        <v>409</v>
      </c>
      <c r="AD5201" t="s">
        <v>261</v>
      </c>
      <c r="AH5201" t="s">
        <v>262</v>
      </c>
      <c r="AI5201" t="s">
        <v>262</v>
      </c>
      <c r="AJ5201" t="s">
        <v>261</v>
      </c>
      <c r="AK5201" t="s">
        <v>261</v>
      </c>
      <c r="AM5201" t="s">
        <v>262</v>
      </c>
      <c r="AN5201" t="s">
        <v>13584</v>
      </c>
    </row>
    <row r="5202" spans="1:40" x14ac:dyDescent="0.35">
      <c r="A5202">
        <v>7102016</v>
      </c>
      <c r="B5202" t="s">
        <v>13585</v>
      </c>
      <c r="C5202" t="str">
        <f>"9783031041280"</f>
        <v>9783031041280</v>
      </c>
      <c r="D5202" t="str">
        <f>"9783031041297"</f>
        <v>9783031041297</v>
      </c>
      <c r="E5202" t="s">
        <v>2289</v>
      </c>
      <c r="F5202" t="s">
        <v>2290</v>
      </c>
      <c r="G5202" s="1">
        <v>44832</v>
      </c>
      <c r="H5202" s="1">
        <v>44883</v>
      </c>
      <c r="I5202" t="s">
        <v>189</v>
      </c>
      <c r="L5202" t="s">
        <v>13586</v>
      </c>
    </row>
    <row r="5203" spans="1:40" x14ac:dyDescent="0.35">
      <c r="A5203">
        <v>7102044</v>
      </c>
      <c r="B5203" t="s">
        <v>13587</v>
      </c>
      <c r="C5203" t="str">
        <f>"9783030958510"</f>
        <v>9783030958510</v>
      </c>
      <c r="D5203" t="str">
        <f>"9783030958527"</f>
        <v>9783030958527</v>
      </c>
      <c r="E5203" t="s">
        <v>2289</v>
      </c>
      <c r="F5203" t="s">
        <v>2290</v>
      </c>
      <c r="G5203" s="1">
        <v>44864</v>
      </c>
      <c r="H5203" s="1">
        <v>44883</v>
      </c>
      <c r="I5203" t="s">
        <v>189</v>
      </c>
      <c r="L5203" t="s">
        <v>13588</v>
      </c>
    </row>
    <row r="5204" spans="1:40" x14ac:dyDescent="0.35">
      <c r="A5204">
        <v>7102146</v>
      </c>
      <c r="B5204" t="s">
        <v>13589</v>
      </c>
      <c r="C5204" t="str">
        <f>"9783031097621"</f>
        <v>9783031097621</v>
      </c>
      <c r="D5204" t="str">
        <f>"9783031097638"</f>
        <v>9783031097638</v>
      </c>
      <c r="E5204" t="s">
        <v>2289</v>
      </c>
      <c r="F5204" t="s">
        <v>2290</v>
      </c>
      <c r="G5204" s="1">
        <v>44826</v>
      </c>
      <c r="H5204" s="1">
        <v>44883</v>
      </c>
      <c r="I5204" t="s">
        <v>189</v>
      </c>
      <c r="K5204" t="s">
        <v>4315</v>
      </c>
      <c r="L5204" t="s">
        <v>13590</v>
      </c>
      <c r="M5204" t="s">
        <v>535</v>
      </c>
      <c r="N5204" t="s">
        <v>8295</v>
      </c>
      <c r="Q5204" t="s">
        <v>260</v>
      </c>
      <c r="R5204" t="s">
        <v>261</v>
      </c>
      <c r="S5204" t="s">
        <v>261</v>
      </c>
      <c r="T5204" t="s">
        <v>261</v>
      </c>
      <c r="U5204" t="s">
        <v>261</v>
      </c>
      <c r="V5204" t="s">
        <v>262</v>
      </c>
      <c r="W5204" t="s">
        <v>261</v>
      </c>
      <c r="X5204" t="s">
        <v>261</v>
      </c>
      <c r="Y5204" t="s">
        <v>261</v>
      </c>
      <c r="Z5204" t="s">
        <v>409</v>
      </c>
      <c r="AA5204" t="s">
        <v>409</v>
      </c>
      <c r="AB5204" t="s">
        <v>409</v>
      </c>
      <c r="AC5204" t="s">
        <v>409</v>
      </c>
      <c r="AD5204" t="s">
        <v>261</v>
      </c>
      <c r="AH5204" t="s">
        <v>262</v>
      </c>
      <c r="AI5204" t="s">
        <v>262</v>
      </c>
      <c r="AJ5204" t="s">
        <v>261</v>
      </c>
      <c r="AK5204" t="s">
        <v>261</v>
      </c>
      <c r="AM5204" t="s">
        <v>262</v>
      </c>
      <c r="AN5204" t="s">
        <v>13591</v>
      </c>
    </row>
    <row r="5205" spans="1:40" x14ac:dyDescent="0.35">
      <c r="A5205">
        <v>7103024</v>
      </c>
      <c r="B5205" t="s">
        <v>13592</v>
      </c>
      <c r="C5205" t="str">
        <f>""</f>
        <v/>
      </c>
      <c r="D5205" t="str">
        <f>"9789179294090"</f>
        <v>9789179294090</v>
      </c>
      <c r="E5205" t="s">
        <v>2975</v>
      </c>
      <c r="F5205" t="s">
        <v>2975</v>
      </c>
      <c r="G5205" s="1">
        <v>44832</v>
      </c>
      <c r="H5205" s="1">
        <v>44838</v>
      </c>
      <c r="I5205" t="s">
        <v>189</v>
      </c>
      <c r="J5205">
        <v>1</v>
      </c>
      <c r="L5205" t="s">
        <v>13593</v>
      </c>
      <c r="Q5205" t="s">
        <v>260</v>
      </c>
      <c r="R5205" t="s">
        <v>261</v>
      </c>
      <c r="S5205" t="s">
        <v>261</v>
      </c>
      <c r="T5205" t="s">
        <v>261</v>
      </c>
      <c r="U5205" t="s">
        <v>261</v>
      </c>
      <c r="V5205" t="s">
        <v>262</v>
      </c>
      <c r="W5205" t="s">
        <v>261</v>
      </c>
      <c r="X5205" t="s">
        <v>261</v>
      </c>
      <c r="Y5205" t="s">
        <v>261</v>
      </c>
      <c r="AD5205" t="s">
        <v>261</v>
      </c>
      <c r="AH5205" t="s">
        <v>262</v>
      </c>
      <c r="AI5205" t="s">
        <v>261</v>
      </c>
      <c r="AJ5205" t="s">
        <v>261</v>
      </c>
      <c r="AK5205" t="s">
        <v>261</v>
      </c>
      <c r="AM5205" t="s">
        <v>262</v>
      </c>
      <c r="AN5205" t="s">
        <v>13594</v>
      </c>
    </row>
    <row r="5206" spans="1:40" x14ac:dyDescent="0.35">
      <c r="A5206">
        <v>7107994</v>
      </c>
      <c r="B5206" t="s">
        <v>13595</v>
      </c>
      <c r="C5206" t="str">
        <f>"9783777632988"</f>
        <v>9783777632988</v>
      </c>
      <c r="D5206" t="str">
        <f>"9783777633015"</f>
        <v>9783777633015</v>
      </c>
      <c r="E5206" t="s">
        <v>13596</v>
      </c>
      <c r="F5206" t="s">
        <v>13596</v>
      </c>
      <c r="G5206" s="1">
        <v>44844</v>
      </c>
      <c r="H5206" s="1">
        <v>44845</v>
      </c>
      <c r="I5206" t="s">
        <v>189</v>
      </c>
      <c r="J5206">
        <v>1</v>
      </c>
      <c r="K5206" t="s">
        <v>13597</v>
      </c>
      <c r="L5206" t="s">
        <v>13598</v>
      </c>
    </row>
    <row r="5207" spans="1:40" x14ac:dyDescent="0.35">
      <c r="A5207">
        <v>7109138</v>
      </c>
      <c r="B5207" t="s">
        <v>13599</v>
      </c>
      <c r="C5207" t="str">
        <f>"9783428010745"</f>
        <v>9783428010745</v>
      </c>
      <c r="D5207" t="str">
        <f>"9783428410743"</f>
        <v>9783428410743</v>
      </c>
      <c r="E5207" t="s">
        <v>12661</v>
      </c>
      <c r="F5207" t="s">
        <v>12661</v>
      </c>
      <c r="G5207" s="1">
        <v>44811</v>
      </c>
      <c r="H5207" s="1">
        <v>44897</v>
      </c>
      <c r="I5207" t="s">
        <v>189</v>
      </c>
      <c r="J5207">
        <v>1</v>
      </c>
      <c r="K5207" t="s">
        <v>12662</v>
      </c>
      <c r="L5207" t="s">
        <v>12666</v>
      </c>
      <c r="M5207" t="s">
        <v>282</v>
      </c>
      <c r="Q5207" t="s">
        <v>408</v>
      </c>
      <c r="R5207" t="s">
        <v>261</v>
      </c>
      <c r="S5207" t="s">
        <v>261</v>
      </c>
      <c r="T5207" t="s">
        <v>261</v>
      </c>
      <c r="U5207" t="s">
        <v>262</v>
      </c>
      <c r="V5207" t="s">
        <v>262</v>
      </c>
      <c r="W5207" t="s">
        <v>261</v>
      </c>
      <c r="X5207" t="s">
        <v>262</v>
      </c>
      <c r="Y5207" t="s">
        <v>261</v>
      </c>
      <c r="AB5207" t="s">
        <v>409</v>
      </c>
      <c r="AC5207" t="s">
        <v>409</v>
      </c>
      <c r="AD5207" t="s">
        <v>261</v>
      </c>
      <c r="AH5207" t="s">
        <v>262</v>
      </c>
      <c r="AI5207" t="s">
        <v>262</v>
      </c>
      <c r="AJ5207" t="s">
        <v>261</v>
      </c>
      <c r="AK5207" t="s">
        <v>261</v>
      </c>
      <c r="AM5207" t="s">
        <v>262</v>
      </c>
      <c r="AN5207" t="s">
        <v>13600</v>
      </c>
    </row>
    <row r="5208" spans="1:40" x14ac:dyDescent="0.35">
      <c r="A5208">
        <v>7109139</v>
      </c>
      <c r="B5208" t="s">
        <v>13601</v>
      </c>
      <c r="C5208" t="str">
        <f>"9783428019458"</f>
        <v>9783428019458</v>
      </c>
      <c r="D5208" t="str">
        <f>"9783428419456"</f>
        <v>9783428419456</v>
      </c>
      <c r="E5208" t="s">
        <v>12661</v>
      </c>
      <c r="F5208" t="s">
        <v>12661</v>
      </c>
      <c r="G5208" s="1">
        <v>43636</v>
      </c>
      <c r="H5208" s="1">
        <v>44897</v>
      </c>
      <c r="I5208" t="s">
        <v>189</v>
      </c>
      <c r="J5208">
        <v>1</v>
      </c>
      <c r="L5208" t="s">
        <v>13602</v>
      </c>
      <c r="M5208" t="s">
        <v>316</v>
      </c>
    </row>
    <row r="5209" spans="1:40" x14ac:dyDescent="0.35">
      <c r="A5209">
        <v>7109140</v>
      </c>
      <c r="B5209" t="s">
        <v>13603</v>
      </c>
      <c r="C5209" t="str">
        <f>"9783428035236"</f>
        <v>9783428035236</v>
      </c>
      <c r="D5209" t="str">
        <f>"9783428435234"</f>
        <v>9783428435234</v>
      </c>
      <c r="E5209" t="s">
        <v>12661</v>
      </c>
      <c r="F5209" t="s">
        <v>12661</v>
      </c>
      <c r="G5209" s="1">
        <v>44829</v>
      </c>
      <c r="H5209" s="1">
        <v>44897</v>
      </c>
      <c r="I5209" t="s">
        <v>189</v>
      </c>
      <c r="J5209">
        <v>1</v>
      </c>
      <c r="K5209" t="s">
        <v>12662</v>
      </c>
      <c r="L5209" t="s">
        <v>12794</v>
      </c>
      <c r="M5209" t="s">
        <v>329</v>
      </c>
    </row>
    <row r="5210" spans="1:40" x14ac:dyDescent="0.35">
      <c r="A5210">
        <v>7109141</v>
      </c>
      <c r="B5210" t="s">
        <v>13604</v>
      </c>
      <c r="C5210" t="str">
        <f>"9783428040315"</f>
        <v>9783428040315</v>
      </c>
      <c r="D5210" t="str">
        <f>"9783428440313"</f>
        <v>9783428440313</v>
      </c>
      <c r="E5210" t="s">
        <v>12661</v>
      </c>
      <c r="F5210" t="s">
        <v>12661</v>
      </c>
      <c r="G5210" s="1">
        <v>44829</v>
      </c>
      <c r="H5210" s="1">
        <v>44897</v>
      </c>
      <c r="I5210" t="s">
        <v>189</v>
      </c>
      <c r="J5210">
        <v>1</v>
      </c>
      <c r="K5210" t="s">
        <v>12662</v>
      </c>
      <c r="L5210" t="s">
        <v>12810</v>
      </c>
      <c r="M5210" t="s">
        <v>282</v>
      </c>
      <c r="Q5210" t="s">
        <v>408</v>
      </c>
      <c r="R5210" t="s">
        <v>261</v>
      </c>
      <c r="S5210" t="s">
        <v>261</v>
      </c>
      <c r="T5210" t="s">
        <v>261</v>
      </c>
      <c r="U5210" t="s">
        <v>262</v>
      </c>
      <c r="V5210" t="s">
        <v>262</v>
      </c>
      <c r="W5210" t="s">
        <v>261</v>
      </c>
      <c r="X5210" t="s">
        <v>262</v>
      </c>
      <c r="Y5210" t="s">
        <v>261</v>
      </c>
      <c r="AB5210" t="s">
        <v>409</v>
      </c>
      <c r="AC5210" t="s">
        <v>409</v>
      </c>
      <c r="AD5210" t="s">
        <v>261</v>
      </c>
      <c r="AH5210" t="s">
        <v>262</v>
      </c>
      <c r="AI5210" t="s">
        <v>262</v>
      </c>
      <c r="AJ5210" t="s">
        <v>261</v>
      </c>
      <c r="AK5210" t="s">
        <v>261</v>
      </c>
      <c r="AM5210" t="s">
        <v>262</v>
      </c>
      <c r="AN5210" t="s">
        <v>13605</v>
      </c>
    </row>
    <row r="5211" spans="1:40" x14ac:dyDescent="0.35">
      <c r="A5211">
        <v>7109142</v>
      </c>
      <c r="B5211" t="s">
        <v>13606</v>
      </c>
      <c r="C5211" t="str">
        <f>"9783428043132"</f>
        <v>9783428043132</v>
      </c>
      <c r="D5211" t="str">
        <f>"9783428443130"</f>
        <v>9783428443130</v>
      </c>
      <c r="E5211" t="s">
        <v>12661</v>
      </c>
      <c r="F5211" t="s">
        <v>12661</v>
      </c>
      <c r="G5211" s="1">
        <v>44769</v>
      </c>
      <c r="H5211" s="1">
        <v>44897</v>
      </c>
      <c r="I5211" t="s">
        <v>189</v>
      </c>
      <c r="J5211">
        <v>1</v>
      </c>
      <c r="K5211" t="s">
        <v>12662</v>
      </c>
      <c r="L5211" t="s">
        <v>12810</v>
      </c>
      <c r="M5211" t="s">
        <v>282</v>
      </c>
      <c r="Q5211" t="s">
        <v>408</v>
      </c>
      <c r="R5211" t="s">
        <v>261</v>
      </c>
      <c r="S5211" t="s">
        <v>261</v>
      </c>
      <c r="T5211" t="s">
        <v>261</v>
      </c>
      <c r="U5211" t="s">
        <v>262</v>
      </c>
      <c r="V5211" t="s">
        <v>262</v>
      </c>
      <c r="W5211" t="s">
        <v>261</v>
      </c>
      <c r="X5211" t="s">
        <v>262</v>
      </c>
      <c r="Y5211" t="s">
        <v>261</v>
      </c>
      <c r="AB5211" t="s">
        <v>409</v>
      </c>
      <c r="AC5211" t="s">
        <v>409</v>
      </c>
      <c r="AD5211" t="s">
        <v>261</v>
      </c>
      <c r="AH5211" t="s">
        <v>262</v>
      </c>
      <c r="AI5211" t="s">
        <v>262</v>
      </c>
      <c r="AJ5211" t="s">
        <v>261</v>
      </c>
      <c r="AK5211" t="s">
        <v>261</v>
      </c>
      <c r="AM5211" t="s">
        <v>262</v>
      </c>
      <c r="AN5211" t="s">
        <v>13607</v>
      </c>
    </row>
    <row r="5212" spans="1:40" x14ac:dyDescent="0.35">
      <c r="A5212">
        <v>7109143</v>
      </c>
      <c r="B5212" t="s">
        <v>13608</v>
      </c>
      <c r="C5212" t="str">
        <f>"9783428049585"</f>
        <v>9783428049585</v>
      </c>
      <c r="D5212" t="str">
        <f>"9783428449583"</f>
        <v>9783428449583</v>
      </c>
      <c r="E5212" t="s">
        <v>12661</v>
      </c>
      <c r="F5212" t="s">
        <v>12661</v>
      </c>
      <c r="G5212" s="1">
        <v>44769</v>
      </c>
      <c r="H5212" s="1">
        <v>44897</v>
      </c>
      <c r="I5212" t="s">
        <v>189</v>
      </c>
      <c r="J5212">
        <v>1</v>
      </c>
      <c r="K5212" t="s">
        <v>12662</v>
      </c>
      <c r="L5212" t="s">
        <v>12810</v>
      </c>
      <c r="M5212" t="s">
        <v>282</v>
      </c>
      <c r="Q5212" t="s">
        <v>408</v>
      </c>
      <c r="R5212" t="s">
        <v>261</v>
      </c>
      <c r="S5212" t="s">
        <v>261</v>
      </c>
      <c r="T5212" t="s">
        <v>261</v>
      </c>
      <c r="U5212" t="s">
        <v>262</v>
      </c>
      <c r="V5212" t="s">
        <v>262</v>
      </c>
      <c r="W5212" t="s">
        <v>261</v>
      </c>
      <c r="X5212" t="s">
        <v>262</v>
      </c>
      <c r="Y5212" t="s">
        <v>261</v>
      </c>
      <c r="AB5212" t="s">
        <v>409</v>
      </c>
      <c r="AC5212" t="s">
        <v>409</v>
      </c>
      <c r="AD5212" t="s">
        <v>261</v>
      </c>
      <c r="AH5212" t="s">
        <v>262</v>
      </c>
      <c r="AI5212" t="s">
        <v>262</v>
      </c>
      <c r="AJ5212" t="s">
        <v>261</v>
      </c>
      <c r="AK5212" t="s">
        <v>261</v>
      </c>
      <c r="AM5212" t="s">
        <v>262</v>
      </c>
      <c r="AN5212" t="s">
        <v>13609</v>
      </c>
    </row>
    <row r="5213" spans="1:40" x14ac:dyDescent="0.35">
      <c r="A5213">
        <v>7109144</v>
      </c>
      <c r="B5213" t="s">
        <v>13610</v>
      </c>
      <c r="C5213" t="str">
        <f>"9783428054145"</f>
        <v>9783428054145</v>
      </c>
      <c r="D5213" t="str">
        <f>"9783428454143"</f>
        <v>9783428454143</v>
      </c>
      <c r="E5213" t="s">
        <v>12661</v>
      </c>
      <c r="F5213" t="s">
        <v>12661</v>
      </c>
      <c r="G5213" s="1">
        <v>44769</v>
      </c>
      <c r="H5213" s="1">
        <v>44897</v>
      </c>
      <c r="I5213" t="s">
        <v>189</v>
      </c>
      <c r="J5213">
        <v>1</v>
      </c>
      <c r="K5213" t="s">
        <v>12662</v>
      </c>
      <c r="L5213" t="s">
        <v>12973</v>
      </c>
      <c r="M5213" t="s">
        <v>210</v>
      </c>
      <c r="Q5213" t="s">
        <v>408</v>
      </c>
      <c r="R5213" t="s">
        <v>261</v>
      </c>
      <c r="S5213" t="s">
        <v>261</v>
      </c>
      <c r="T5213" t="s">
        <v>261</v>
      </c>
      <c r="U5213" t="s">
        <v>262</v>
      </c>
      <c r="V5213" t="s">
        <v>262</v>
      </c>
      <c r="W5213" t="s">
        <v>261</v>
      </c>
      <c r="X5213" t="s">
        <v>262</v>
      </c>
      <c r="Y5213" t="s">
        <v>261</v>
      </c>
      <c r="AB5213" t="s">
        <v>409</v>
      </c>
      <c r="AC5213" t="s">
        <v>409</v>
      </c>
      <c r="AD5213" t="s">
        <v>261</v>
      </c>
      <c r="AH5213" t="s">
        <v>262</v>
      </c>
      <c r="AI5213" t="s">
        <v>262</v>
      </c>
      <c r="AJ5213" t="s">
        <v>261</v>
      </c>
      <c r="AK5213" t="s">
        <v>261</v>
      </c>
      <c r="AM5213" t="s">
        <v>262</v>
      </c>
      <c r="AN5213" t="s">
        <v>13611</v>
      </c>
    </row>
    <row r="5214" spans="1:40" x14ac:dyDescent="0.35">
      <c r="A5214">
        <v>7109145</v>
      </c>
      <c r="B5214" t="s">
        <v>13612</v>
      </c>
      <c r="C5214" t="str">
        <f>"9783428054909"</f>
        <v>9783428054909</v>
      </c>
      <c r="D5214" t="str">
        <f>"9783428454907"</f>
        <v>9783428454907</v>
      </c>
      <c r="E5214" t="s">
        <v>12661</v>
      </c>
      <c r="F5214" t="s">
        <v>12661</v>
      </c>
      <c r="G5214" s="1">
        <v>44769</v>
      </c>
      <c r="H5214" s="1">
        <v>44897</v>
      </c>
      <c r="I5214" t="s">
        <v>189</v>
      </c>
      <c r="J5214">
        <v>1</v>
      </c>
      <c r="K5214" t="s">
        <v>12662</v>
      </c>
      <c r="L5214" t="s">
        <v>12864</v>
      </c>
      <c r="M5214" t="s">
        <v>282</v>
      </c>
      <c r="Q5214" t="s">
        <v>408</v>
      </c>
      <c r="R5214" t="s">
        <v>261</v>
      </c>
      <c r="S5214" t="s">
        <v>261</v>
      </c>
      <c r="T5214" t="s">
        <v>261</v>
      </c>
      <c r="U5214" t="s">
        <v>262</v>
      </c>
      <c r="V5214" t="s">
        <v>262</v>
      </c>
      <c r="W5214" t="s">
        <v>261</v>
      </c>
      <c r="X5214" t="s">
        <v>262</v>
      </c>
      <c r="Y5214" t="s">
        <v>261</v>
      </c>
      <c r="AB5214" t="s">
        <v>409</v>
      </c>
      <c r="AC5214" t="s">
        <v>409</v>
      </c>
      <c r="AD5214" t="s">
        <v>261</v>
      </c>
      <c r="AH5214" t="s">
        <v>262</v>
      </c>
      <c r="AI5214" t="s">
        <v>262</v>
      </c>
      <c r="AJ5214" t="s">
        <v>261</v>
      </c>
      <c r="AK5214" t="s">
        <v>261</v>
      </c>
      <c r="AM5214" t="s">
        <v>262</v>
      </c>
      <c r="AN5214" t="s">
        <v>13613</v>
      </c>
    </row>
    <row r="5215" spans="1:40" x14ac:dyDescent="0.35">
      <c r="A5215">
        <v>7109146</v>
      </c>
      <c r="B5215" t="s">
        <v>13614</v>
      </c>
      <c r="C5215" t="str">
        <f>"9783428062881"</f>
        <v>9783428062881</v>
      </c>
      <c r="D5215" t="str">
        <f>"9783428462889"</f>
        <v>9783428462889</v>
      </c>
      <c r="E5215" t="s">
        <v>12661</v>
      </c>
      <c r="F5215" t="s">
        <v>12661</v>
      </c>
      <c r="G5215" s="1">
        <v>44769</v>
      </c>
      <c r="H5215" s="1">
        <v>44897</v>
      </c>
      <c r="I5215" t="s">
        <v>189</v>
      </c>
      <c r="J5215">
        <v>1</v>
      </c>
      <c r="K5215" t="s">
        <v>12662</v>
      </c>
      <c r="L5215" t="s">
        <v>13018</v>
      </c>
      <c r="M5215" t="s">
        <v>210</v>
      </c>
      <c r="Q5215" t="s">
        <v>408</v>
      </c>
      <c r="R5215" t="s">
        <v>261</v>
      </c>
      <c r="S5215" t="s">
        <v>261</v>
      </c>
      <c r="T5215" t="s">
        <v>261</v>
      </c>
      <c r="U5215" t="s">
        <v>262</v>
      </c>
      <c r="V5215" t="s">
        <v>262</v>
      </c>
      <c r="W5215" t="s">
        <v>261</v>
      </c>
      <c r="X5215" t="s">
        <v>262</v>
      </c>
      <c r="Y5215" t="s">
        <v>261</v>
      </c>
      <c r="AB5215" t="s">
        <v>409</v>
      </c>
      <c r="AC5215" t="s">
        <v>409</v>
      </c>
      <c r="AD5215" t="s">
        <v>261</v>
      </c>
      <c r="AH5215" t="s">
        <v>262</v>
      </c>
      <c r="AI5215" t="s">
        <v>262</v>
      </c>
      <c r="AJ5215" t="s">
        <v>261</v>
      </c>
      <c r="AK5215" t="s">
        <v>261</v>
      </c>
      <c r="AM5215" t="s">
        <v>262</v>
      </c>
      <c r="AN5215" t="s">
        <v>13615</v>
      </c>
    </row>
    <row r="5216" spans="1:40" x14ac:dyDescent="0.35">
      <c r="A5216">
        <v>28870493</v>
      </c>
      <c r="B5216" t="s">
        <v>13616</v>
      </c>
      <c r="C5216" t="str">
        <f>"9781439921500"</f>
        <v>9781439921500</v>
      </c>
      <c r="D5216" t="str">
        <f>"9781439921517"</f>
        <v>9781439921517</v>
      </c>
      <c r="E5216" t="s">
        <v>321</v>
      </c>
      <c r="F5216" t="s">
        <v>321</v>
      </c>
      <c r="G5216" s="1">
        <v>44540</v>
      </c>
      <c r="H5216" s="1">
        <v>44558</v>
      </c>
      <c r="I5216" t="s">
        <v>189</v>
      </c>
      <c r="J5216">
        <v>1</v>
      </c>
      <c r="K5216" t="s">
        <v>13617</v>
      </c>
      <c r="L5216" t="s">
        <v>13618</v>
      </c>
      <c r="M5216" t="s">
        <v>389</v>
      </c>
      <c r="N5216" t="s">
        <v>13619</v>
      </c>
      <c r="O5216" s="2">
        <v>297272</v>
      </c>
      <c r="Q5216" t="s">
        <v>260</v>
      </c>
      <c r="R5216" t="s">
        <v>261</v>
      </c>
      <c r="S5216" t="s">
        <v>261</v>
      </c>
      <c r="T5216" t="s">
        <v>261</v>
      </c>
      <c r="U5216" t="s">
        <v>261</v>
      </c>
      <c r="V5216" t="s">
        <v>262</v>
      </c>
      <c r="W5216" t="s">
        <v>261</v>
      </c>
      <c r="X5216" t="s">
        <v>261</v>
      </c>
      <c r="Y5216" t="s">
        <v>261</v>
      </c>
      <c r="Z5216" t="s">
        <v>409</v>
      </c>
      <c r="AA5216" t="s">
        <v>409</v>
      </c>
      <c r="AB5216" t="s">
        <v>409</v>
      </c>
      <c r="AD5216" t="s">
        <v>261</v>
      </c>
      <c r="AH5216" t="s">
        <v>262</v>
      </c>
      <c r="AI5216" t="s">
        <v>262</v>
      </c>
      <c r="AJ5216" t="s">
        <v>261</v>
      </c>
      <c r="AK5216" t="s">
        <v>261</v>
      </c>
      <c r="AM5216" t="s">
        <v>262</v>
      </c>
      <c r="AN5216" t="s">
        <v>13620</v>
      </c>
    </row>
    <row r="5217" spans="1:40" x14ac:dyDescent="0.35">
      <c r="A5217">
        <v>28870497</v>
      </c>
      <c r="B5217" t="s">
        <v>13621</v>
      </c>
      <c r="C5217" t="str">
        <f>"9780822966791"</f>
        <v>9780822966791</v>
      </c>
      <c r="D5217" t="str">
        <f>"9780822988656"</f>
        <v>9780822988656</v>
      </c>
      <c r="E5217" t="s">
        <v>13622</v>
      </c>
      <c r="F5217" t="s">
        <v>13622</v>
      </c>
      <c r="G5217" s="1">
        <v>44474</v>
      </c>
      <c r="H5217" s="1">
        <v>44542</v>
      </c>
      <c r="I5217" t="s">
        <v>189</v>
      </c>
      <c r="J5217">
        <v>1</v>
      </c>
      <c r="K5217" t="s">
        <v>13623</v>
      </c>
      <c r="L5217" t="s">
        <v>13624</v>
      </c>
      <c r="M5217" t="s">
        <v>219</v>
      </c>
      <c r="O5217" s="2">
        <v>813010806</v>
      </c>
      <c r="Q5217" t="s">
        <v>260</v>
      </c>
      <c r="R5217" t="s">
        <v>261</v>
      </c>
      <c r="S5217" t="s">
        <v>261</v>
      </c>
      <c r="T5217" t="s">
        <v>261</v>
      </c>
      <c r="U5217" t="s">
        <v>261</v>
      </c>
      <c r="V5217" t="s">
        <v>262</v>
      </c>
      <c r="W5217" t="s">
        <v>261</v>
      </c>
      <c r="X5217" t="s">
        <v>261</v>
      </c>
      <c r="Y5217" t="s">
        <v>261</v>
      </c>
      <c r="Z5217" t="s">
        <v>409</v>
      </c>
      <c r="AA5217" t="s">
        <v>409</v>
      </c>
      <c r="AB5217" t="s">
        <v>409</v>
      </c>
      <c r="AC5217" t="s">
        <v>409</v>
      </c>
      <c r="AD5217" t="s">
        <v>261</v>
      </c>
      <c r="AH5217" t="s">
        <v>262</v>
      </c>
      <c r="AI5217" t="s">
        <v>262</v>
      </c>
      <c r="AJ5217" t="s">
        <v>261</v>
      </c>
      <c r="AK5217" t="s">
        <v>261</v>
      </c>
      <c r="AM5217" t="s">
        <v>262</v>
      </c>
      <c r="AN5217" t="s">
        <v>13625</v>
      </c>
    </row>
    <row r="5218" spans="1:40" x14ac:dyDescent="0.35">
      <c r="A5218">
        <v>29292771</v>
      </c>
      <c r="B5218" t="s">
        <v>13626</v>
      </c>
      <c r="C5218" t="str">
        <f>""</f>
        <v/>
      </c>
      <c r="D5218" t="str">
        <f>"9789633864791"</f>
        <v>9789633864791</v>
      </c>
      <c r="E5218" t="s">
        <v>1797</v>
      </c>
      <c r="F5218" t="s">
        <v>1797</v>
      </c>
      <c r="G5218" s="1">
        <v>44788</v>
      </c>
      <c r="H5218" s="1">
        <v>44721</v>
      </c>
      <c r="I5218" t="s">
        <v>189</v>
      </c>
      <c r="J5218">
        <v>1</v>
      </c>
      <c r="L5218" t="s">
        <v>13627</v>
      </c>
      <c r="M5218" t="s">
        <v>210</v>
      </c>
    </row>
    <row r="5219" spans="1:40" x14ac:dyDescent="0.35">
      <c r="A5219">
        <v>29377749</v>
      </c>
      <c r="B5219" t="s">
        <v>12269</v>
      </c>
      <c r="C5219" t="str">
        <f>"9780813597263"</f>
        <v>9780813597263</v>
      </c>
      <c r="D5219" t="str">
        <f>"9780813597300"</f>
        <v>9780813597300</v>
      </c>
      <c r="E5219" t="s">
        <v>336</v>
      </c>
      <c r="F5219" t="s">
        <v>336</v>
      </c>
      <c r="G5219" s="1">
        <v>44742</v>
      </c>
      <c r="H5219" s="1">
        <v>44761</v>
      </c>
      <c r="I5219" t="s">
        <v>189</v>
      </c>
      <c r="J5219">
        <v>1</v>
      </c>
      <c r="K5219" t="s">
        <v>12270</v>
      </c>
      <c r="L5219" t="s">
        <v>12271</v>
      </c>
    </row>
    <row r="5220" spans="1:40" x14ac:dyDescent="0.35">
      <c r="A5220">
        <v>29796515</v>
      </c>
      <c r="B5220" t="s">
        <v>13628</v>
      </c>
      <c r="C5220" t="str">
        <f>""</f>
        <v/>
      </c>
      <c r="D5220" t="str">
        <f>"9781800106321"</f>
        <v>9781800106321</v>
      </c>
      <c r="E5220" t="s">
        <v>9638</v>
      </c>
      <c r="F5220" t="s">
        <v>9639</v>
      </c>
      <c r="G5220" s="1">
        <v>44810</v>
      </c>
      <c r="H5220" s="1">
        <v>44809</v>
      </c>
      <c r="I5220" t="s">
        <v>189</v>
      </c>
      <c r="J5220">
        <v>1</v>
      </c>
      <c r="K5220" t="s">
        <v>13629</v>
      </c>
      <c r="L5220" t="s">
        <v>13630</v>
      </c>
    </row>
    <row r="5221" spans="1:40" x14ac:dyDescent="0.35">
      <c r="A5221">
        <v>30003731</v>
      </c>
      <c r="B5221" t="s">
        <v>13631</v>
      </c>
      <c r="C5221" t="str">
        <f>"9789087282721"</f>
        <v>9789087282721</v>
      </c>
      <c r="D5221" t="str">
        <f>"9789400602779"</f>
        <v>9789400602779</v>
      </c>
      <c r="E5221" t="s">
        <v>361</v>
      </c>
      <c r="F5221" t="s">
        <v>13632</v>
      </c>
      <c r="G5221" s="1">
        <v>42795</v>
      </c>
      <c r="H5221" s="1">
        <v>44854</v>
      </c>
      <c r="I5221" t="s">
        <v>189</v>
      </c>
      <c r="J5221">
        <v>1</v>
      </c>
      <c r="K5221" t="s">
        <v>13633</v>
      </c>
      <c r="L5221" t="s">
        <v>13634</v>
      </c>
      <c r="M5221" t="s">
        <v>219</v>
      </c>
      <c r="N5221" t="s">
        <v>13635</v>
      </c>
      <c r="O5221" t="s">
        <v>13636</v>
      </c>
      <c r="Q5221" t="s">
        <v>260</v>
      </c>
      <c r="R5221" t="s">
        <v>261</v>
      </c>
      <c r="S5221" t="s">
        <v>261</v>
      </c>
      <c r="T5221" t="s">
        <v>261</v>
      </c>
      <c r="U5221" t="s">
        <v>261</v>
      </c>
      <c r="V5221" t="s">
        <v>262</v>
      </c>
      <c r="W5221" t="s">
        <v>261</v>
      </c>
      <c r="X5221" t="s">
        <v>261</v>
      </c>
      <c r="Y5221" t="s">
        <v>261</v>
      </c>
      <c r="Z5221" t="s">
        <v>409</v>
      </c>
      <c r="AA5221" t="s">
        <v>409</v>
      </c>
      <c r="AB5221" t="s">
        <v>409</v>
      </c>
      <c r="AC5221" t="s">
        <v>409</v>
      </c>
      <c r="AD5221" t="s">
        <v>261</v>
      </c>
      <c r="AH5221" t="s">
        <v>262</v>
      </c>
      <c r="AI5221" t="s">
        <v>262</v>
      </c>
      <c r="AJ5221" t="s">
        <v>261</v>
      </c>
      <c r="AK5221" t="s">
        <v>261</v>
      </c>
      <c r="AM5221" t="s">
        <v>262</v>
      </c>
      <c r="AN5221" t="s">
        <v>13637</v>
      </c>
    </row>
    <row r="5222" spans="1:40" x14ac:dyDescent="0.35">
      <c r="A5222">
        <v>30003734</v>
      </c>
      <c r="B5222" t="s">
        <v>13638</v>
      </c>
    </row>
    <row r="5223" spans="1:40" x14ac:dyDescent="0.35">
      <c r="A5223">
        <v>30130758</v>
      </c>
      <c r="B5223" t="s">
        <v>13639</v>
      </c>
      <c r="C5223" t="str">
        <f>""</f>
        <v/>
      </c>
      <c r="D5223" t="str">
        <f>"9781800105621"</f>
        <v>9781800105621</v>
      </c>
      <c r="E5223" t="s">
        <v>9638</v>
      </c>
      <c r="F5223" t="s">
        <v>9639</v>
      </c>
      <c r="G5223" s="1">
        <v>44768</v>
      </c>
      <c r="H5223" s="1">
        <v>44826</v>
      </c>
      <c r="I5223" t="s">
        <v>189</v>
      </c>
      <c r="J5223">
        <v>1</v>
      </c>
      <c r="K5223" t="s">
        <v>13640</v>
      </c>
      <c r="L5223" t="s">
        <v>13641</v>
      </c>
    </row>
    <row r="5224" spans="1:40" x14ac:dyDescent="0.35">
      <c r="A5224">
        <v>30169224</v>
      </c>
      <c r="B5224" t="s">
        <v>13642</v>
      </c>
      <c r="C5224" t="str">
        <f>""</f>
        <v/>
      </c>
      <c r="D5224" t="str">
        <f>"9781800643703"</f>
        <v>9781800643703</v>
      </c>
      <c r="E5224" t="s">
        <v>1807</v>
      </c>
      <c r="F5224" t="s">
        <v>1807</v>
      </c>
      <c r="G5224" s="1">
        <v>44700</v>
      </c>
      <c r="H5224" s="1">
        <v>44853</v>
      </c>
      <c r="I5224" t="s">
        <v>189</v>
      </c>
      <c r="J5224">
        <v>1</v>
      </c>
      <c r="L5224" t="s">
        <v>3200</v>
      </c>
      <c r="M5224" t="s">
        <v>219</v>
      </c>
      <c r="Q5224" t="s">
        <v>260</v>
      </c>
      <c r="R5224" t="s">
        <v>261</v>
      </c>
      <c r="S5224" t="s">
        <v>261</v>
      </c>
      <c r="T5224" t="s">
        <v>261</v>
      </c>
      <c r="U5224" t="s">
        <v>261</v>
      </c>
      <c r="V5224" t="s">
        <v>262</v>
      </c>
      <c r="W5224" t="s">
        <v>261</v>
      </c>
      <c r="X5224" t="s">
        <v>261</v>
      </c>
      <c r="Y5224" t="s">
        <v>261</v>
      </c>
      <c r="Z5224" t="s">
        <v>409</v>
      </c>
      <c r="AA5224" t="s">
        <v>409</v>
      </c>
      <c r="AB5224" t="s">
        <v>409</v>
      </c>
      <c r="AC5224" t="s">
        <v>409</v>
      </c>
      <c r="AD5224" t="s">
        <v>261</v>
      </c>
      <c r="AH5224" t="s">
        <v>262</v>
      </c>
      <c r="AI5224" t="s">
        <v>262</v>
      </c>
      <c r="AJ5224" t="s">
        <v>261</v>
      </c>
      <c r="AK5224" t="s">
        <v>261</v>
      </c>
      <c r="AM5224" t="s">
        <v>262</v>
      </c>
      <c r="AN5224" t="s">
        <v>13643</v>
      </c>
    </row>
    <row r="5225" spans="1:40" x14ac:dyDescent="0.35">
      <c r="A5225">
        <v>30169225</v>
      </c>
      <c r="B5225" t="s">
        <v>13644</v>
      </c>
      <c r="C5225" t="str">
        <f>""</f>
        <v/>
      </c>
      <c r="D5225" t="str">
        <f>"9781800647442"</f>
        <v>9781800647442</v>
      </c>
      <c r="E5225" t="s">
        <v>1807</v>
      </c>
      <c r="F5225" t="s">
        <v>1807</v>
      </c>
      <c r="G5225" s="1">
        <v>44811</v>
      </c>
      <c r="H5225" s="1">
        <v>44853</v>
      </c>
      <c r="I5225" t="s">
        <v>189</v>
      </c>
      <c r="J5225">
        <v>1</v>
      </c>
      <c r="L5225" t="s">
        <v>13645</v>
      </c>
      <c r="M5225" t="s">
        <v>219</v>
      </c>
      <c r="N5225" t="s">
        <v>13646</v>
      </c>
      <c r="Q5225" t="s">
        <v>260</v>
      </c>
      <c r="R5225" t="s">
        <v>261</v>
      </c>
      <c r="S5225" t="s">
        <v>261</v>
      </c>
      <c r="T5225" t="s">
        <v>261</v>
      </c>
      <c r="U5225" t="s">
        <v>261</v>
      </c>
      <c r="V5225" t="s">
        <v>262</v>
      </c>
      <c r="W5225" t="s">
        <v>261</v>
      </c>
      <c r="X5225" t="s">
        <v>261</v>
      </c>
      <c r="Y5225" t="s">
        <v>261</v>
      </c>
      <c r="Z5225" t="s">
        <v>409</v>
      </c>
      <c r="AA5225" t="s">
        <v>409</v>
      </c>
      <c r="AB5225" t="s">
        <v>409</v>
      </c>
      <c r="AC5225" t="s">
        <v>409</v>
      </c>
      <c r="AD5225" t="s">
        <v>261</v>
      </c>
      <c r="AH5225" t="s">
        <v>262</v>
      </c>
      <c r="AI5225" t="s">
        <v>262</v>
      </c>
      <c r="AJ5225" t="s">
        <v>261</v>
      </c>
      <c r="AK5225" t="s">
        <v>261</v>
      </c>
      <c r="AM5225" t="s">
        <v>262</v>
      </c>
      <c r="AN5225" t="s">
        <v>13647</v>
      </c>
    </row>
    <row r="5226" spans="1:40" x14ac:dyDescent="0.35">
      <c r="A5226">
        <v>30169226</v>
      </c>
      <c r="B5226" t="s">
        <v>13648</v>
      </c>
      <c r="C5226" t="str">
        <f>""</f>
        <v/>
      </c>
      <c r="D5226" t="str">
        <f>"9781800643642"</f>
        <v>9781800643642</v>
      </c>
      <c r="E5226" t="s">
        <v>1807</v>
      </c>
      <c r="F5226" t="s">
        <v>1807</v>
      </c>
      <c r="G5226" s="1">
        <v>44865</v>
      </c>
      <c r="H5226" s="1">
        <v>44874</v>
      </c>
      <c r="I5226" t="s">
        <v>189</v>
      </c>
      <c r="J5226">
        <v>1</v>
      </c>
      <c r="L5226" t="s">
        <v>13649</v>
      </c>
    </row>
    <row r="5227" spans="1:40" x14ac:dyDescent="0.35">
      <c r="A5227">
        <v>30169227</v>
      </c>
      <c r="B5227" t="s">
        <v>13650</v>
      </c>
      <c r="C5227" t="str">
        <f>""</f>
        <v/>
      </c>
      <c r="D5227" t="str">
        <f>"9781800647510"</f>
        <v>9781800647510</v>
      </c>
      <c r="E5227" t="s">
        <v>1807</v>
      </c>
      <c r="F5227" t="s">
        <v>1807</v>
      </c>
      <c r="G5227" s="1">
        <v>44845</v>
      </c>
      <c r="H5227" s="1">
        <v>44874</v>
      </c>
      <c r="I5227" t="s">
        <v>189</v>
      </c>
      <c r="J5227">
        <v>1</v>
      </c>
      <c r="L5227" t="s">
        <v>13651</v>
      </c>
    </row>
    <row r="5228" spans="1:40" x14ac:dyDescent="0.35">
      <c r="A5228">
        <v>30169228</v>
      </c>
      <c r="B5228" t="s">
        <v>13652</v>
      </c>
      <c r="C5228" t="str">
        <f>""</f>
        <v/>
      </c>
      <c r="D5228" t="str">
        <f>"9781800647275"</f>
        <v>9781800647275</v>
      </c>
      <c r="E5228" t="s">
        <v>1807</v>
      </c>
      <c r="F5228" t="s">
        <v>1807</v>
      </c>
      <c r="G5228" s="1">
        <v>44776</v>
      </c>
      <c r="H5228" s="1">
        <v>44853</v>
      </c>
      <c r="I5228" t="s">
        <v>189</v>
      </c>
      <c r="J5228">
        <v>1</v>
      </c>
      <c r="K5228" t="s">
        <v>3667</v>
      </c>
      <c r="L5228" t="s">
        <v>13653</v>
      </c>
      <c r="M5228" t="s">
        <v>219</v>
      </c>
    </row>
    <row r="5229" spans="1:40" x14ac:dyDescent="0.35">
      <c r="A5229">
        <v>30169232</v>
      </c>
      <c r="B5229" t="s">
        <v>13654</v>
      </c>
      <c r="C5229" t="str">
        <f>""</f>
        <v/>
      </c>
      <c r="D5229" t="str">
        <f>"9781800647718"</f>
        <v>9781800647718</v>
      </c>
      <c r="E5229" t="s">
        <v>1807</v>
      </c>
      <c r="F5229" t="s">
        <v>1807</v>
      </c>
      <c r="G5229" s="1">
        <v>44728</v>
      </c>
      <c r="H5229" s="1">
        <v>44853</v>
      </c>
      <c r="I5229" t="s">
        <v>189</v>
      </c>
      <c r="J5229">
        <v>1</v>
      </c>
      <c r="L5229" t="s">
        <v>3668</v>
      </c>
    </row>
    <row r="5230" spans="1:40" x14ac:dyDescent="0.35">
      <c r="A5230">
        <v>30169233</v>
      </c>
      <c r="B5230" t="s">
        <v>13655</v>
      </c>
      <c r="C5230" t="str">
        <f>""</f>
        <v/>
      </c>
      <c r="D5230" t="str">
        <f>"9781800647817"</f>
        <v>9781800647817</v>
      </c>
      <c r="E5230" t="s">
        <v>1807</v>
      </c>
      <c r="F5230" t="s">
        <v>1807</v>
      </c>
      <c r="G5230" s="1">
        <v>44726</v>
      </c>
      <c r="H5230" s="1">
        <v>44853</v>
      </c>
      <c r="I5230" t="s">
        <v>189</v>
      </c>
      <c r="J5230">
        <v>1</v>
      </c>
      <c r="L5230" t="s">
        <v>13656</v>
      </c>
    </row>
    <row r="5231" spans="1:40" x14ac:dyDescent="0.35">
      <c r="A5231">
        <v>30169234</v>
      </c>
      <c r="B5231" t="s">
        <v>13657</v>
      </c>
      <c r="C5231" t="str">
        <f>""</f>
        <v/>
      </c>
      <c r="D5231" t="str">
        <f>"9781800647954"</f>
        <v>9781800647954</v>
      </c>
      <c r="E5231" t="s">
        <v>1807</v>
      </c>
      <c r="F5231" t="s">
        <v>1807</v>
      </c>
      <c r="G5231" s="1">
        <v>44860</v>
      </c>
      <c r="H5231" s="1">
        <v>44874</v>
      </c>
      <c r="I5231" t="s">
        <v>189</v>
      </c>
      <c r="J5231">
        <v>1</v>
      </c>
      <c r="L5231" t="s">
        <v>13658</v>
      </c>
      <c r="M5231" t="s">
        <v>210</v>
      </c>
      <c r="Q5231" t="s">
        <v>260</v>
      </c>
      <c r="R5231" t="s">
        <v>261</v>
      </c>
      <c r="S5231" t="s">
        <v>261</v>
      </c>
      <c r="T5231" t="s">
        <v>261</v>
      </c>
      <c r="U5231" t="s">
        <v>261</v>
      </c>
      <c r="V5231" t="s">
        <v>262</v>
      </c>
      <c r="W5231" t="s">
        <v>261</v>
      </c>
      <c r="X5231" t="s">
        <v>261</v>
      </c>
      <c r="Y5231" t="s">
        <v>261</v>
      </c>
      <c r="Z5231" t="s">
        <v>409</v>
      </c>
      <c r="AA5231" t="s">
        <v>409</v>
      </c>
      <c r="AB5231" t="s">
        <v>409</v>
      </c>
      <c r="AC5231" t="s">
        <v>409</v>
      </c>
      <c r="AD5231" t="s">
        <v>261</v>
      </c>
      <c r="AH5231" t="s">
        <v>262</v>
      </c>
      <c r="AI5231" t="s">
        <v>262</v>
      </c>
      <c r="AJ5231" t="s">
        <v>261</v>
      </c>
      <c r="AK5231" t="s">
        <v>261</v>
      </c>
      <c r="AM5231" t="s">
        <v>262</v>
      </c>
      <c r="AN5231" t="s">
        <v>13659</v>
      </c>
    </row>
    <row r="5232" spans="1:40" x14ac:dyDescent="0.35">
      <c r="A5232">
        <v>30169235</v>
      </c>
      <c r="B5232" t="s">
        <v>13660</v>
      </c>
      <c r="C5232" t="str">
        <f>""</f>
        <v/>
      </c>
      <c r="D5232" t="str">
        <f>"9781800642386"</f>
        <v>9781800642386</v>
      </c>
      <c r="E5232" t="s">
        <v>1807</v>
      </c>
      <c r="F5232" t="s">
        <v>1807</v>
      </c>
      <c r="G5232" s="1">
        <v>44830</v>
      </c>
      <c r="H5232" s="1">
        <v>44853</v>
      </c>
      <c r="I5232" t="s">
        <v>189</v>
      </c>
      <c r="J5232">
        <v>1</v>
      </c>
      <c r="L5232" t="s">
        <v>3415</v>
      </c>
      <c r="M5232" t="s">
        <v>2413</v>
      </c>
    </row>
    <row r="5233" spans="1:40" x14ac:dyDescent="0.35">
      <c r="A5233">
        <v>30169236</v>
      </c>
      <c r="B5233" t="s">
        <v>13661</v>
      </c>
      <c r="C5233" t="str">
        <f>""</f>
        <v/>
      </c>
      <c r="D5233" t="str">
        <f>"9781800647688"</f>
        <v>9781800647688</v>
      </c>
      <c r="E5233" t="s">
        <v>1807</v>
      </c>
      <c r="F5233" t="s">
        <v>1807</v>
      </c>
      <c r="G5233" s="1">
        <v>44732</v>
      </c>
      <c r="H5233" s="1">
        <v>44853</v>
      </c>
      <c r="I5233" t="s">
        <v>189</v>
      </c>
      <c r="J5233">
        <v>1</v>
      </c>
      <c r="L5233" t="s">
        <v>3668</v>
      </c>
    </row>
    <row r="5234" spans="1:40" x14ac:dyDescent="0.35">
      <c r="A5234">
        <v>30169238</v>
      </c>
      <c r="B5234" t="s">
        <v>13662</v>
      </c>
      <c r="C5234" t="str">
        <f>""</f>
        <v/>
      </c>
      <c r="D5234" t="str">
        <f>"9781800647107"</f>
        <v>9781800647107</v>
      </c>
      <c r="E5234" t="s">
        <v>1807</v>
      </c>
      <c r="F5234" t="s">
        <v>1807</v>
      </c>
      <c r="G5234" s="1">
        <v>44879</v>
      </c>
      <c r="H5234" s="1">
        <v>44897</v>
      </c>
      <c r="I5234" t="s">
        <v>189</v>
      </c>
      <c r="J5234">
        <v>1</v>
      </c>
      <c r="L5234" t="s">
        <v>13663</v>
      </c>
    </row>
    <row r="5235" spans="1:40" x14ac:dyDescent="0.35">
      <c r="A5235">
        <v>30169239</v>
      </c>
      <c r="B5235" t="s">
        <v>13664</v>
      </c>
      <c r="C5235" t="str">
        <f>""</f>
        <v/>
      </c>
      <c r="D5235" t="str">
        <f>"9781800643765"</f>
        <v>9781800643765</v>
      </c>
      <c r="E5235" t="s">
        <v>1807</v>
      </c>
      <c r="F5235" t="s">
        <v>1807</v>
      </c>
      <c r="G5235" s="1">
        <v>44740</v>
      </c>
      <c r="H5235" s="1">
        <v>44853</v>
      </c>
      <c r="I5235" t="s">
        <v>189</v>
      </c>
      <c r="J5235">
        <v>1</v>
      </c>
      <c r="L5235" t="s">
        <v>13665</v>
      </c>
      <c r="M5235" t="s">
        <v>329</v>
      </c>
    </row>
    <row r="5236" spans="1:40" x14ac:dyDescent="0.35">
      <c r="A5236">
        <v>30169240</v>
      </c>
      <c r="B5236" t="s">
        <v>13666</v>
      </c>
      <c r="C5236" t="str">
        <f>""</f>
        <v/>
      </c>
      <c r="D5236" t="str">
        <f>"9781800644182"</f>
        <v>9781800644182</v>
      </c>
      <c r="E5236" t="s">
        <v>1807</v>
      </c>
      <c r="F5236" t="s">
        <v>1807</v>
      </c>
      <c r="G5236" s="1">
        <v>44735</v>
      </c>
      <c r="H5236" s="1">
        <v>44853</v>
      </c>
      <c r="I5236" t="s">
        <v>189</v>
      </c>
      <c r="J5236">
        <v>1</v>
      </c>
      <c r="L5236" t="s">
        <v>13667</v>
      </c>
    </row>
    <row r="5237" spans="1:40" x14ac:dyDescent="0.35">
      <c r="A5237">
        <v>30169241</v>
      </c>
      <c r="B5237" t="s">
        <v>13668</v>
      </c>
      <c r="C5237" t="str">
        <f>""</f>
        <v/>
      </c>
      <c r="D5237" t="str">
        <f>"9781800643468"</f>
        <v>9781800643468</v>
      </c>
      <c r="E5237" t="s">
        <v>1807</v>
      </c>
      <c r="F5237" t="s">
        <v>1807</v>
      </c>
      <c r="G5237" s="1">
        <v>44776</v>
      </c>
      <c r="H5237" s="1">
        <v>44851</v>
      </c>
      <c r="I5237" t="s">
        <v>189</v>
      </c>
      <c r="J5237">
        <v>1</v>
      </c>
      <c r="L5237" t="s">
        <v>1878</v>
      </c>
    </row>
    <row r="5238" spans="1:40" x14ac:dyDescent="0.35">
      <c r="A5238">
        <v>30169242</v>
      </c>
      <c r="B5238" t="s">
        <v>13669</v>
      </c>
      <c r="C5238" t="str">
        <f>""</f>
        <v/>
      </c>
      <c r="D5238" t="str">
        <f>"9781800644007"</f>
        <v>9781800644007</v>
      </c>
      <c r="E5238" t="s">
        <v>1807</v>
      </c>
      <c r="F5238" t="s">
        <v>1807</v>
      </c>
      <c r="G5238" s="1">
        <v>44840</v>
      </c>
      <c r="H5238" s="1">
        <v>44853</v>
      </c>
      <c r="I5238" t="s">
        <v>189</v>
      </c>
      <c r="J5238">
        <v>1</v>
      </c>
      <c r="K5238" t="s">
        <v>13670</v>
      </c>
      <c r="L5238" t="s">
        <v>13671</v>
      </c>
      <c r="M5238" t="s">
        <v>389</v>
      </c>
    </row>
    <row r="5239" spans="1:40" x14ac:dyDescent="0.35">
      <c r="A5239">
        <v>30169243</v>
      </c>
      <c r="B5239" t="s">
        <v>13672</v>
      </c>
      <c r="C5239" t="str">
        <f>""</f>
        <v/>
      </c>
      <c r="D5239" t="str">
        <f>"9781800647244"</f>
        <v>9781800647244</v>
      </c>
      <c r="E5239" t="s">
        <v>1807</v>
      </c>
      <c r="F5239" t="s">
        <v>1807</v>
      </c>
      <c r="G5239" s="1">
        <v>44847</v>
      </c>
      <c r="H5239" s="1">
        <v>44874</v>
      </c>
      <c r="I5239" t="s">
        <v>189</v>
      </c>
      <c r="J5239">
        <v>1</v>
      </c>
      <c r="K5239" t="s">
        <v>3667</v>
      </c>
      <c r="L5239" t="s">
        <v>13673</v>
      </c>
      <c r="M5239" t="s">
        <v>676</v>
      </c>
      <c r="Q5239" t="s">
        <v>260</v>
      </c>
      <c r="R5239" t="s">
        <v>261</v>
      </c>
      <c r="S5239" t="s">
        <v>261</v>
      </c>
      <c r="T5239" t="s">
        <v>261</v>
      </c>
      <c r="U5239" t="s">
        <v>261</v>
      </c>
      <c r="V5239" t="s">
        <v>262</v>
      </c>
      <c r="W5239" t="s">
        <v>261</v>
      </c>
      <c r="X5239" t="s">
        <v>261</v>
      </c>
      <c r="Y5239" t="s">
        <v>261</v>
      </c>
      <c r="Z5239" t="s">
        <v>409</v>
      </c>
      <c r="AA5239" t="s">
        <v>409</v>
      </c>
      <c r="AB5239" t="s">
        <v>409</v>
      </c>
      <c r="AC5239" t="s">
        <v>409</v>
      </c>
      <c r="AD5239" t="s">
        <v>261</v>
      </c>
      <c r="AH5239" t="s">
        <v>262</v>
      </c>
      <c r="AI5239" t="s">
        <v>262</v>
      </c>
      <c r="AJ5239" t="s">
        <v>261</v>
      </c>
      <c r="AK5239" t="s">
        <v>261</v>
      </c>
      <c r="AM5239" t="s">
        <v>262</v>
      </c>
      <c r="AN5239" t="s">
        <v>13674</v>
      </c>
    </row>
    <row r="5240" spans="1:40" x14ac:dyDescent="0.35">
      <c r="A5240">
        <v>30169244</v>
      </c>
      <c r="B5240" t="s">
        <v>13675</v>
      </c>
      <c r="C5240" t="str">
        <f>""</f>
        <v/>
      </c>
      <c r="D5240" t="str">
        <f>"9781800647305"</f>
        <v>9781800647305</v>
      </c>
      <c r="E5240" t="s">
        <v>1807</v>
      </c>
      <c r="F5240" t="s">
        <v>1807</v>
      </c>
      <c r="G5240" s="1">
        <v>44725</v>
      </c>
      <c r="H5240" s="1">
        <v>44853</v>
      </c>
      <c r="I5240" t="s">
        <v>189</v>
      </c>
      <c r="J5240">
        <v>1</v>
      </c>
      <c r="L5240" t="s">
        <v>13676</v>
      </c>
      <c r="M5240" t="s">
        <v>339</v>
      </c>
      <c r="Q5240" t="s">
        <v>260</v>
      </c>
      <c r="R5240" t="s">
        <v>261</v>
      </c>
      <c r="S5240" t="s">
        <v>261</v>
      </c>
      <c r="T5240" t="s">
        <v>261</v>
      </c>
      <c r="U5240" t="s">
        <v>261</v>
      </c>
      <c r="V5240" t="s">
        <v>262</v>
      </c>
      <c r="W5240" t="s">
        <v>261</v>
      </c>
      <c r="X5240" t="s">
        <v>261</v>
      </c>
      <c r="Y5240" t="s">
        <v>261</v>
      </c>
      <c r="Z5240" t="s">
        <v>409</v>
      </c>
      <c r="AA5240" t="s">
        <v>409</v>
      </c>
      <c r="AB5240" t="s">
        <v>409</v>
      </c>
      <c r="AC5240" t="s">
        <v>409</v>
      </c>
      <c r="AD5240" t="s">
        <v>261</v>
      </c>
      <c r="AH5240" t="s">
        <v>262</v>
      </c>
      <c r="AI5240" t="s">
        <v>262</v>
      </c>
      <c r="AJ5240" t="s">
        <v>261</v>
      </c>
      <c r="AK5240" t="s">
        <v>261</v>
      </c>
      <c r="AM5240" t="s">
        <v>262</v>
      </c>
      <c r="AN5240" t="s">
        <v>13677</v>
      </c>
    </row>
    <row r="5241" spans="1:40" x14ac:dyDescent="0.35">
      <c r="A5241">
        <v>30180208</v>
      </c>
      <c r="B5241" t="s">
        <v>13678</v>
      </c>
      <c r="C5241" t="str">
        <f>""</f>
        <v/>
      </c>
      <c r="D5241" t="str">
        <f>"9789179294519"</f>
        <v>9789179294519</v>
      </c>
      <c r="E5241" t="s">
        <v>2975</v>
      </c>
      <c r="F5241" t="s">
        <v>2975</v>
      </c>
      <c r="G5241" s="1">
        <v>44816</v>
      </c>
      <c r="H5241" s="1">
        <v>44849</v>
      </c>
      <c r="I5241" t="s">
        <v>189</v>
      </c>
      <c r="J5241">
        <v>1</v>
      </c>
      <c r="L5241" t="s">
        <v>13679</v>
      </c>
      <c r="Q5241" t="s">
        <v>260</v>
      </c>
      <c r="R5241" t="s">
        <v>261</v>
      </c>
      <c r="S5241" t="s">
        <v>261</v>
      </c>
      <c r="T5241" t="s">
        <v>261</v>
      </c>
      <c r="U5241" t="s">
        <v>261</v>
      </c>
      <c r="V5241" t="s">
        <v>262</v>
      </c>
      <c r="W5241" t="s">
        <v>261</v>
      </c>
      <c r="X5241" t="s">
        <v>261</v>
      </c>
      <c r="Y5241" t="s">
        <v>261</v>
      </c>
      <c r="AD5241" t="s">
        <v>261</v>
      </c>
      <c r="AH5241" t="s">
        <v>262</v>
      </c>
      <c r="AI5241" t="s">
        <v>261</v>
      </c>
      <c r="AJ5241" t="s">
        <v>261</v>
      </c>
      <c r="AK5241" t="s">
        <v>261</v>
      </c>
      <c r="AM5241" t="s">
        <v>262</v>
      </c>
      <c r="AN5241" t="s">
        <v>13680</v>
      </c>
    </row>
    <row r="5242" spans="1:40" x14ac:dyDescent="0.35">
      <c r="A5242">
        <v>30180209</v>
      </c>
      <c r="B5242" t="s">
        <v>13681</v>
      </c>
      <c r="C5242" t="str">
        <f>""</f>
        <v/>
      </c>
      <c r="D5242" t="str">
        <f>"9789179294731"</f>
        <v>9789179294731</v>
      </c>
      <c r="E5242" t="s">
        <v>2975</v>
      </c>
      <c r="F5242" t="s">
        <v>2975</v>
      </c>
      <c r="G5242" s="1">
        <v>44841</v>
      </c>
      <c r="H5242" s="1">
        <v>44849</v>
      </c>
      <c r="I5242" t="s">
        <v>189</v>
      </c>
      <c r="J5242">
        <v>1</v>
      </c>
      <c r="L5242" t="s">
        <v>13682</v>
      </c>
      <c r="Q5242" t="s">
        <v>260</v>
      </c>
      <c r="R5242" t="s">
        <v>261</v>
      </c>
      <c r="S5242" t="s">
        <v>261</v>
      </c>
      <c r="T5242" t="s">
        <v>261</v>
      </c>
      <c r="U5242" t="s">
        <v>261</v>
      </c>
      <c r="V5242" t="s">
        <v>262</v>
      </c>
      <c r="W5242" t="s">
        <v>261</v>
      </c>
      <c r="X5242" t="s">
        <v>261</v>
      </c>
      <c r="Y5242" t="s">
        <v>261</v>
      </c>
      <c r="AD5242" t="s">
        <v>261</v>
      </c>
      <c r="AH5242" t="s">
        <v>262</v>
      </c>
      <c r="AI5242" t="s">
        <v>261</v>
      </c>
      <c r="AJ5242" t="s">
        <v>261</v>
      </c>
      <c r="AK5242" t="s">
        <v>261</v>
      </c>
      <c r="AM5242" t="s">
        <v>262</v>
      </c>
      <c r="AN5242" t="s">
        <v>13683</v>
      </c>
    </row>
    <row r="5243" spans="1:40" x14ac:dyDescent="0.35">
      <c r="A5243">
        <v>30183726</v>
      </c>
      <c r="B5243" t="s">
        <v>13684</v>
      </c>
      <c r="C5243" t="str">
        <f>""</f>
        <v/>
      </c>
      <c r="D5243" t="str">
        <f>"9789179294717"</f>
        <v>9789179294717</v>
      </c>
      <c r="E5243" t="s">
        <v>2975</v>
      </c>
      <c r="F5243" t="s">
        <v>2975</v>
      </c>
      <c r="G5243" s="1">
        <v>44844</v>
      </c>
      <c r="H5243" s="1">
        <v>44853</v>
      </c>
      <c r="I5243" t="s">
        <v>189</v>
      </c>
      <c r="J5243">
        <v>1</v>
      </c>
      <c r="L5243" t="s">
        <v>13685</v>
      </c>
      <c r="Q5243" t="s">
        <v>260</v>
      </c>
      <c r="R5243" t="s">
        <v>261</v>
      </c>
      <c r="S5243" t="s">
        <v>261</v>
      </c>
      <c r="T5243" t="s">
        <v>261</v>
      </c>
      <c r="U5243" t="s">
        <v>261</v>
      </c>
      <c r="V5243" t="s">
        <v>262</v>
      </c>
      <c r="W5243" t="s">
        <v>261</v>
      </c>
      <c r="X5243" t="s">
        <v>261</v>
      </c>
      <c r="Y5243" t="s">
        <v>261</v>
      </c>
      <c r="AD5243" t="s">
        <v>261</v>
      </c>
      <c r="AH5243" t="s">
        <v>262</v>
      </c>
      <c r="AI5243" t="s">
        <v>261</v>
      </c>
      <c r="AJ5243" t="s">
        <v>261</v>
      </c>
      <c r="AK5243" t="s">
        <v>261</v>
      </c>
      <c r="AM5243" t="s">
        <v>262</v>
      </c>
      <c r="AN5243" t="s">
        <v>13686</v>
      </c>
    </row>
    <row r="5244" spans="1:40" x14ac:dyDescent="0.35">
      <c r="A5244">
        <v>30183727</v>
      </c>
      <c r="B5244" t="s">
        <v>13687</v>
      </c>
      <c r="C5244" t="str">
        <f>""</f>
        <v/>
      </c>
      <c r="D5244" t="str">
        <f>"9789179294854"</f>
        <v>9789179294854</v>
      </c>
      <c r="E5244" t="s">
        <v>2975</v>
      </c>
      <c r="F5244" t="s">
        <v>2975</v>
      </c>
      <c r="G5244" s="1">
        <v>44846</v>
      </c>
      <c r="H5244" s="1">
        <v>44853</v>
      </c>
      <c r="I5244" t="s">
        <v>189</v>
      </c>
      <c r="J5244">
        <v>1</v>
      </c>
      <c r="L5244" t="s">
        <v>13688</v>
      </c>
      <c r="Q5244" t="s">
        <v>260</v>
      </c>
      <c r="R5244" t="s">
        <v>261</v>
      </c>
      <c r="S5244" t="s">
        <v>261</v>
      </c>
      <c r="T5244" t="s">
        <v>261</v>
      </c>
      <c r="U5244" t="s">
        <v>261</v>
      </c>
      <c r="V5244" t="s">
        <v>262</v>
      </c>
      <c r="W5244" t="s">
        <v>261</v>
      </c>
      <c r="X5244" t="s">
        <v>261</v>
      </c>
      <c r="Y5244" t="s">
        <v>261</v>
      </c>
      <c r="AD5244" t="s">
        <v>261</v>
      </c>
      <c r="AH5244" t="s">
        <v>262</v>
      </c>
      <c r="AI5244" t="s">
        <v>261</v>
      </c>
      <c r="AJ5244" t="s">
        <v>261</v>
      </c>
      <c r="AK5244" t="s">
        <v>261</v>
      </c>
      <c r="AM5244" t="s">
        <v>262</v>
      </c>
      <c r="AN5244" t="s">
        <v>13689</v>
      </c>
    </row>
    <row r="5245" spans="1:40" x14ac:dyDescent="0.35">
      <c r="A5245">
        <v>30183728</v>
      </c>
      <c r="B5245" t="s">
        <v>13690</v>
      </c>
      <c r="C5245" t="str">
        <f>""</f>
        <v/>
      </c>
      <c r="D5245" t="str">
        <f>"9789179295134"</f>
        <v>9789179295134</v>
      </c>
      <c r="E5245" t="s">
        <v>2975</v>
      </c>
      <c r="F5245" t="s">
        <v>2975</v>
      </c>
      <c r="G5245" s="1">
        <v>44847</v>
      </c>
      <c r="H5245" s="1">
        <v>44853</v>
      </c>
      <c r="I5245" t="s">
        <v>189</v>
      </c>
      <c r="J5245">
        <v>1</v>
      </c>
      <c r="L5245" t="s">
        <v>13691</v>
      </c>
      <c r="Q5245" t="s">
        <v>260</v>
      </c>
      <c r="R5245" t="s">
        <v>261</v>
      </c>
      <c r="S5245" t="s">
        <v>261</v>
      </c>
      <c r="T5245" t="s">
        <v>261</v>
      </c>
      <c r="U5245" t="s">
        <v>261</v>
      </c>
      <c r="V5245" t="s">
        <v>262</v>
      </c>
      <c r="W5245" t="s">
        <v>261</v>
      </c>
      <c r="X5245" t="s">
        <v>261</v>
      </c>
      <c r="Y5245" t="s">
        <v>261</v>
      </c>
      <c r="AD5245" t="s">
        <v>261</v>
      </c>
      <c r="AH5245" t="s">
        <v>262</v>
      </c>
      <c r="AI5245" t="s">
        <v>261</v>
      </c>
      <c r="AJ5245" t="s">
        <v>261</v>
      </c>
      <c r="AK5245" t="s">
        <v>261</v>
      </c>
      <c r="AM5245" t="s">
        <v>262</v>
      </c>
      <c r="AN5245" t="s">
        <v>13692</v>
      </c>
    </row>
    <row r="5246" spans="1:40" x14ac:dyDescent="0.35">
      <c r="A5246">
        <v>30192682</v>
      </c>
      <c r="B5246" t="s">
        <v>13693</v>
      </c>
      <c r="C5246" t="str">
        <f>""</f>
        <v/>
      </c>
      <c r="D5246" t="str">
        <f>"9789179294267"</f>
        <v>9789179294267</v>
      </c>
      <c r="E5246" t="s">
        <v>2975</v>
      </c>
      <c r="F5246" t="s">
        <v>2975</v>
      </c>
      <c r="G5246" s="1">
        <v>44851</v>
      </c>
      <c r="H5246" s="1">
        <v>44860</v>
      </c>
      <c r="I5246" t="s">
        <v>189</v>
      </c>
      <c r="J5246">
        <v>1</v>
      </c>
      <c r="L5246" t="s">
        <v>13694</v>
      </c>
      <c r="Q5246" t="s">
        <v>260</v>
      </c>
      <c r="R5246" t="s">
        <v>261</v>
      </c>
      <c r="S5246" t="s">
        <v>261</v>
      </c>
      <c r="T5246" t="s">
        <v>261</v>
      </c>
      <c r="U5246" t="s">
        <v>261</v>
      </c>
      <c r="V5246" t="s">
        <v>262</v>
      </c>
      <c r="W5246" t="s">
        <v>261</v>
      </c>
      <c r="X5246" t="s">
        <v>261</v>
      </c>
      <c r="Y5246" t="s">
        <v>261</v>
      </c>
      <c r="AD5246" t="s">
        <v>261</v>
      </c>
      <c r="AH5246" t="s">
        <v>262</v>
      </c>
      <c r="AI5246" t="s">
        <v>261</v>
      </c>
      <c r="AJ5246" t="s">
        <v>261</v>
      </c>
      <c r="AK5246" t="s">
        <v>261</v>
      </c>
      <c r="AM5246" t="s">
        <v>262</v>
      </c>
      <c r="AN5246" t="s">
        <v>13695</v>
      </c>
    </row>
    <row r="5247" spans="1:40" x14ac:dyDescent="0.35">
      <c r="A5247">
        <v>30192683</v>
      </c>
      <c r="B5247" t="s">
        <v>13696</v>
      </c>
      <c r="C5247" t="str">
        <f>""</f>
        <v/>
      </c>
      <c r="D5247" t="str">
        <f>"9789179295295"</f>
        <v>9789179295295</v>
      </c>
      <c r="E5247" t="s">
        <v>2975</v>
      </c>
      <c r="F5247" t="s">
        <v>2975</v>
      </c>
      <c r="G5247" s="1">
        <v>44853</v>
      </c>
      <c r="H5247" s="1">
        <v>44860</v>
      </c>
      <c r="I5247" t="s">
        <v>189</v>
      </c>
      <c r="J5247">
        <v>1</v>
      </c>
      <c r="L5247" t="s">
        <v>13697</v>
      </c>
      <c r="Q5247" t="s">
        <v>260</v>
      </c>
      <c r="R5247" t="s">
        <v>261</v>
      </c>
      <c r="S5247" t="s">
        <v>261</v>
      </c>
      <c r="T5247" t="s">
        <v>261</v>
      </c>
      <c r="U5247" t="s">
        <v>261</v>
      </c>
      <c r="V5247" t="s">
        <v>262</v>
      </c>
      <c r="W5247" t="s">
        <v>261</v>
      </c>
      <c r="X5247" t="s">
        <v>261</v>
      </c>
      <c r="Y5247" t="s">
        <v>261</v>
      </c>
      <c r="AD5247" t="s">
        <v>261</v>
      </c>
      <c r="AH5247" t="s">
        <v>262</v>
      </c>
      <c r="AI5247" t="s">
        <v>261</v>
      </c>
      <c r="AJ5247" t="s">
        <v>261</v>
      </c>
      <c r="AK5247" t="s">
        <v>261</v>
      </c>
      <c r="AM5247" t="s">
        <v>262</v>
      </c>
      <c r="AN5247" t="s">
        <v>13698</v>
      </c>
    </row>
    <row r="5248" spans="1:40" x14ac:dyDescent="0.35">
      <c r="A5248">
        <v>30192684</v>
      </c>
      <c r="B5248" t="s">
        <v>13699</v>
      </c>
      <c r="C5248" t="str">
        <f>""</f>
        <v/>
      </c>
      <c r="D5248" t="str">
        <f>"9789179294281"</f>
        <v>9789179294281</v>
      </c>
      <c r="E5248" t="s">
        <v>2975</v>
      </c>
      <c r="F5248" t="s">
        <v>2975</v>
      </c>
      <c r="G5248" s="1">
        <v>44855</v>
      </c>
      <c r="H5248" s="1">
        <v>44860</v>
      </c>
      <c r="I5248" t="s">
        <v>189</v>
      </c>
      <c r="J5248">
        <v>1</v>
      </c>
      <c r="L5248" t="s">
        <v>13700</v>
      </c>
      <c r="Q5248" t="s">
        <v>260</v>
      </c>
      <c r="R5248" t="s">
        <v>261</v>
      </c>
      <c r="S5248" t="s">
        <v>261</v>
      </c>
      <c r="T5248" t="s">
        <v>261</v>
      </c>
      <c r="U5248" t="s">
        <v>261</v>
      </c>
      <c r="V5248" t="s">
        <v>262</v>
      </c>
      <c r="W5248" t="s">
        <v>261</v>
      </c>
      <c r="X5248" t="s">
        <v>261</v>
      </c>
      <c r="Y5248" t="s">
        <v>261</v>
      </c>
      <c r="AD5248" t="s">
        <v>261</v>
      </c>
      <c r="AH5248" t="s">
        <v>262</v>
      </c>
      <c r="AI5248" t="s">
        <v>261</v>
      </c>
      <c r="AJ5248" t="s">
        <v>261</v>
      </c>
      <c r="AK5248" t="s">
        <v>261</v>
      </c>
      <c r="AM5248" t="s">
        <v>262</v>
      </c>
      <c r="AN5248" t="s">
        <v>13701</v>
      </c>
    </row>
    <row r="5249" spans="1:40" x14ac:dyDescent="0.35">
      <c r="A5249">
        <v>30202741</v>
      </c>
      <c r="B5249" t="s">
        <v>13702</v>
      </c>
      <c r="C5249" t="str">
        <f>"9781800856141"</f>
        <v>9781800856141</v>
      </c>
      <c r="D5249" t="str">
        <f>"9781800855687"</f>
        <v>9781800855687</v>
      </c>
      <c r="E5249" t="s">
        <v>3696</v>
      </c>
      <c r="F5249" t="s">
        <v>3696</v>
      </c>
      <c r="G5249" s="1">
        <v>44927</v>
      </c>
      <c r="H5249" s="1">
        <v>44866</v>
      </c>
      <c r="I5249" t="s">
        <v>189</v>
      </c>
      <c r="J5249">
        <v>1</v>
      </c>
      <c r="K5249" t="s">
        <v>9142</v>
      </c>
      <c r="L5249" t="s">
        <v>13703</v>
      </c>
      <c r="M5249" t="s">
        <v>578</v>
      </c>
      <c r="O5249" s="2">
        <v>781660981090511</v>
      </c>
      <c r="Q5249" t="s">
        <v>260</v>
      </c>
      <c r="R5249" t="s">
        <v>261</v>
      </c>
      <c r="S5249" t="s">
        <v>261</v>
      </c>
      <c r="T5249" t="s">
        <v>261</v>
      </c>
      <c r="U5249" t="s">
        <v>261</v>
      </c>
      <c r="V5249" t="s">
        <v>262</v>
      </c>
      <c r="W5249" t="s">
        <v>261</v>
      </c>
      <c r="X5249" t="s">
        <v>261</v>
      </c>
      <c r="Y5249" t="s">
        <v>261</v>
      </c>
      <c r="Z5249" t="s">
        <v>409</v>
      </c>
      <c r="AA5249" t="s">
        <v>409</v>
      </c>
      <c r="AB5249" t="s">
        <v>409</v>
      </c>
      <c r="AC5249" t="s">
        <v>409</v>
      </c>
      <c r="AD5249" t="s">
        <v>261</v>
      </c>
      <c r="AH5249" t="s">
        <v>262</v>
      </c>
      <c r="AI5249" t="s">
        <v>262</v>
      </c>
      <c r="AJ5249" t="s">
        <v>261</v>
      </c>
      <c r="AK5249" t="s">
        <v>261</v>
      </c>
      <c r="AM5249" t="s">
        <v>262</v>
      </c>
      <c r="AN5249" t="s">
        <v>13704</v>
      </c>
    </row>
    <row r="5250" spans="1:40" x14ac:dyDescent="0.35">
      <c r="A5250">
        <v>30203702</v>
      </c>
      <c r="B5250" t="s">
        <v>13705</v>
      </c>
      <c r="C5250" t="str">
        <f>""</f>
        <v/>
      </c>
      <c r="D5250" t="str">
        <f>"9789179295035"</f>
        <v>9789179295035</v>
      </c>
      <c r="E5250" t="s">
        <v>2975</v>
      </c>
      <c r="F5250" t="s">
        <v>2975</v>
      </c>
      <c r="G5250" s="1">
        <v>44861</v>
      </c>
      <c r="H5250" s="1">
        <v>44867</v>
      </c>
      <c r="I5250" t="s">
        <v>189</v>
      </c>
      <c r="J5250">
        <v>1</v>
      </c>
      <c r="L5250" t="s">
        <v>13706</v>
      </c>
      <c r="Q5250" t="s">
        <v>260</v>
      </c>
      <c r="R5250" t="s">
        <v>261</v>
      </c>
      <c r="S5250" t="s">
        <v>261</v>
      </c>
      <c r="T5250" t="s">
        <v>261</v>
      </c>
      <c r="U5250" t="s">
        <v>261</v>
      </c>
      <c r="V5250" t="s">
        <v>262</v>
      </c>
      <c r="W5250" t="s">
        <v>261</v>
      </c>
      <c r="X5250" t="s">
        <v>261</v>
      </c>
      <c r="Y5250" t="s">
        <v>261</v>
      </c>
      <c r="AD5250" t="s">
        <v>261</v>
      </c>
      <c r="AH5250" t="s">
        <v>262</v>
      </c>
      <c r="AI5250" t="s">
        <v>261</v>
      </c>
      <c r="AJ5250" t="s">
        <v>261</v>
      </c>
      <c r="AK5250" t="s">
        <v>261</v>
      </c>
      <c r="AM5250" t="s">
        <v>262</v>
      </c>
      <c r="AN5250" t="s">
        <v>13707</v>
      </c>
    </row>
    <row r="5251" spans="1:40" x14ac:dyDescent="0.35">
      <c r="A5251">
        <v>30203703</v>
      </c>
      <c r="B5251" t="s">
        <v>13708</v>
      </c>
      <c r="C5251" t="str">
        <f>""</f>
        <v/>
      </c>
      <c r="D5251" t="str">
        <f>"9789179294878"</f>
        <v>9789179294878</v>
      </c>
      <c r="E5251" t="s">
        <v>2975</v>
      </c>
      <c r="F5251" t="s">
        <v>2975</v>
      </c>
      <c r="G5251" s="1">
        <v>44862</v>
      </c>
      <c r="H5251" s="1">
        <v>44867</v>
      </c>
      <c r="I5251" t="s">
        <v>189</v>
      </c>
      <c r="J5251">
        <v>1</v>
      </c>
      <c r="L5251" t="s">
        <v>13709</v>
      </c>
      <c r="Q5251" t="s">
        <v>260</v>
      </c>
      <c r="R5251" t="s">
        <v>261</v>
      </c>
      <c r="S5251" t="s">
        <v>261</v>
      </c>
      <c r="T5251" t="s">
        <v>261</v>
      </c>
      <c r="U5251" t="s">
        <v>261</v>
      </c>
      <c r="V5251" t="s">
        <v>262</v>
      </c>
      <c r="W5251" t="s">
        <v>261</v>
      </c>
      <c r="X5251" t="s">
        <v>261</v>
      </c>
      <c r="Y5251" t="s">
        <v>261</v>
      </c>
      <c r="AD5251" t="s">
        <v>261</v>
      </c>
      <c r="AH5251" t="s">
        <v>262</v>
      </c>
      <c r="AI5251" t="s">
        <v>261</v>
      </c>
      <c r="AJ5251" t="s">
        <v>261</v>
      </c>
      <c r="AK5251" t="s">
        <v>261</v>
      </c>
      <c r="AM5251" t="s">
        <v>262</v>
      </c>
      <c r="AN5251" t="s">
        <v>13710</v>
      </c>
    </row>
    <row r="5252" spans="1:40" x14ac:dyDescent="0.35">
      <c r="A5252">
        <v>30203704</v>
      </c>
      <c r="B5252" t="s">
        <v>13711</v>
      </c>
      <c r="C5252" t="str">
        <f>""</f>
        <v/>
      </c>
      <c r="D5252" t="str">
        <f>"9789179294687"</f>
        <v>9789179294687</v>
      </c>
      <c r="E5252" t="s">
        <v>2975</v>
      </c>
      <c r="F5252" t="s">
        <v>2975</v>
      </c>
      <c r="G5252" s="1">
        <v>44853</v>
      </c>
      <c r="H5252" s="1">
        <v>44867</v>
      </c>
      <c r="I5252" t="s">
        <v>189</v>
      </c>
      <c r="J5252">
        <v>1</v>
      </c>
      <c r="L5252" t="s">
        <v>13712</v>
      </c>
      <c r="Q5252" t="s">
        <v>260</v>
      </c>
      <c r="R5252" t="s">
        <v>261</v>
      </c>
      <c r="S5252" t="s">
        <v>261</v>
      </c>
      <c r="T5252" t="s">
        <v>261</v>
      </c>
      <c r="U5252" t="s">
        <v>261</v>
      </c>
      <c r="V5252" t="s">
        <v>262</v>
      </c>
      <c r="W5252" t="s">
        <v>261</v>
      </c>
      <c r="X5252" t="s">
        <v>261</v>
      </c>
      <c r="Y5252" t="s">
        <v>261</v>
      </c>
      <c r="AD5252" t="s">
        <v>261</v>
      </c>
      <c r="AH5252" t="s">
        <v>262</v>
      </c>
      <c r="AI5252" t="s">
        <v>261</v>
      </c>
      <c r="AJ5252" t="s">
        <v>261</v>
      </c>
      <c r="AK5252" t="s">
        <v>261</v>
      </c>
      <c r="AM5252" t="s">
        <v>262</v>
      </c>
      <c r="AN5252" t="s">
        <v>13713</v>
      </c>
    </row>
    <row r="5253" spans="1:40" x14ac:dyDescent="0.35">
      <c r="A5253">
        <v>30203705</v>
      </c>
      <c r="B5253" t="s">
        <v>13714</v>
      </c>
      <c r="C5253" t="str">
        <f>""</f>
        <v/>
      </c>
      <c r="D5253" t="str">
        <f>"9789179294939"</f>
        <v>9789179294939</v>
      </c>
      <c r="E5253" t="s">
        <v>2975</v>
      </c>
      <c r="F5253" t="s">
        <v>2975</v>
      </c>
      <c r="G5253" s="1">
        <v>44862</v>
      </c>
      <c r="H5253" s="1">
        <v>44867</v>
      </c>
      <c r="I5253" t="s">
        <v>189</v>
      </c>
      <c r="J5253">
        <v>1</v>
      </c>
      <c r="L5253" t="s">
        <v>13715</v>
      </c>
      <c r="Q5253" t="s">
        <v>260</v>
      </c>
      <c r="R5253" t="s">
        <v>261</v>
      </c>
      <c r="S5253" t="s">
        <v>261</v>
      </c>
      <c r="T5253" t="s">
        <v>261</v>
      </c>
      <c r="U5253" t="s">
        <v>261</v>
      </c>
      <c r="V5253" t="s">
        <v>262</v>
      </c>
      <c r="W5253" t="s">
        <v>261</v>
      </c>
      <c r="X5253" t="s">
        <v>261</v>
      </c>
      <c r="Y5253" t="s">
        <v>261</v>
      </c>
      <c r="AD5253" t="s">
        <v>261</v>
      </c>
      <c r="AH5253" t="s">
        <v>262</v>
      </c>
      <c r="AI5253" t="s">
        <v>261</v>
      </c>
      <c r="AJ5253" t="s">
        <v>261</v>
      </c>
      <c r="AK5253" t="s">
        <v>261</v>
      </c>
      <c r="AM5253" t="s">
        <v>262</v>
      </c>
      <c r="AN5253" t="s">
        <v>13716</v>
      </c>
    </row>
    <row r="5254" spans="1:40" x14ac:dyDescent="0.35">
      <c r="A5254">
        <v>30203707</v>
      </c>
      <c r="B5254" t="s">
        <v>13717</v>
      </c>
      <c r="C5254" t="str">
        <f>""</f>
        <v/>
      </c>
      <c r="D5254" t="str">
        <f>"9789179294793"</f>
        <v>9789179294793</v>
      </c>
      <c r="E5254" t="s">
        <v>2975</v>
      </c>
      <c r="F5254" t="s">
        <v>2975</v>
      </c>
      <c r="G5254" s="1">
        <v>44861</v>
      </c>
      <c r="H5254" s="1">
        <v>44867</v>
      </c>
      <c r="I5254" t="s">
        <v>189</v>
      </c>
      <c r="J5254">
        <v>1</v>
      </c>
      <c r="L5254" t="s">
        <v>13718</v>
      </c>
      <c r="Q5254" t="s">
        <v>260</v>
      </c>
      <c r="R5254" t="s">
        <v>261</v>
      </c>
      <c r="S5254" t="s">
        <v>261</v>
      </c>
      <c r="T5254" t="s">
        <v>261</v>
      </c>
      <c r="U5254" t="s">
        <v>261</v>
      </c>
      <c r="V5254" t="s">
        <v>262</v>
      </c>
      <c r="W5254" t="s">
        <v>261</v>
      </c>
      <c r="X5254" t="s">
        <v>261</v>
      </c>
      <c r="Y5254" t="s">
        <v>261</v>
      </c>
      <c r="AD5254" t="s">
        <v>261</v>
      </c>
      <c r="AH5254" t="s">
        <v>262</v>
      </c>
      <c r="AI5254" t="s">
        <v>261</v>
      </c>
      <c r="AJ5254" t="s">
        <v>261</v>
      </c>
      <c r="AK5254" t="s">
        <v>261</v>
      </c>
      <c r="AM5254" t="s">
        <v>262</v>
      </c>
      <c r="AN5254" t="s">
        <v>13719</v>
      </c>
    </row>
    <row r="5255" spans="1:40" x14ac:dyDescent="0.35">
      <c r="A5255">
        <v>30222492</v>
      </c>
      <c r="B5255" t="s">
        <v>13720</v>
      </c>
      <c r="C5255" t="str">
        <f>""</f>
        <v/>
      </c>
      <c r="D5255" t="str">
        <f>"9781800649217"</f>
        <v>9781800649217</v>
      </c>
      <c r="E5255" t="s">
        <v>1807</v>
      </c>
      <c r="F5255" t="s">
        <v>1807</v>
      </c>
      <c r="G5255" s="1">
        <v>44872</v>
      </c>
      <c r="H5255" s="1">
        <v>44874</v>
      </c>
      <c r="I5255" t="s">
        <v>189</v>
      </c>
      <c r="J5255">
        <v>1</v>
      </c>
      <c r="K5255" t="s">
        <v>3667</v>
      </c>
      <c r="L5255" t="s">
        <v>13721</v>
      </c>
    </row>
    <row r="5256" spans="1:40" x14ac:dyDescent="0.35">
      <c r="A5256">
        <v>30229626</v>
      </c>
      <c r="B5256" t="s">
        <v>13722</v>
      </c>
      <c r="C5256" t="str">
        <f>""</f>
        <v/>
      </c>
      <c r="D5256" t="str">
        <f>"9789179295325"</f>
        <v>9789179295325</v>
      </c>
      <c r="E5256" t="s">
        <v>2975</v>
      </c>
      <c r="F5256" t="s">
        <v>2975</v>
      </c>
      <c r="G5256" s="1">
        <v>44872</v>
      </c>
      <c r="H5256" s="1">
        <v>44877</v>
      </c>
      <c r="I5256" t="s">
        <v>189</v>
      </c>
      <c r="J5256">
        <v>1</v>
      </c>
      <c r="L5256" t="s">
        <v>13723</v>
      </c>
      <c r="Q5256" t="s">
        <v>260</v>
      </c>
      <c r="R5256" t="s">
        <v>261</v>
      </c>
      <c r="S5256" t="s">
        <v>261</v>
      </c>
      <c r="T5256" t="s">
        <v>261</v>
      </c>
      <c r="U5256" t="s">
        <v>261</v>
      </c>
      <c r="V5256" t="s">
        <v>262</v>
      </c>
      <c r="W5256" t="s">
        <v>261</v>
      </c>
      <c r="X5256" t="s">
        <v>261</v>
      </c>
      <c r="Y5256" t="s">
        <v>261</v>
      </c>
      <c r="AD5256" t="s">
        <v>261</v>
      </c>
      <c r="AH5256" t="s">
        <v>262</v>
      </c>
      <c r="AI5256" t="s">
        <v>261</v>
      </c>
      <c r="AJ5256" t="s">
        <v>261</v>
      </c>
      <c r="AK5256" t="s">
        <v>261</v>
      </c>
      <c r="AM5256" t="s">
        <v>262</v>
      </c>
      <c r="AN5256" t="s">
        <v>13724</v>
      </c>
    </row>
    <row r="5257" spans="1:40" x14ac:dyDescent="0.35">
      <c r="A5257">
        <v>30229627</v>
      </c>
      <c r="B5257" t="s">
        <v>13725</v>
      </c>
      <c r="C5257" t="str">
        <f>""</f>
        <v/>
      </c>
      <c r="D5257" t="str">
        <f>"9789179290467"</f>
        <v>9789179290467</v>
      </c>
      <c r="E5257" t="s">
        <v>2975</v>
      </c>
      <c r="F5257" t="s">
        <v>2975</v>
      </c>
      <c r="G5257" s="1">
        <v>44438</v>
      </c>
      <c r="H5257" s="1">
        <v>44877</v>
      </c>
      <c r="I5257" t="s">
        <v>189</v>
      </c>
      <c r="J5257">
        <v>1</v>
      </c>
      <c r="L5257" t="s">
        <v>13726</v>
      </c>
      <c r="Q5257" t="s">
        <v>260</v>
      </c>
      <c r="R5257" t="s">
        <v>261</v>
      </c>
      <c r="S5257" t="s">
        <v>261</v>
      </c>
      <c r="T5257" t="s">
        <v>261</v>
      </c>
      <c r="U5257" t="s">
        <v>261</v>
      </c>
      <c r="V5257" t="s">
        <v>262</v>
      </c>
      <c r="W5257" t="s">
        <v>261</v>
      </c>
      <c r="X5257" t="s">
        <v>261</v>
      </c>
      <c r="Y5257" t="s">
        <v>261</v>
      </c>
      <c r="AD5257" t="s">
        <v>261</v>
      </c>
      <c r="AH5257" t="s">
        <v>262</v>
      </c>
      <c r="AI5257" t="s">
        <v>261</v>
      </c>
      <c r="AJ5257" t="s">
        <v>261</v>
      </c>
      <c r="AK5257" t="s">
        <v>261</v>
      </c>
      <c r="AM5257" t="s">
        <v>262</v>
      </c>
      <c r="AN5257" t="s">
        <v>13727</v>
      </c>
    </row>
    <row r="5258" spans="1:40" x14ac:dyDescent="0.35">
      <c r="A5258">
        <v>30231049</v>
      </c>
      <c r="B5258" t="s">
        <v>13728</v>
      </c>
      <c r="C5258" t="str">
        <f>""</f>
        <v/>
      </c>
      <c r="D5258" t="str">
        <f>"9789173938525"</f>
        <v>9789173938525</v>
      </c>
      <c r="E5258" t="s">
        <v>2975</v>
      </c>
      <c r="F5258" t="s">
        <v>2975</v>
      </c>
      <c r="G5258" s="1">
        <v>39710</v>
      </c>
      <c r="H5258" s="1">
        <v>44879</v>
      </c>
      <c r="I5258" t="s">
        <v>189</v>
      </c>
      <c r="J5258">
        <v>1</v>
      </c>
      <c r="L5258" t="s">
        <v>13729</v>
      </c>
      <c r="Q5258" t="s">
        <v>260</v>
      </c>
      <c r="R5258" t="s">
        <v>261</v>
      </c>
      <c r="S5258" t="s">
        <v>261</v>
      </c>
      <c r="T5258" t="s">
        <v>261</v>
      </c>
      <c r="U5258" t="s">
        <v>261</v>
      </c>
      <c r="V5258" t="s">
        <v>262</v>
      </c>
      <c r="W5258" t="s">
        <v>261</v>
      </c>
      <c r="X5258" t="s">
        <v>261</v>
      </c>
      <c r="Y5258" t="s">
        <v>261</v>
      </c>
      <c r="AD5258" t="s">
        <v>261</v>
      </c>
      <c r="AH5258" t="s">
        <v>262</v>
      </c>
      <c r="AI5258" t="s">
        <v>261</v>
      </c>
      <c r="AJ5258" t="s">
        <v>261</v>
      </c>
      <c r="AK5258" t="s">
        <v>261</v>
      </c>
      <c r="AM5258" t="s">
        <v>262</v>
      </c>
      <c r="AN5258" t="s">
        <v>13730</v>
      </c>
    </row>
    <row r="5259" spans="1:40" x14ac:dyDescent="0.35">
      <c r="A5259">
        <v>30231050</v>
      </c>
      <c r="B5259" t="s">
        <v>13731</v>
      </c>
      <c r="C5259" t="str">
        <f>""</f>
        <v/>
      </c>
      <c r="D5259" t="str">
        <f>"9789173934916"</f>
        <v>9789173934916</v>
      </c>
      <c r="E5259" t="s">
        <v>2975</v>
      </c>
      <c r="F5259" t="s">
        <v>2975</v>
      </c>
      <c r="G5259" s="1">
        <v>40634</v>
      </c>
      <c r="H5259" s="1">
        <v>44879</v>
      </c>
      <c r="I5259" t="s">
        <v>189</v>
      </c>
      <c r="J5259">
        <v>1</v>
      </c>
      <c r="L5259" t="s">
        <v>13732</v>
      </c>
      <c r="Q5259" t="s">
        <v>260</v>
      </c>
      <c r="R5259" t="s">
        <v>261</v>
      </c>
      <c r="S5259" t="s">
        <v>261</v>
      </c>
      <c r="T5259" t="s">
        <v>261</v>
      </c>
      <c r="U5259" t="s">
        <v>261</v>
      </c>
      <c r="V5259" t="s">
        <v>262</v>
      </c>
      <c r="W5259" t="s">
        <v>261</v>
      </c>
      <c r="X5259" t="s">
        <v>261</v>
      </c>
      <c r="Y5259" t="s">
        <v>261</v>
      </c>
      <c r="AD5259" t="s">
        <v>261</v>
      </c>
      <c r="AH5259" t="s">
        <v>262</v>
      </c>
      <c r="AI5259" t="s">
        <v>261</v>
      </c>
      <c r="AJ5259" t="s">
        <v>261</v>
      </c>
      <c r="AK5259" t="s">
        <v>261</v>
      </c>
      <c r="AM5259" t="s">
        <v>262</v>
      </c>
      <c r="AN5259" t="s">
        <v>13733</v>
      </c>
    </row>
    <row r="5260" spans="1:40" x14ac:dyDescent="0.35">
      <c r="A5260">
        <v>30231051</v>
      </c>
      <c r="B5260" t="s">
        <v>13734</v>
      </c>
      <c r="C5260" t="str">
        <f>""</f>
        <v/>
      </c>
      <c r="D5260" t="str">
        <f>"9789173937313"</f>
        <v>9789173937313</v>
      </c>
      <c r="E5260" t="s">
        <v>2975</v>
      </c>
      <c r="F5260" t="s">
        <v>2975</v>
      </c>
      <c r="G5260" s="1">
        <v>39832</v>
      </c>
      <c r="H5260" s="1">
        <v>44879</v>
      </c>
      <c r="I5260" t="s">
        <v>189</v>
      </c>
      <c r="J5260">
        <v>1</v>
      </c>
      <c r="L5260" t="s">
        <v>13735</v>
      </c>
      <c r="Q5260" t="s">
        <v>260</v>
      </c>
      <c r="R5260" t="s">
        <v>261</v>
      </c>
      <c r="S5260" t="s">
        <v>261</v>
      </c>
      <c r="T5260" t="s">
        <v>261</v>
      </c>
      <c r="U5260" t="s">
        <v>261</v>
      </c>
      <c r="V5260" t="s">
        <v>262</v>
      </c>
      <c r="W5260" t="s">
        <v>261</v>
      </c>
      <c r="X5260" t="s">
        <v>261</v>
      </c>
      <c r="Y5260" t="s">
        <v>261</v>
      </c>
      <c r="AD5260" t="s">
        <v>261</v>
      </c>
      <c r="AH5260" t="s">
        <v>262</v>
      </c>
      <c r="AI5260" t="s">
        <v>261</v>
      </c>
      <c r="AJ5260" t="s">
        <v>261</v>
      </c>
      <c r="AK5260" t="s">
        <v>261</v>
      </c>
      <c r="AM5260" t="s">
        <v>262</v>
      </c>
      <c r="AN5260" t="s">
        <v>13736</v>
      </c>
    </row>
    <row r="5261" spans="1:40" x14ac:dyDescent="0.35">
      <c r="A5261">
        <v>30231053</v>
      </c>
      <c r="B5261" t="s">
        <v>13737</v>
      </c>
      <c r="C5261" t="str">
        <f>""</f>
        <v/>
      </c>
      <c r="D5261" t="str">
        <f>"9789176857946"</f>
        <v>9789176857946</v>
      </c>
      <c r="E5261" t="s">
        <v>2975</v>
      </c>
      <c r="F5261" t="s">
        <v>2975</v>
      </c>
      <c r="G5261" s="1">
        <v>42446</v>
      </c>
      <c r="H5261" s="1">
        <v>44879</v>
      </c>
      <c r="I5261" t="s">
        <v>189</v>
      </c>
      <c r="J5261">
        <v>1</v>
      </c>
      <c r="L5261" t="s">
        <v>13738</v>
      </c>
      <c r="Q5261" t="s">
        <v>260</v>
      </c>
      <c r="R5261" t="s">
        <v>261</v>
      </c>
      <c r="S5261" t="s">
        <v>261</v>
      </c>
      <c r="T5261" t="s">
        <v>261</v>
      </c>
      <c r="U5261" t="s">
        <v>261</v>
      </c>
      <c r="V5261" t="s">
        <v>262</v>
      </c>
      <c r="W5261" t="s">
        <v>261</v>
      </c>
      <c r="X5261" t="s">
        <v>261</v>
      </c>
      <c r="Y5261" t="s">
        <v>261</v>
      </c>
      <c r="AD5261" t="s">
        <v>261</v>
      </c>
      <c r="AH5261" t="s">
        <v>262</v>
      </c>
      <c r="AI5261" t="s">
        <v>261</v>
      </c>
      <c r="AJ5261" t="s">
        <v>261</v>
      </c>
      <c r="AK5261" t="s">
        <v>261</v>
      </c>
      <c r="AM5261" t="s">
        <v>262</v>
      </c>
      <c r="AN5261" t="s">
        <v>13739</v>
      </c>
    </row>
    <row r="5262" spans="1:40" x14ac:dyDescent="0.35">
      <c r="A5262">
        <v>30231054</v>
      </c>
      <c r="B5262" t="s">
        <v>13740</v>
      </c>
      <c r="C5262" t="str">
        <f>""</f>
        <v/>
      </c>
      <c r="D5262" t="str">
        <f>"9789173935876"</f>
        <v>9789173935876</v>
      </c>
      <c r="E5262" t="s">
        <v>2975</v>
      </c>
      <c r="F5262" t="s">
        <v>2975</v>
      </c>
      <c r="G5262" s="1">
        <v>40004</v>
      </c>
      <c r="H5262" s="1">
        <v>44879</v>
      </c>
      <c r="I5262" t="s">
        <v>189</v>
      </c>
      <c r="J5262">
        <v>1</v>
      </c>
      <c r="L5262" t="s">
        <v>13741</v>
      </c>
      <c r="Q5262" t="s">
        <v>260</v>
      </c>
      <c r="R5262" t="s">
        <v>261</v>
      </c>
      <c r="S5262" t="s">
        <v>261</v>
      </c>
      <c r="T5262" t="s">
        <v>261</v>
      </c>
      <c r="U5262" t="s">
        <v>261</v>
      </c>
      <c r="V5262" t="s">
        <v>262</v>
      </c>
      <c r="W5262" t="s">
        <v>261</v>
      </c>
      <c r="X5262" t="s">
        <v>261</v>
      </c>
      <c r="Y5262" t="s">
        <v>261</v>
      </c>
      <c r="AD5262" t="s">
        <v>261</v>
      </c>
      <c r="AH5262" t="s">
        <v>262</v>
      </c>
      <c r="AI5262" t="s">
        <v>261</v>
      </c>
      <c r="AJ5262" t="s">
        <v>261</v>
      </c>
      <c r="AK5262" t="s">
        <v>261</v>
      </c>
      <c r="AM5262" t="s">
        <v>262</v>
      </c>
      <c r="AN5262" t="s">
        <v>13742</v>
      </c>
    </row>
    <row r="5263" spans="1:40" x14ac:dyDescent="0.35">
      <c r="A5263">
        <v>30231055</v>
      </c>
      <c r="B5263" t="s">
        <v>13743</v>
      </c>
      <c r="C5263" t="str">
        <f>""</f>
        <v/>
      </c>
      <c r="D5263" t="str">
        <f>"9789173935395"</f>
        <v>9789173935395</v>
      </c>
      <c r="E5263" t="s">
        <v>2975</v>
      </c>
      <c r="F5263" t="s">
        <v>2975</v>
      </c>
      <c r="G5263" s="1">
        <v>40098</v>
      </c>
      <c r="H5263" s="1">
        <v>44879</v>
      </c>
      <c r="I5263" t="s">
        <v>189</v>
      </c>
      <c r="J5263">
        <v>1</v>
      </c>
      <c r="L5263" t="s">
        <v>13744</v>
      </c>
      <c r="Q5263" t="s">
        <v>260</v>
      </c>
      <c r="R5263" t="s">
        <v>261</v>
      </c>
      <c r="S5263" t="s">
        <v>261</v>
      </c>
      <c r="T5263" t="s">
        <v>261</v>
      </c>
      <c r="U5263" t="s">
        <v>261</v>
      </c>
      <c r="V5263" t="s">
        <v>262</v>
      </c>
      <c r="W5263" t="s">
        <v>261</v>
      </c>
      <c r="X5263" t="s">
        <v>261</v>
      </c>
      <c r="Y5263" t="s">
        <v>261</v>
      </c>
      <c r="AD5263" t="s">
        <v>261</v>
      </c>
      <c r="AH5263" t="s">
        <v>262</v>
      </c>
      <c r="AI5263" t="s">
        <v>261</v>
      </c>
      <c r="AJ5263" t="s">
        <v>261</v>
      </c>
      <c r="AK5263" t="s">
        <v>261</v>
      </c>
      <c r="AM5263" t="s">
        <v>262</v>
      </c>
      <c r="AN5263" t="s">
        <v>13745</v>
      </c>
    </row>
    <row r="5264" spans="1:40" x14ac:dyDescent="0.35">
      <c r="A5264">
        <v>30231056</v>
      </c>
      <c r="B5264" t="s">
        <v>13746</v>
      </c>
      <c r="C5264" t="str">
        <f>""</f>
        <v/>
      </c>
      <c r="D5264" t="str">
        <f>"9789173932677"</f>
        <v>9789173932677</v>
      </c>
      <c r="E5264" t="s">
        <v>2975</v>
      </c>
      <c r="F5264" t="s">
        <v>2975</v>
      </c>
      <c r="G5264" s="1">
        <v>40513</v>
      </c>
      <c r="H5264" s="1">
        <v>44879</v>
      </c>
      <c r="I5264" t="s">
        <v>189</v>
      </c>
      <c r="J5264">
        <v>1</v>
      </c>
      <c r="L5264" t="s">
        <v>13747</v>
      </c>
      <c r="Q5264" t="s">
        <v>260</v>
      </c>
      <c r="R5264" t="s">
        <v>261</v>
      </c>
      <c r="S5264" t="s">
        <v>261</v>
      </c>
      <c r="T5264" t="s">
        <v>261</v>
      </c>
      <c r="U5264" t="s">
        <v>261</v>
      </c>
      <c r="V5264" t="s">
        <v>262</v>
      </c>
      <c r="W5264" t="s">
        <v>261</v>
      </c>
      <c r="X5264" t="s">
        <v>261</v>
      </c>
      <c r="Y5264" t="s">
        <v>261</v>
      </c>
      <c r="AD5264" t="s">
        <v>261</v>
      </c>
      <c r="AH5264" t="s">
        <v>262</v>
      </c>
      <c r="AI5264" t="s">
        <v>261</v>
      </c>
      <c r="AJ5264" t="s">
        <v>261</v>
      </c>
      <c r="AK5264" t="s">
        <v>261</v>
      </c>
      <c r="AM5264" t="s">
        <v>262</v>
      </c>
      <c r="AN5264" t="s">
        <v>13748</v>
      </c>
    </row>
    <row r="5265" spans="1:40" x14ac:dyDescent="0.35">
      <c r="A5265">
        <v>30231057</v>
      </c>
      <c r="B5265" t="s">
        <v>13749</v>
      </c>
      <c r="C5265" t="str">
        <f>""</f>
        <v/>
      </c>
      <c r="D5265" t="str">
        <f>"9789175199399"</f>
        <v>9789175199399</v>
      </c>
      <c r="E5265" t="s">
        <v>2975</v>
      </c>
      <c r="F5265" t="s">
        <v>2975</v>
      </c>
      <c r="G5265" s="1">
        <v>41004</v>
      </c>
      <c r="H5265" s="1">
        <v>44879</v>
      </c>
      <c r="I5265" t="s">
        <v>189</v>
      </c>
      <c r="J5265">
        <v>1</v>
      </c>
      <c r="L5265" t="s">
        <v>13750</v>
      </c>
      <c r="Q5265" t="s">
        <v>260</v>
      </c>
      <c r="R5265" t="s">
        <v>261</v>
      </c>
      <c r="S5265" t="s">
        <v>261</v>
      </c>
      <c r="T5265" t="s">
        <v>261</v>
      </c>
      <c r="U5265" t="s">
        <v>261</v>
      </c>
      <c r="V5265" t="s">
        <v>262</v>
      </c>
      <c r="W5265" t="s">
        <v>261</v>
      </c>
      <c r="X5265" t="s">
        <v>261</v>
      </c>
      <c r="Y5265" t="s">
        <v>261</v>
      </c>
      <c r="AD5265" t="s">
        <v>261</v>
      </c>
      <c r="AH5265" t="s">
        <v>262</v>
      </c>
      <c r="AI5265" t="s">
        <v>261</v>
      </c>
      <c r="AJ5265" t="s">
        <v>261</v>
      </c>
      <c r="AK5265" t="s">
        <v>261</v>
      </c>
      <c r="AM5265" t="s">
        <v>262</v>
      </c>
      <c r="AN5265" t="s">
        <v>13751</v>
      </c>
    </row>
    <row r="5266" spans="1:40" x14ac:dyDescent="0.35">
      <c r="A5266">
        <v>30239114</v>
      </c>
      <c r="B5266" t="s">
        <v>13752</v>
      </c>
      <c r="C5266" t="str">
        <f>""</f>
        <v/>
      </c>
      <c r="D5266" t="str">
        <f>"9789179293574"</f>
        <v>9789179293574</v>
      </c>
      <c r="E5266" t="s">
        <v>2975</v>
      </c>
      <c r="F5266" t="s">
        <v>2975</v>
      </c>
      <c r="G5266" s="1">
        <v>44809</v>
      </c>
      <c r="H5266" s="1">
        <v>44883</v>
      </c>
      <c r="I5266" t="s">
        <v>189</v>
      </c>
      <c r="J5266">
        <v>1</v>
      </c>
      <c r="L5266" t="s">
        <v>13753</v>
      </c>
      <c r="Q5266" t="s">
        <v>260</v>
      </c>
      <c r="R5266" t="s">
        <v>261</v>
      </c>
      <c r="S5266" t="s">
        <v>261</v>
      </c>
      <c r="T5266" t="s">
        <v>261</v>
      </c>
      <c r="U5266" t="s">
        <v>261</v>
      </c>
      <c r="V5266" t="s">
        <v>262</v>
      </c>
      <c r="W5266" t="s">
        <v>261</v>
      </c>
      <c r="X5266" t="s">
        <v>261</v>
      </c>
      <c r="Y5266" t="s">
        <v>261</v>
      </c>
      <c r="AD5266" t="s">
        <v>261</v>
      </c>
      <c r="AH5266" t="s">
        <v>262</v>
      </c>
      <c r="AI5266" t="s">
        <v>261</v>
      </c>
      <c r="AJ5266" t="s">
        <v>261</v>
      </c>
      <c r="AK5266" t="s">
        <v>261</v>
      </c>
      <c r="AM5266" t="s">
        <v>262</v>
      </c>
      <c r="AN5266" t="s">
        <v>13754</v>
      </c>
    </row>
    <row r="5267" spans="1:40" x14ac:dyDescent="0.35">
      <c r="A5267">
        <v>30253594</v>
      </c>
      <c r="B5267" t="s">
        <v>13755</v>
      </c>
      <c r="C5267" t="str">
        <f>"9781802077209"</f>
        <v>9781802077209</v>
      </c>
      <c r="D5267" t="str">
        <f>"9781802079012"</f>
        <v>9781802079012</v>
      </c>
      <c r="E5267" t="s">
        <v>3696</v>
      </c>
      <c r="F5267" t="s">
        <v>3696</v>
      </c>
      <c r="G5267" s="1">
        <v>44927</v>
      </c>
      <c r="H5267" s="1">
        <v>44897</v>
      </c>
      <c r="I5267" t="s">
        <v>189</v>
      </c>
      <c r="J5267">
        <v>1</v>
      </c>
      <c r="K5267" t="s">
        <v>9142</v>
      </c>
      <c r="L5267" t="s">
        <v>13756</v>
      </c>
      <c r="M5267" t="s">
        <v>329</v>
      </c>
    </row>
    <row r="5268" spans="1:40" x14ac:dyDescent="0.35">
      <c r="A5268">
        <v>30260167</v>
      </c>
      <c r="B5268" t="s">
        <v>13757</v>
      </c>
      <c r="C5268" t="str">
        <f>""</f>
        <v/>
      </c>
      <c r="D5268" t="str">
        <f>"9781800647657"</f>
        <v>9781800647657</v>
      </c>
      <c r="E5268" t="s">
        <v>1807</v>
      </c>
      <c r="F5268" t="s">
        <v>1807</v>
      </c>
      <c r="G5268" s="1">
        <v>44893</v>
      </c>
      <c r="H5268" s="1">
        <v>44897</v>
      </c>
      <c r="I5268" t="s">
        <v>189</v>
      </c>
      <c r="J5268">
        <v>1</v>
      </c>
      <c r="K5268" t="s">
        <v>3667</v>
      </c>
      <c r="L5268" t="s">
        <v>13758</v>
      </c>
    </row>
    <row r="5269" spans="1:40" x14ac:dyDescent="0.35">
      <c r="A5269">
        <v>30275619</v>
      </c>
      <c r="B5269" t="s">
        <v>13759</v>
      </c>
      <c r="C5269" t="str">
        <f>""</f>
        <v/>
      </c>
      <c r="D5269" t="str">
        <f>"9781800643949"</f>
        <v>9781800643949</v>
      </c>
      <c r="E5269" t="s">
        <v>1807</v>
      </c>
      <c r="F5269" t="s">
        <v>1807</v>
      </c>
      <c r="G5269" s="1">
        <v>44895</v>
      </c>
      <c r="H5269" s="1">
        <v>44897</v>
      </c>
      <c r="I5269" t="s">
        <v>189</v>
      </c>
      <c r="J5269">
        <v>1</v>
      </c>
      <c r="L5269" t="s">
        <v>13760</v>
      </c>
      <c r="M5269" t="s">
        <v>847</v>
      </c>
    </row>
    <row r="5270" spans="1:40" x14ac:dyDescent="0.35">
      <c r="A5270">
        <v>30275620</v>
      </c>
      <c r="B5270" t="s">
        <v>13761</v>
      </c>
      <c r="C5270" t="str">
        <f>""</f>
        <v/>
      </c>
      <c r="D5270" t="str">
        <f>"9789048553570"</f>
        <v>9789048553570</v>
      </c>
      <c r="E5270" t="s">
        <v>361</v>
      </c>
      <c r="F5270" t="s">
        <v>361</v>
      </c>
      <c r="G5270" s="1">
        <v>44833</v>
      </c>
      <c r="H5270" s="1">
        <v>44897</v>
      </c>
      <c r="I5270" t="s">
        <v>189</v>
      </c>
      <c r="J5270">
        <v>1</v>
      </c>
      <c r="L5270" t="s">
        <v>13762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20230123_3028880_ulakbimtr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Hazal Yilmaz</dc:creator>
  <cp:lastModifiedBy>Hazal Yilmaz</cp:lastModifiedBy>
  <dcterms:created xsi:type="dcterms:W3CDTF">2023-01-23T09:31:07Z</dcterms:created>
  <dcterms:modified xsi:type="dcterms:W3CDTF">2023-01-23T09:31:08Z</dcterms:modified>
</cp:coreProperties>
</file>